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Users\HP\Documents\AFSEasy\Financials\"/>
    </mc:Choice>
  </mc:AlternateContent>
  <xr:revisionPtr revIDLastSave="0" documentId="13_ncr:1_{5ABF2B69-CAF2-4DE6-862B-8473DDB1F1AD}" xr6:coauthVersionLast="47" xr6:coauthVersionMax="47" xr10:uidLastSave="{00000000-0000-0000-0000-000000000000}"/>
  <bookViews>
    <workbookView xWindow="-120" yWindow="-120" windowWidth="20730" windowHeight="11160" xr2:uid="{00000000-000D-0000-FFFF-FFFF00000000}"/>
  </bookViews>
  <sheets>
    <sheet name="Instruction" sheetId="247" r:id="rId1"/>
    <sheet name="FS" sheetId="1" r:id="rId2"/>
    <sheet name="FS2" sheetId="246" r:id="rId3"/>
    <sheet name="Criteria" sheetId="4" r:id="rId4"/>
    <sheet name="TrialBalance" sheetId="5" r:id="rId5"/>
    <sheet name="Journals" sheetId="26" r:id="rId6"/>
    <sheet name="FARegister" sheetId="89" r:id="rId7"/>
    <sheet name="ILoans" sheetId="168" r:id="rId8"/>
    <sheet name="IFree" sheetId="169" r:id="rId9"/>
    <sheet name="NC Receivables" sheetId="229" r:id="rId10"/>
    <sheet name="Stock" sheetId="206" r:id="rId11"/>
    <sheet name="Debtors" sheetId="187" r:id="rId12"/>
    <sheet name="Bank" sheetId="178" r:id="rId13"/>
    <sheet name="Creditors" sheetId="167" r:id="rId14"/>
    <sheet name="Expenses" sheetId="240" r:id="rId15"/>
    <sheet name="Open" sheetId="124" r:id="rId16"/>
    <sheet name="Loan 1" sheetId="230" r:id="rId17"/>
    <sheet name="FLease1" sheetId="231" r:id="rId18"/>
    <sheet name="TrialBalanceA" sheetId="136" r:id="rId19"/>
    <sheet name="JournalsA" sheetId="149" r:id="rId20"/>
    <sheet name="TrialBalanceB" sheetId="190" r:id="rId21"/>
    <sheet name="JournalsB" sheetId="189" r:id="rId22"/>
    <sheet name="TrialBalanceC" sheetId="192" r:id="rId23"/>
    <sheet name="JournalsC" sheetId="193" r:id="rId24"/>
  </sheets>
  <externalReferences>
    <externalReference r:id="rId25"/>
    <externalReference r:id="rId26"/>
    <externalReference r:id="rId27"/>
    <externalReference r:id="rId28"/>
    <externalReference r:id="rId29"/>
  </externalReferences>
  <definedNames>
    <definedName name="_ftn1" localSheetId="1">FS!#REF!</definedName>
    <definedName name="_ftnref1" localSheetId="1">FS!#REF!</definedName>
    <definedName name="_Movesheet" localSheetId="11">#REF!</definedName>
    <definedName name="_Movesheet" localSheetId="0">#REF!</definedName>
    <definedName name="_Movesheet" localSheetId="21">#REF!</definedName>
    <definedName name="_Movesheet" localSheetId="23">#REF!</definedName>
    <definedName name="_Movesheet" localSheetId="10">#REF!</definedName>
    <definedName name="_Movesheet" localSheetId="20">#REF!</definedName>
    <definedName name="_Movesheet" localSheetId="22">#REF!</definedName>
    <definedName name="_Movesheet">#REF!</definedName>
    <definedName name="_MoveSheet2" localSheetId="11">#REF!</definedName>
    <definedName name="_MoveSheet2" localSheetId="0">#REF!</definedName>
    <definedName name="_MoveSheet2" localSheetId="21">#REF!</definedName>
    <definedName name="_MoveSheet2" localSheetId="23">#REF!</definedName>
    <definedName name="_MoveSheet2" localSheetId="10">#REF!</definedName>
    <definedName name="_MoveSheet2" localSheetId="20">#REF!</definedName>
    <definedName name="_MoveSheet2" localSheetId="22">#REF!</definedName>
    <definedName name="_MoveSheet2">#REF!</definedName>
    <definedName name="_MoveSheet3" localSheetId="11">#REF!</definedName>
    <definedName name="_MoveSheet3" localSheetId="0">#REF!</definedName>
    <definedName name="_MoveSheet3" localSheetId="21">#REF!</definedName>
    <definedName name="_MoveSheet3" localSheetId="23">#REF!</definedName>
    <definedName name="_MoveSheet3" localSheetId="10">#REF!</definedName>
    <definedName name="_MoveSheet3" localSheetId="20">#REF!</definedName>
    <definedName name="_MoveSheet3" localSheetId="22">#REF!</definedName>
    <definedName name="_MoveSheet3">#REF!</definedName>
    <definedName name="_MoveSheet4" localSheetId="11">#REF!</definedName>
    <definedName name="_MoveSheet4" localSheetId="0">#REF!</definedName>
    <definedName name="_MoveSheet4" localSheetId="21">#REF!</definedName>
    <definedName name="_MoveSheet4" localSheetId="23">#REF!</definedName>
    <definedName name="_MoveSheet4" localSheetId="10">#REF!</definedName>
    <definedName name="_MoveSheet4" localSheetId="20">#REF!</definedName>
    <definedName name="_MoveSheet4" localSheetId="22">#REF!</definedName>
    <definedName name="_MoveSheet4">#REF!</definedName>
    <definedName name="_MoveSheet5" localSheetId="11">#REF!</definedName>
    <definedName name="_MoveSheet5" localSheetId="0">#REF!</definedName>
    <definedName name="_MoveSheet5" localSheetId="21">#REF!</definedName>
    <definedName name="_MoveSheet5" localSheetId="23">#REF!</definedName>
    <definedName name="_MoveSheet5" localSheetId="10">#REF!</definedName>
    <definedName name="_MoveSheet5" localSheetId="20">#REF!</definedName>
    <definedName name="_MoveSheet5" localSheetId="22">#REF!</definedName>
    <definedName name="_MoveSheet5">#REF!</definedName>
    <definedName name="_MoveSheet6" localSheetId="11">#REF!</definedName>
    <definedName name="_MoveSheet6" localSheetId="0">#REF!</definedName>
    <definedName name="_MoveSheet6" localSheetId="21">#REF!</definedName>
    <definedName name="_MoveSheet6" localSheetId="23">#REF!</definedName>
    <definedName name="_MoveSheet6" localSheetId="10">#REF!</definedName>
    <definedName name="_MoveSheet6" localSheetId="20">#REF!</definedName>
    <definedName name="_MoveSheet6" localSheetId="22">#REF!</definedName>
    <definedName name="_MoveSheet6">#REF!</definedName>
    <definedName name="_MoveSheet7" localSheetId="11">#REF!</definedName>
    <definedName name="_MoveSheet7" localSheetId="0">#REF!</definedName>
    <definedName name="_MoveSheet7" localSheetId="21">#REF!</definedName>
    <definedName name="_MoveSheet7" localSheetId="23">#REF!</definedName>
    <definedName name="_MoveSheet7" localSheetId="10">#REF!</definedName>
    <definedName name="_MoveSheet7" localSheetId="20">#REF!</definedName>
    <definedName name="_MoveSheet7" localSheetId="22">#REF!</definedName>
    <definedName name="_MoveSheet7">#REF!</definedName>
    <definedName name="_MoveSheet8" localSheetId="11">#REF!</definedName>
    <definedName name="_MoveSheet8" localSheetId="0">#REF!</definedName>
    <definedName name="_MoveSheet8" localSheetId="21">#REF!</definedName>
    <definedName name="_MoveSheet8" localSheetId="23">#REF!</definedName>
    <definedName name="_MoveSheet8" localSheetId="10">#REF!</definedName>
    <definedName name="_MoveSheet8" localSheetId="20">#REF!</definedName>
    <definedName name="_MoveSheet8" localSheetId="22">#REF!</definedName>
    <definedName name="_MoveSheet8">#REF!</definedName>
    <definedName name="_MoveSheet9" localSheetId="11">#REF!</definedName>
    <definedName name="_MoveSheet9" localSheetId="0">#REF!</definedName>
    <definedName name="_MoveSheet9" localSheetId="21">#REF!</definedName>
    <definedName name="_MoveSheet9" localSheetId="23">#REF!</definedName>
    <definedName name="_MoveSheet9" localSheetId="10">#REF!</definedName>
    <definedName name="_MoveSheet9" localSheetId="20">#REF!</definedName>
    <definedName name="_MoveSheet9" localSheetId="22">#REF!</definedName>
    <definedName name="_MoveSheet9">#REF!</definedName>
    <definedName name="Audit___Trail_balance_this_Year" localSheetId="0">#REF!</definedName>
    <definedName name="Audit___Trail_balance_this_Year" localSheetId="10">#REF!</definedName>
    <definedName name="Audit___Trail_balance_this_Year">#REF!</definedName>
    <definedName name="BalanceSheet" localSheetId="6">[1]TrialBalance!$K$147:$K$374</definedName>
    <definedName name="BalanceSheet" localSheetId="0">[2]TrialBalance!$P$158:$P$346</definedName>
    <definedName name="BalanceSheet" localSheetId="18">TrialBalanceA!#REF!</definedName>
    <definedName name="BalanceSheet" localSheetId="20">TrialBalanceB!#REF!</definedName>
    <definedName name="BalanceSheet" localSheetId="22">TrialBalanceC!#REF!</definedName>
    <definedName name="BalanceSheet">TrialBalance!$P$167:$P$400</definedName>
    <definedName name="BalanceSheet2" localSheetId="6">[1]TrialBalance!$C$148:$C$374</definedName>
    <definedName name="BalanceSheet2" localSheetId="18">TrialBalanceA!#REF!</definedName>
    <definedName name="BalanceSheet2" localSheetId="20">TrialBalanceB!#REF!</definedName>
    <definedName name="BalanceSheet2" localSheetId="22">TrialBalanceC!#REF!</definedName>
    <definedName name="BalanceSheet2">TrialBalance!$C$168:$C$400</definedName>
    <definedName name="BalanceSheet3" localSheetId="0">[2]TrialBalanceB!$M$159:$M$346</definedName>
    <definedName name="BalanceSheet3" localSheetId="22">TrialBalanceC!$M$168:$M$400</definedName>
    <definedName name="BalanceSheet3">TrialBalanceB!$M$168:$M$400</definedName>
    <definedName name="BalanceSheet4" localSheetId="0">[2]TrialBalanceC!$M$159:$M$346</definedName>
    <definedName name="BalanceSheet4">TrialBalanceC!$M$168:$M$400</definedName>
    <definedName name="BalanceSheetA" localSheetId="0">[2]TrialBalanceA!$M$159:$M$346</definedName>
    <definedName name="BalanceSheetA" localSheetId="20">TrialBalanceB!$M$168:$M$400</definedName>
    <definedName name="BalanceSheetA" localSheetId="22">TrialBalanceC!$M$168:$M$400</definedName>
    <definedName name="BalanceSheetA">TrialBalanceA!$M$168:$M$400</definedName>
    <definedName name="BalanceSheetB">[3]TrialBalanceB!$L$159:$L$365</definedName>
    <definedName name="DELETE" localSheetId="2">'FS2'!$A$1:$R$2292</definedName>
    <definedName name="DELETE">FS!$A$1:$R$2322</definedName>
    <definedName name="df" localSheetId="12">[4]TrialBalance!$K$4:$K$144</definedName>
    <definedName name="df" localSheetId="13">[4]TrialBalance!$K$4:$K$144</definedName>
    <definedName name="df" localSheetId="11">[4]TrialBalance!$K$4:$K$144</definedName>
    <definedName name="df" localSheetId="14">[4]TrialBalance!$K$4:$K$144</definedName>
    <definedName name="df" localSheetId="17">[4]TrialBalance!$K$4:$K$144</definedName>
    <definedName name="df" localSheetId="8">[4]TrialBalance!$K$4:$K$144</definedName>
    <definedName name="df" localSheetId="7">[4]TrialBalance!$K$4:$K$144</definedName>
    <definedName name="df" localSheetId="16">[4]TrialBalance!$K$4:$K$144</definedName>
    <definedName name="df" localSheetId="9">[4]TrialBalance!$K$4:$K$144</definedName>
    <definedName name="df" localSheetId="15">[4]TrialBalance!$K$4:$K$144</definedName>
    <definedName name="df" localSheetId="10">[4]TrialBalance!$K$4:$K$144</definedName>
    <definedName name="df" localSheetId="18">TrialBalanceA!$L$4:$L$164</definedName>
    <definedName name="df" localSheetId="20">TrialBalanceB!$L$4:$L$164</definedName>
    <definedName name="df" localSheetId="22">TrialBalanceC!$L$4:$L$164</definedName>
    <definedName name="df">TrialBalance!$O$4:$O$164</definedName>
    <definedName name="Excel_BuiltIn_Print_Area_1" localSheetId="12">#REF!</definedName>
    <definedName name="Excel_BuiltIn_Print_Area_1" localSheetId="13">#REF!</definedName>
    <definedName name="Excel_BuiltIn_Print_Area_1" localSheetId="11">#REF!</definedName>
    <definedName name="Excel_BuiltIn_Print_Area_1" localSheetId="8">#REF!</definedName>
    <definedName name="Excel_BuiltIn_Print_Area_1" localSheetId="7">#REF!</definedName>
    <definedName name="Excel_BuiltIn_Print_Area_1" localSheetId="0">#REF!</definedName>
    <definedName name="Excel_BuiltIn_Print_Area_1" localSheetId="19">#REF!</definedName>
    <definedName name="Excel_BuiltIn_Print_Area_1" localSheetId="21">#REF!</definedName>
    <definedName name="Excel_BuiltIn_Print_Area_1" localSheetId="23">#REF!</definedName>
    <definedName name="Excel_BuiltIn_Print_Area_1" localSheetId="10">#REF!</definedName>
    <definedName name="Excel_BuiltIn_Print_Area_1" localSheetId="18">#REF!</definedName>
    <definedName name="Excel_BuiltIn_Print_Area_1" localSheetId="20">#REF!</definedName>
    <definedName name="Excel_BuiltIn_Print_Area_1" localSheetId="22">#REF!</definedName>
    <definedName name="Excel_BuiltIn_Print_Area_1">#REF!</definedName>
    <definedName name="Fixproperty" localSheetId="6">[5]StateENG!#REF!</definedName>
    <definedName name="Fixproperty" localSheetId="2">'FS2'!#REF!</definedName>
    <definedName name="Fixproperty">FS!#REF!</definedName>
    <definedName name="GameGrowth1" localSheetId="12">#REF!</definedName>
    <definedName name="GameGrowth1" localSheetId="13">#REF!</definedName>
    <definedName name="GameGrowth1" localSheetId="11">#REF!</definedName>
    <definedName name="GameGrowth1" localSheetId="8">#REF!</definedName>
    <definedName name="GameGrowth1" localSheetId="7">#REF!</definedName>
    <definedName name="GameGrowth1" localSheetId="0">#REF!</definedName>
    <definedName name="GameGrowth1" localSheetId="19">#REF!</definedName>
    <definedName name="GameGrowth1" localSheetId="21">#REF!</definedName>
    <definedName name="GameGrowth1" localSheetId="23">#REF!</definedName>
    <definedName name="GameGrowth1" localSheetId="10">#REF!</definedName>
    <definedName name="GameGrowth1" localSheetId="18">#REF!</definedName>
    <definedName name="GameGrowth1" localSheetId="20">#REF!</definedName>
    <definedName name="GameGrowth1" localSheetId="22">#REF!</definedName>
    <definedName name="GameGrowth1">#REF!</definedName>
    <definedName name="GameGrowth2" localSheetId="12">#REF!</definedName>
    <definedName name="GameGrowth2" localSheetId="13">#REF!</definedName>
    <definedName name="GameGrowth2" localSheetId="11">#REF!</definedName>
    <definedName name="GameGrowth2" localSheetId="8">#REF!</definedName>
    <definedName name="GameGrowth2" localSheetId="7">#REF!</definedName>
    <definedName name="GameGrowth2" localSheetId="0">#REF!</definedName>
    <definedName name="GameGrowth2" localSheetId="19">#REF!</definedName>
    <definedName name="GameGrowth2" localSheetId="21">#REF!</definedName>
    <definedName name="GameGrowth2" localSheetId="23">#REF!</definedName>
    <definedName name="GameGrowth2" localSheetId="10">#REF!</definedName>
    <definedName name="GameGrowth2" localSheetId="18">#REF!</definedName>
    <definedName name="GameGrowth2" localSheetId="20">#REF!</definedName>
    <definedName name="GameGrowth2" localSheetId="22">#REF!</definedName>
    <definedName name="GameGrowth2">#REF!</definedName>
    <definedName name="GameGrowth3" localSheetId="12">#REF!</definedName>
    <definedName name="GameGrowth3" localSheetId="13">#REF!</definedName>
    <definedName name="GameGrowth3" localSheetId="11">#REF!</definedName>
    <definedName name="GameGrowth3" localSheetId="8">#REF!</definedName>
    <definedName name="GameGrowth3" localSheetId="7">#REF!</definedName>
    <definedName name="GameGrowth3" localSheetId="0">#REF!</definedName>
    <definedName name="GameGrowth3" localSheetId="19">#REF!</definedName>
    <definedName name="GameGrowth3" localSheetId="21">#REF!</definedName>
    <definedName name="GameGrowth3" localSheetId="23">#REF!</definedName>
    <definedName name="GameGrowth3" localSheetId="10">#REF!</definedName>
    <definedName name="GameGrowth3" localSheetId="18">#REF!</definedName>
    <definedName name="GameGrowth3" localSheetId="20">#REF!</definedName>
    <definedName name="GameGrowth3" localSheetId="22">#REF!</definedName>
    <definedName name="GameGrowth3">#REF!</definedName>
    <definedName name="GameGrowth4" localSheetId="12">#REF!</definedName>
    <definedName name="GameGrowth4" localSheetId="13">#REF!</definedName>
    <definedName name="GameGrowth4" localSheetId="11">#REF!</definedName>
    <definedName name="GameGrowth4" localSheetId="8">#REF!</definedName>
    <definedName name="GameGrowth4" localSheetId="7">#REF!</definedName>
    <definedName name="GameGrowth4" localSheetId="0">#REF!</definedName>
    <definedName name="GameGrowth4" localSheetId="19">#REF!</definedName>
    <definedName name="GameGrowth4" localSheetId="21">#REF!</definedName>
    <definedName name="GameGrowth4" localSheetId="23">#REF!</definedName>
    <definedName name="GameGrowth4" localSheetId="10">#REF!</definedName>
    <definedName name="GameGrowth4" localSheetId="18">#REF!</definedName>
    <definedName name="GameGrowth4" localSheetId="20">#REF!</definedName>
    <definedName name="GameGrowth4" localSheetId="22">#REF!</definedName>
    <definedName name="GameGrowth4">#REF!</definedName>
    <definedName name="GameLoan" localSheetId="12">#REF!</definedName>
    <definedName name="GameLoan" localSheetId="13">#REF!</definedName>
    <definedName name="GameLoan" localSheetId="11">#REF!</definedName>
    <definedName name="GameLoan" localSheetId="8">#REF!</definedName>
    <definedName name="GameLoan" localSheetId="7">#REF!</definedName>
    <definedName name="GameLoan" localSheetId="0">#REF!</definedName>
    <definedName name="GameLoan" localSheetId="19">#REF!</definedName>
    <definedName name="GameLoan" localSheetId="21">#REF!</definedName>
    <definedName name="GameLoan" localSheetId="23">#REF!</definedName>
    <definedName name="GameLoan" localSheetId="10">#REF!</definedName>
    <definedName name="GameLoan" localSheetId="18">#REF!</definedName>
    <definedName name="GameLoan" localSheetId="20">#REF!</definedName>
    <definedName name="GameLoan" localSheetId="22">#REF!</definedName>
    <definedName name="GameLoan">#REF!</definedName>
    <definedName name="Gamesurvey" localSheetId="12">#REF!</definedName>
    <definedName name="Gamesurvey" localSheetId="13">#REF!</definedName>
    <definedName name="Gamesurvey" localSheetId="11">#REF!</definedName>
    <definedName name="Gamesurvey" localSheetId="8">#REF!</definedName>
    <definedName name="Gamesurvey" localSheetId="7">#REF!</definedName>
    <definedName name="Gamesurvey" localSheetId="0">#REF!</definedName>
    <definedName name="Gamesurvey" localSheetId="19">#REF!</definedName>
    <definedName name="Gamesurvey" localSheetId="21">#REF!</definedName>
    <definedName name="Gamesurvey" localSheetId="23">#REF!</definedName>
    <definedName name="Gamesurvey" localSheetId="10">#REF!</definedName>
    <definedName name="Gamesurvey" localSheetId="18">#REF!</definedName>
    <definedName name="Gamesurvey" localSheetId="20">#REF!</definedName>
    <definedName name="Gamesurvey" localSheetId="22">#REF!</definedName>
    <definedName name="Gamesurvey">#REF!</definedName>
    <definedName name="HPLoan" localSheetId="12">#REF!</definedName>
    <definedName name="HPLoan" localSheetId="13">#REF!</definedName>
    <definedName name="HPLoan" localSheetId="11">#REF!</definedName>
    <definedName name="HPLoan" localSheetId="8">#REF!</definedName>
    <definedName name="HPLoan" localSheetId="7">#REF!</definedName>
    <definedName name="HPLoan" localSheetId="0">#REF!</definedName>
    <definedName name="HPLoan" localSheetId="19">#REF!</definedName>
    <definedName name="HPLoan" localSheetId="21">#REF!</definedName>
    <definedName name="HPLoan" localSheetId="23">#REF!</definedName>
    <definedName name="HPLoan" localSheetId="10">#REF!</definedName>
    <definedName name="HPLoan" localSheetId="18">#REF!</definedName>
    <definedName name="HPLoan" localSheetId="20">#REF!</definedName>
    <definedName name="HPLoan" localSheetId="22">#REF!</definedName>
    <definedName name="HPLoan">#REF!</definedName>
    <definedName name="JOURNALS" localSheetId="19">JournalsA!$D$13:$G$741</definedName>
    <definedName name="JOURNALS" localSheetId="21">JournalsB!$D$13:$G$741</definedName>
    <definedName name="JOURNALS" localSheetId="23">JournalsC!$D$13:$G$741</definedName>
    <definedName name="JOURNALS">Journals!$D$13:$G$741</definedName>
    <definedName name="Loan" localSheetId="12">#REF!</definedName>
    <definedName name="Loan" localSheetId="13">#REF!</definedName>
    <definedName name="Loan" localSheetId="11">#REF!</definedName>
    <definedName name="Loan" localSheetId="8">#REF!</definedName>
    <definedName name="Loan" localSheetId="7">#REF!</definedName>
    <definedName name="Loan" localSheetId="0">#REF!</definedName>
    <definedName name="Loan" localSheetId="19">#REF!</definedName>
    <definedName name="Loan" localSheetId="21">#REF!</definedName>
    <definedName name="Loan" localSheetId="23">#REF!</definedName>
    <definedName name="Loan" localSheetId="10">#REF!</definedName>
    <definedName name="Loan" localSheetId="18">#REF!</definedName>
    <definedName name="Loan" localSheetId="20">#REF!</definedName>
    <definedName name="Loan" localSheetId="22">#REF!</definedName>
    <definedName name="Loan">#REF!</definedName>
    <definedName name="LoanPrivate" localSheetId="12">#REF!</definedName>
    <definedName name="LoanPrivate" localSheetId="13">#REF!</definedName>
    <definedName name="LoanPrivate" localSheetId="11">#REF!</definedName>
    <definedName name="LoanPrivate" localSheetId="8">#REF!</definedName>
    <definedName name="LoanPrivate" localSheetId="7">#REF!</definedName>
    <definedName name="LoanPrivate" localSheetId="0">#REF!</definedName>
    <definedName name="LoanPrivate" localSheetId="19">#REF!</definedName>
    <definedName name="LoanPrivate" localSheetId="21">#REF!</definedName>
    <definedName name="LoanPrivate" localSheetId="23">#REF!</definedName>
    <definedName name="LoanPrivate" localSheetId="10">#REF!</definedName>
    <definedName name="LoanPrivate" localSheetId="18">#REF!</definedName>
    <definedName name="LoanPrivate" localSheetId="20">#REF!</definedName>
    <definedName name="LoanPrivate" localSheetId="22">#REF!</definedName>
    <definedName name="LoanPrivate">#REF!</definedName>
    <definedName name="_xlnm.Print_Area" localSheetId="11">Debtors!$B$2:$H$93</definedName>
    <definedName name="_xlnm.Print_Area" localSheetId="14">Expenses!$B$2:$H$18</definedName>
    <definedName name="_xlnm.Print_Area" localSheetId="17">FLease1!$B$2:$H$22</definedName>
    <definedName name="_xlnm.Print_Area" localSheetId="1">FS!$A$1:$Q$3306</definedName>
    <definedName name="_xlnm.Print_Area" localSheetId="2">'FS2'!$A$1:$Q$2784</definedName>
    <definedName name="_xlnm.Print_Area" localSheetId="5">Journals!$A$1:$I$486</definedName>
    <definedName name="_xlnm.Print_Area" localSheetId="19">JournalsA!$A$1:$I$486</definedName>
    <definedName name="_xlnm.Print_Area" localSheetId="21">JournalsB!$A$1:$I$486</definedName>
    <definedName name="_xlnm.Print_Area" localSheetId="23">JournalsC!$A$1:$I$486</definedName>
    <definedName name="_xlnm.Print_Area" localSheetId="16">'Loan 1'!$B$2:$H$22</definedName>
    <definedName name="_xlnm.Print_Area" localSheetId="9">'NC Receivables'!$B$2:$H$33</definedName>
    <definedName name="_xlnm.Print_Area" localSheetId="15">Open!$B$2:$H$18</definedName>
    <definedName name="_xlnm.Print_Area" localSheetId="10">Stock!$B$2:$H$18</definedName>
    <definedName name="Profit" localSheetId="18">TrialBalanceA!$B$4:$C$164</definedName>
    <definedName name="Profit" localSheetId="20">TrialBalanceB!$B$4:$C$164</definedName>
    <definedName name="Profit" localSheetId="22">TrialBalanceC!$B$4:$C$164</definedName>
    <definedName name="Profit">TrialBalance!$B$4:$C$164</definedName>
    <definedName name="ProfitLoss" localSheetId="6">[1]TrialBalance!$K$4:$K$144</definedName>
    <definedName name="ProfitLoss" localSheetId="0">[2]TrialBalance!$P$4:$P$155</definedName>
    <definedName name="ProfitLoss" localSheetId="18">TrialBalanceA!$M$4:$M$164</definedName>
    <definedName name="ProfitLoss" localSheetId="20">TrialBalanceB!$M$4:$M$164</definedName>
    <definedName name="ProfitLoss" localSheetId="22">TrialBalanceC!$M$4:$M$164</definedName>
    <definedName name="ProfitLoss">TrialBalance!$P$4:$P$164</definedName>
    <definedName name="ProfitLoss2" localSheetId="0">[2]TrialBalanceA!$M$5:$M$155</definedName>
    <definedName name="ProfitLoss2" localSheetId="20">TrialBalanceB!$M$5:$M$164</definedName>
    <definedName name="ProfitLoss2" localSheetId="22">TrialBalanceC!$M$5:$M$164</definedName>
    <definedName name="ProfitLoss2">TrialBalanceA!$M$5:$M$164</definedName>
    <definedName name="ProfitLoss3" localSheetId="0">[2]TrialBalanceB!$M$5:$M$155</definedName>
    <definedName name="ProfitLoss3" localSheetId="22">TrialBalanceC!$M$5:$M$164</definedName>
    <definedName name="ProfitLoss3">TrialBalanceB!$M$5:$M$164</definedName>
    <definedName name="ProfitLoss4" localSheetId="0">[2]TrialBalanceC!$M$5:$M$155</definedName>
    <definedName name="ProfitLoss4">TrialBalanceC!$M$5:$M$164</definedName>
    <definedName name="ProfitLossA" localSheetId="20">TrialBalanceB!$M$5:$M$400</definedName>
    <definedName name="ProfitLossA" localSheetId="22">TrialBalanceC!$M$5:$M$400</definedName>
    <definedName name="ProfitLossA">TrialBalanceA!$M$5:$M$400</definedName>
    <definedName name="ProfitLossB" localSheetId="22">TrialBalanceC!$M$5:$M$164</definedName>
    <definedName name="ProfitLossB">TrialBalanceB!$M$5:$M$164</definedName>
    <definedName name="sd" localSheetId="12">[4]TrialBalance!$K$147:$K$374</definedName>
    <definedName name="sd" localSheetId="13">[4]TrialBalance!$K$147:$K$374</definedName>
    <definedName name="sd" localSheetId="11">[4]TrialBalance!$K$147:$K$374</definedName>
    <definedName name="sd" localSheetId="14">[4]TrialBalance!$K$147:$K$374</definedName>
    <definedName name="sd" localSheetId="17">[4]TrialBalance!$K$147:$K$374</definedName>
    <definedName name="sd" localSheetId="8">[4]TrialBalance!$K$147:$K$374</definedName>
    <definedName name="sd" localSheetId="7">[4]TrialBalance!$K$147:$K$374</definedName>
    <definedName name="sd" localSheetId="16">[4]TrialBalance!$K$147:$K$374</definedName>
    <definedName name="sd" localSheetId="9">[4]TrialBalance!$K$147:$K$374</definedName>
    <definedName name="sd" localSheetId="15">[4]TrialBalance!$K$147:$K$374</definedName>
    <definedName name="sd" localSheetId="10">[4]TrialBalance!$K$147:$K$374</definedName>
    <definedName name="sd" localSheetId="18">TrialBalanceA!#REF!</definedName>
    <definedName name="sd" localSheetId="20">TrialBalanceB!#REF!</definedName>
    <definedName name="sd" localSheetId="22">TrialBalanceC!#REF!</definedName>
    <definedName name="sd">TrialBalance!$O$167:$O$400</definedName>
    <definedName name="STATE" localSheetId="2">'FS2'!$A$1:$Q$2292</definedName>
    <definedName name="STATE">FS!$A$1:$Q$2322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9" i="246" l="1"/>
  <c r="D239" i="1"/>
  <c r="D285" i="246"/>
  <c r="D283" i="246"/>
  <c r="D286" i="1"/>
  <c r="D284" i="1"/>
  <c r="R1848" i="246"/>
  <c r="R1877" i="1"/>
  <c r="O1417" i="246"/>
  <c r="D1414" i="246"/>
  <c r="D1411" i="246"/>
  <c r="D1410" i="246"/>
  <c r="O1425" i="246"/>
  <c r="R1425" i="246" s="1"/>
  <c r="O1428" i="246"/>
  <c r="R1428" i="246" s="1"/>
  <c r="O1429" i="246"/>
  <c r="O1430" i="246"/>
  <c r="R1430" i="246" s="1"/>
  <c r="O1439" i="246"/>
  <c r="R1439" i="246" s="1"/>
  <c r="D1453" i="246"/>
  <c r="D1454" i="246"/>
  <c r="D1457" i="246"/>
  <c r="O1460" i="246"/>
  <c r="C1462" i="246"/>
  <c r="D1463" i="246"/>
  <c r="O1463" i="246"/>
  <c r="R1463" i="246" s="1"/>
  <c r="D1464" i="246"/>
  <c r="O1464" i="246"/>
  <c r="R1464" i="246" s="1"/>
  <c r="D1465" i="246"/>
  <c r="O1465" i="246"/>
  <c r="R1465" i="246"/>
  <c r="C1471" i="246"/>
  <c r="O1445" i="1"/>
  <c r="M1445" i="1"/>
  <c r="D1442" i="1"/>
  <c r="D1439" i="1"/>
  <c r="D1438" i="1"/>
  <c r="O1361" i="246"/>
  <c r="R1361" i="246" s="1"/>
  <c r="D1361" i="246"/>
  <c r="O1360" i="246"/>
  <c r="R1360" i="246" s="1"/>
  <c r="D1360" i="246"/>
  <c r="O1359" i="246"/>
  <c r="R1359" i="246" s="1"/>
  <c r="D1359" i="246"/>
  <c r="O1358" i="246"/>
  <c r="R1358" i="246" s="1"/>
  <c r="D1358" i="246"/>
  <c r="O1357" i="246"/>
  <c r="R1357" i="246" s="1"/>
  <c r="D1357" i="246"/>
  <c r="O1356" i="246"/>
  <c r="R1356" i="246" s="1"/>
  <c r="D1356" i="246"/>
  <c r="O1355" i="246"/>
  <c r="R1355" i="246" s="1"/>
  <c r="D1355" i="246"/>
  <c r="O1354" i="246"/>
  <c r="R1354" i="246" s="1"/>
  <c r="D1354" i="246"/>
  <c r="O1353" i="246"/>
  <c r="R1353" i="246" s="1"/>
  <c r="D1353" i="246"/>
  <c r="O1352" i="246"/>
  <c r="R1352" i="246" s="1"/>
  <c r="D1352" i="246"/>
  <c r="O1351" i="246"/>
  <c r="R1351" i="246" s="1"/>
  <c r="D1351" i="246"/>
  <c r="O1350" i="246"/>
  <c r="R1350" i="246" s="1"/>
  <c r="D1350" i="246"/>
  <c r="O1349" i="246"/>
  <c r="R1349" i="246" s="1"/>
  <c r="D1349" i="246"/>
  <c r="O1348" i="246"/>
  <c r="R1348" i="246" s="1"/>
  <c r="D1348" i="246"/>
  <c r="O1347" i="246"/>
  <c r="R1347" i="246" s="1"/>
  <c r="D1347" i="246"/>
  <c r="O1346" i="246"/>
  <c r="R1346" i="246" s="1"/>
  <c r="D1346" i="246"/>
  <c r="O1345" i="246"/>
  <c r="R1345" i="246" s="1"/>
  <c r="D1345" i="246"/>
  <c r="O1344" i="246"/>
  <c r="R1344" i="246" s="1"/>
  <c r="D1344" i="246"/>
  <c r="O1343" i="246"/>
  <c r="R1343" i="246" s="1"/>
  <c r="D1343" i="246"/>
  <c r="O1342" i="246"/>
  <c r="R1342" i="246" s="1"/>
  <c r="D1342" i="246"/>
  <c r="O1341" i="246"/>
  <c r="R1341" i="246" s="1"/>
  <c r="D1341" i="246"/>
  <c r="O1340" i="246"/>
  <c r="R1340" i="246" s="1"/>
  <c r="D1340" i="246"/>
  <c r="O1339" i="246"/>
  <c r="R1339" i="246" s="1"/>
  <c r="D1339" i="246"/>
  <c r="O1338" i="246"/>
  <c r="R1338" i="246" s="1"/>
  <c r="D1338" i="246"/>
  <c r="O1337" i="246"/>
  <c r="R1337" i="246" s="1"/>
  <c r="D1337" i="246"/>
  <c r="O1336" i="246"/>
  <c r="R1336" i="246" s="1"/>
  <c r="D1336" i="246"/>
  <c r="O1335" i="246"/>
  <c r="R1335" i="246" s="1"/>
  <c r="D1335" i="246"/>
  <c r="O1334" i="246"/>
  <c r="R1334" i="246" s="1"/>
  <c r="D1334" i="246"/>
  <c r="O1333" i="246"/>
  <c r="R1333" i="246" s="1"/>
  <c r="D1333" i="246"/>
  <c r="O1332" i="246"/>
  <c r="R1332" i="246" s="1"/>
  <c r="D1332" i="246"/>
  <c r="O1331" i="246"/>
  <c r="R1331" i="246" s="1"/>
  <c r="D1331" i="246"/>
  <c r="O1330" i="246"/>
  <c r="R1330" i="246" s="1"/>
  <c r="D1330" i="246"/>
  <c r="O1329" i="246"/>
  <c r="R1329" i="246" s="1"/>
  <c r="D1329" i="246"/>
  <c r="O1328" i="246"/>
  <c r="R1328" i="246" s="1"/>
  <c r="D1328" i="246"/>
  <c r="O1327" i="246"/>
  <c r="R1327" i="246" s="1"/>
  <c r="D1327" i="246"/>
  <c r="O1326" i="246"/>
  <c r="R1326" i="246" s="1"/>
  <c r="D1326" i="246"/>
  <c r="O1325" i="246"/>
  <c r="R1325" i="246" s="1"/>
  <c r="D1325" i="246"/>
  <c r="O1324" i="246"/>
  <c r="D1324" i="246"/>
  <c r="O1320" i="246"/>
  <c r="D1317" i="246"/>
  <c r="D1314" i="246"/>
  <c r="D1313" i="246"/>
  <c r="O1181" i="246"/>
  <c r="R1181" i="246" s="1"/>
  <c r="D1181" i="246"/>
  <c r="O1180" i="246"/>
  <c r="R1180" i="246" s="1"/>
  <c r="D1180" i="246"/>
  <c r="O1179" i="246"/>
  <c r="R1179" i="246" s="1"/>
  <c r="D1179" i="246"/>
  <c r="O1178" i="246"/>
  <c r="R1178" i="246" s="1"/>
  <c r="D1178" i="246"/>
  <c r="O1177" i="246"/>
  <c r="R1177" i="246" s="1"/>
  <c r="D1177" i="246"/>
  <c r="O1176" i="246"/>
  <c r="R1176" i="246" s="1"/>
  <c r="D1176" i="246"/>
  <c r="O1175" i="246"/>
  <c r="R1175" i="246" s="1"/>
  <c r="D1175" i="246"/>
  <c r="O1174" i="246"/>
  <c r="R1174" i="246" s="1"/>
  <c r="D1174" i="246"/>
  <c r="O1173" i="246"/>
  <c r="R1173" i="246" s="1"/>
  <c r="D1173" i="246"/>
  <c r="O1172" i="246"/>
  <c r="R1172" i="246" s="1"/>
  <c r="D1172" i="246"/>
  <c r="O1171" i="246"/>
  <c r="R1171" i="246" s="1"/>
  <c r="D1171" i="246"/>
  <c r="O1170" i="246"/>
  <c r="R1170" i="246" s="1"/>
  <c r="D1170" i="246"/>
  <c r="O1169" i="246"/>
  <c r="R1169" i="246" s="1"/>
  <c r="D1169" i="246"/>
  <c r="O1168" i="246"/>
  <c r="R1168" i="246" s="1"/>
  <c r="D1168" i="246"/>
  <c r="O1167" i="246"/>
  <c r="R1167" i="246" s="1"/>
  <c r="D1167" i="246"/>
  <c r="O1166" i="246"/>
  <c r="R1166" i="246" s="1"/>
  <c r="D1166" i="246"/>
  <c r="O1165" i="246"/>
  <c r="R1165" i="246" s="1"/>
  <c r="D1165" i="246"/>
  <c r="O1164" i="246"/>
  <c r="R1164" i="246" s="1"/>
  <c r="D1164" i="246"/>
  <c r="O1163" i="246"/>
  <c r="R1163" i="246" s="1"/>
  <c r="D1163" i="246"/>
  <c r="O1162" i="246"/>
  <c r="R1162" i="246" s="1"/>
  <c r="D1162" i="246"/>
  <c r="O1161" i="246"/>
  <c r="R1161" i="246" s="1"/>
  <c r="D1161" i="246"/>
  <c r="O1160" i="246"/>
  <c r="R1160" i="246" s="1"/>
  <c r="D1160" i="246"/>
  <c r="O1159" i="246"/>
  <c r="R1159" i="246" s="1"/>
  <c r="D1159" i="246"/>
  <c r="O1158" i="246"/>
  <c r="R1158" i="246" s="1"/>
  <c r="D1158" i="246"/>
  <c r="O1157" i="246"/>
  <c r="R1157" i="246" s="1"/>
  <c r="D1157" i="246"/>
  <c r="O1156" i="246"/>
  <c r="R1156" i="246" s="1"/>
  <c r="D1156" i="246"/>
  <c r="O1155" i="246"/>
  <c r="R1155" i="246" s="1"/>
  <c r="D1155" i="246"/>
  <c r="O1154" i="246"/>
  <c r="R1154" i="246" s="1"/>
  <c r="D1154" i="246"/>
  <c r="O1153" i="246"/>
  <c r="R1153" i="246" s="1"/>
  <c r="D1153" i="246"/>
  <c r="O1152" i="246"/>
  <c r="R1152" i="246" s="1"/>
  <c r="D1152" i="246"/>
  <c r="O1151" i="246"/>
  <c r="R1151" i="246" s="1"/>
  <c r="D1151" i="246"/>
  <c r="O1150" i="246"/>
  <c r="R1150" i="246" s="1"/>
  <c r="D1150" i="246"/>
  <c r="O1149" i="246"/>
  <c r="R1149" i="246" s="1"/>
  <c r="D1149" i="246"/>
  <c r="O1148" i="246"/>
  <c r="R1148" i="246" s="1"/>
  <c r="D1148" i="246"/>
  <c r="O1147" i="246"/>
  <c r="R1147" i="246" s="1"/>
  <c r="D1147" i="246"/>
  <c r="O1146" i="246"/>
  <c r="R1146" i="246" s="1"/>
  <c r="D1146" i="246"/>
  <c r="O1145" i="246"/>
  <c r="R1145" i="246" s="1"/>
  <c r="D1145" i="246"/>
  <c r="O1144" i="246"/>
  <c r="D1144" i="246"/>
  <c r="O1140" i="246"/>
  <c r="D1137" i="246"/>
  <c r="D1134" i="246"/>
  <c r="D1133" i="246"/>
  <c r="O1389" i="1"/>
  <c r="M1389" i="1"/>
  <c r="D1389" i="1"/>
  <c r="O1388" i="1"/>
  <c r="M1388" i="1"/>
  <c r="D1388" i="1"/>
  <c r="O1387" i="1"/>
  <c r="M1387" i="1"/>
  <c r="D1387" i="1"/>
  <c r="O1386" i="1"/>
  <c r="M1386" i="1"/>
  <c r="D1386" i="1"/>
  <c r="O1385" i="1"/>
  <c r="M1385" i="1"/>
  <c r="D1385" i="1"/>
  <c r="O1384" i="1"/>
  <c r="M1384" i="1"/>
  <c r="D1384" i="1"/>
  <c r="O1383" i="1"/>
  <c r="M1383" i="1"/>
  <c r="D1383" i="1"/>
  <c r="O1382" i="1"/>
  <c r="M1382" i="1"/>
  <c r="D1382" i="1"/>
  <c r="O1381" i="1"/>
  <c r="M1381" i="1"/>
  <c r="D1381" i="1"/>
  <c r="O1380" i="1"/>
  <c r="M1380" i="1"/>
  <c r="D1380" i="1"/>
  <c r="O1379" i="1"/>
  <c r="M1379" i="1"/>
  <c r="D1379" i="1"/>
  <c r="O1378" i="1"/>
  <c r="M1378" i="1"/>
  <c r="D1378" i="1"/>
  <c r="O1377" i="1"/>
  <c r="M1377" i="1"/>
  <c r="D1377" i="1"/>
  <c r="O1376" i="1"/>
  <c r="M1376" i="1"/>
  <c r="D1376" i="1"/>
  <c r="O1375" i="1"/>
  <c r="M1375" i="1"/>
  <c r="D1375" i="1"/>
  <c r="O1374" i="1"/>
  <c r="M1374" i="1"/>
  <c r="D1374" i="1"/>
  <c r="O1373" i="1"/>
  <c r="M1373" i="1"/>
  <c r="D1373" i="1"/>
  <c r="O1372" i="1"/>
  <c r="M1372" i="1"/>
  <c r="D1372" i="1"/>
  <c r="O1371" i="1"/>
  <c r="M1371" i="1"/>
  <c r="D1371" i="1"/>
  <c r="O1370" i="1"/>
  <c r="M1370" i="1"/>
  <c r="D1370" i="1"/>
  <c r="O1369" i="1"/>
  <c r="M1369" i="1"/>
  <c r="D1369" i="1"/>
  <c r="O1368" i="1"/>
  <c r="M1368" i="1"/>
  <c r="D1368" i="1"/>
  <c r="O1367" i="1"/>
  <c r="M1367" i="1"/>
  <c r="D1367" i="1"/>
  <c r="O1366" i="1"/>
  <c r="M1366" i="1"/>
  <c r="D1366" i="1"/>
  <c r="O1365" i="1"/>
  <c r="M1365" i="1"/>
  <c r="D1365" i="1"/>
  <c r="O1364" i="1"/>
  <c r="M1364" i="1"/>
  <c r="D1364" i="1"/>
  <c r="O1363" i="1"/>
  <c r="M1363" i="1"/>
  <c r="D1363" i="1"/>
  <c r="O1362" i="1"/>
  <c r="M1362" i="1"/>
  <c r="D1362" i="1"/>
  <c r="O1361" i="1"/>
  <c r="M1361" i="1"/>
  <c r="D1361" i="1"/>
  <c r="O1360" i="1"/>
  <c r="M1360" i="1"/>
  <c r="D1360" i="1"/>
  <c r="O1359" i="1"/>
  <c r="M1359" i="1"/>
  <c r="D1359" i="1"/>
  <c r="O1358" i="1"/>
  <c r="M1358" i="1"/>
  <c r="D1358" i="1"/>
  <c r="O1357" i="1"/>
  <c r="M1357" i="1"/>
  <c r="D1357" i="1"/>
  <c r="O1356" i="1"/>
  <c r="M1356" i="1"/>
  <c r="D1356" i="1"/>
  <c r="O1355" i="1"/>
  <c r="M1355" i="1"/>
  <c r="D1355" i="1"/>
  <c r="O1354" i="1"/>
  <c r="M1354" i="1"/>
  <c r="R1354" i="1" s="1"/>
  <c r="D1354" i="1"/>
  <c r="O1353" i="1"/>
  <c r="M1353" i="1"/>
  <c r="D1353" i="1"/>
  <c r="O1352" i="1"/>
  <c r="M1352" i="1"/>
  <c r="R1352" i="1" s="1"/>
  <c r="D1352" i="1"/>
  <c r="O1348" i="1"/>
  <c r="M1348" i="1"/>
  <c r="D1345" i="1"/>
  <c r="D1342" i="1"/>
  <c r="D1341" i="1"/>
  <c r="O1181" i="1"/>
  <c r="M1181" i="1"/>
  <c r="D1181" i="1"/>
  <c r="O1180" i="1"/>
  <c r="M1180" i="1"/>
  <c r="D1180" i="1"/>
  <c r="O1179" i="1"/>
  <c r="M1179" i="1"/>
  <c r="D1179" i="1"/>
  <c r="O1178" i="1"/>
  <c r="M1178" i="1"/>
  <c r="D1178" i="1"/>
  <c r="O1177" i="1"/>
  <c r="M1177" i="1"/>
  <c r="D1177" i="1"/>
  <c r="O1176" i="1"/>
  <c r="M1176" i="1"/>
  <c r="D1176" i="1"/>
  <c r="O1175" i="1"/>
  <c r="M1175" i="1"/>
  <c r="D1175" i="1"/>
  <c r="O1174" i="1"/>
  <c r="M1174" i="1"/>
  <c r="D1174" i="1"/>
  <c r="O1173" i="1"/>
  <c r="M1173" i="1"/>
  <c r="D1173" i="1"/>
  <c r="O1172" i="1"/>
  <c r="M1172" i="1"/>
  <c r="D1172" i="1"/>
  <c r="O1171" i="1"/>
  <c r="M1171" i="1"/>
  <c r="D1171" i="1"/>
  <c r="O1170" i="1"/>
  <c r="M1170" i="1"/>
  <c r="D1170" i="1"/>
  <c r="O1169" i="1"/>
  <c r="M1169" i="1"/>
  <c r="D1169" i="1"/>
  <c r="O1168" i="1"/>
  <c r="M1168" i="1"/>
  <c r="D1168" i="1"/>
  <c r="O1167" i="1"/>
  <c r="M1167" i="1"/>
  <c r="D1167" i="1"/>
  <c r="O1166" i="1"/>
  <c r="M1166" i="1"/>
  <c r="D1166" i="1"/>
  <c r="O1165" i="1"/>
  <c r="M1165" i="1"/>
  <c r="D1165" i="1"/>
  <c r="O1164" i="1"/>
  <c r="M1164" i="1"/>
  <c r="D1164" i="1"/>
  <c r="O1163" i="1"/>
  <c r="M1163" i="1"/>
  <c r="D1163" i="1"/>
  <c r="O1162" i="1"/>
  <c r="M1162" i="1"/>
  <c r="D1162" i="1"/>
  <c r="O1161" i="1"/>
  <c r="M1161" i="1"/>
  <c r="D1161" i="1"/>
  <c r="O1160" i="1"/>
  <c r="M1160" i="1"/>
  <c r="D1160" i="1"/>
  <c r="O1159" i="1"/>
  <c r="M1159" i="1"/>
  <c r="D1159" i="1"/>
  <c r="O1158" i="1"/>
  <c r="M1158" i="1"/>
  <c r="D1158" i="1"/>
  <c r="O1157" i="1"/>
  <c r="M1157" i="1"/>
  <c r="D1157" i="1"/>
  <c r="O1156" i="1"/>
  <c r="M1156" i="1"/>
  <c r="D1156" i="1"/>
  <c r="O1155" i="1"/>
  <c r="M1155" i="1"/>
  <c r="D1155" i="1"/>
  <c r="O1154" i="1"/>
  <c r="M1154" i="1"/>
  <c r="D1154" i="1"/>
  <c r="O1153" i="1"/>
  <c r="M1153" i="1"/>
  <c r="D1153" i="1"/>
  <c r="O1152" i="1"/>
  <c r="M1152" i="1"/>
  <c r="D1152" i="1"/>
  <c r="O1151" i="1"/>
  <c r="M1151" i="1"/>
  <c r="D1151" i="1"/>
  <c r="O1150" i="1"/>
  <c r="M1150" i="1"/>
  <c r="D1150" i="1"/>
  <c r="O1149" i="1"/>
  <c r="M1149" i="1"/>
  <c r="D1149" i="1"/>
  <c r="O1148" i="1"/>
  <c r="M1148" i="1"/>
  <c r="D1148" i="1"/>
  <c r="O1147" i="1"/>
  <c r="M1147" i="1"/>
  <c r="D1147" i="1"/>
  <c r="O1146" i="1"/>
  <c r="M1146" i="1"/>
  <c r="R1146" i="1" s="1"/>
  <c r="D1146" i="1"/>
  <c r="O1145" i="1"/>
  <c r="M1145" i="1"/>
  <c r="D1145" i="1"/>
  <c r="O1144" i="1"/>
  <c r="M1144" i="1"/>
  <c r="R1144" i="1" s="1"/>
  <c r="D1144" i="1"/>
  <c r="O1140" i="1"/>
  <c r="M1140" i="1"/>
  <c r="D1137" i="1"/>
  <c r="D1134" i="1"/>
  <c r="D1133" i="1"/>
  <c r="F121" i="4"/>
  <c r="G204" i="4"/>
  <c r="F204" i="4"/>
  <c r="G162" i="4"/>
  <c r="F162" i="4"/>
  <c r="D1307" i="246"/>
  <c r="D1335" i="1"/>
  <c r="O2007" i="246"/>
  <c r="D2004" i="246"/>
  <c r="D2001" i="246"/>
  <c r="D2000" i="246"/>
  <c r="M2036" i="1"/>
  <c r="D2033" i="1"/>
  <c r="D2030" i="1"/>
  <c r="D2029" i="1"/>
  <c r="O1883" i="246"/>
  <c r="R1883" i="246" s="1"/>
  <c r="O1882" i="246"/>
  <c r="S1882" i="246" s="1"/>
  <c r="O1869" i="246"/>
  <c r="R1869" i="246" s="1"/>
  <c r="O1868" i="246"/>
  <c r="R1868" i="246" s="1"/>
  <c r="O1862" i="246"/>
  <c r="S1862" i="246" s="1"/>
  <c r="O1861" i="246"/>
  <c r="S1861" i="246" s="1"/>
  <c r="D1900" i="246"/>
  <c r="D1901" i="246"/>
  <c r="D1904" i="246"/>
  <c r="O1907" i="246"/>
  <c r="O1910" i="246"/>
  <c r="R1910" i="246" s="1"/>
  <c r="O1911" i="246"/>
  <c r="R1911" i="246" s="1"/>
  <c r="O1912" i="246"/>
  <c r="R1912" i="246" s="1"/>
  <c r="O1913" i="246"/>
  <c r="R1913" i="246" s="1"/>
  <c r="O1914" i="246"/>
  <c r="R1914" i="246" s="1"/>
  <c r="O1915" i="246"/>
  <c r="R1915" i="246" s="1"/>
  <c r="D1926" i="246"/>
  <c r="D1927" i="246"/>
  <c r="D1930" i="246"/>
  <c r="O1912" i="1"/>
  <c r="U1912" i="1" s="1"/>
  <c r="O1911" i="1"/>
  <c r="U1911" i="1" s="1"/>
  <c r="M1912" i="1"/>
  <c r="M1911" i="1"/>
  <c r="O1905" i="1"/>
  <c r="U1905" i="1" s="1"/>
  <c r="O1904" i="1"/>
  <c r="U1904" i="1" s="1"/>
  <c r="O1898" i="1"/>
  <c r="U1898" i="1" s="1"/>
  <c r="O1897" i="1"/>
  <c r="U1897" i="1" s="1"/>
  <c r="M1898" i="1"/>
  <c r="S1898" i="1" s="1"/>
  <c r="M1897" i="1"/>
  <c r="R1353" i="1" l="1"/>
  <c r="R1145" i="1"/>
  <c r="S1439" i="246"/>
  <c r="S1425" i="246"/>
  <c r="O1468" i="246"/>
  <c r="R1468" i="246" s="1"/>
  <c r="O1364" i="246"/>
  <c r="R1364" i="246" s="1"/>
  <c r="R1324" i="246"/>
  <c r="R1357" i="1"/>
  <c r="R1361" i="1"/>
  <c r="R1365" i="1"/>
  <c r="R1369" i="1"/>
  <c r="R1373" i="1"/>
  <c r="R1377" i="1"/>
  <c r="R1381" i="1"/>
  <c r="R1385" i="1"/>
  <c r="R1389" i="1"/>
  <c r="R1358" i="1"/>
  <c r="R1362" i="1"/>
  <c r="R1366" i="1"/>
  <c r="R1370" i="1"/>
  <c r="R1374" i="1"/>
  <c r="R1378" i="1"/>
  <c r="R1382" i="1"/>
  <c r="R1386" i="1"/>
  <c r="R1355" i="1"/>
  <c r="R1359" i="1"/>
  <c r="R1363" i="1"/>
  <c r="R1367" i="1"/>
  <c r="R1371" i="1"/>
  <c r="R1375" i="1"/>
  <c r="R1379" i="1"/>
  <c r="R1383" i="1"/>
  <c r="R1387" i="1"/>
  <c r="R1356" i="1"/>
  <c r="R1360" i="1"/>
  <c r="R1364" i="1"/>
  <c r="R1368" i="1"/>
  <c r="R1372" i="1"/>
  <c r="R1376" i="1"/>
  <c r="R1380" i="1"/>
  <c r="R1384" i="1"/>
  <c r="R1388" i="1"/>
  <c r="O1392" i="1"/>
  <c r="M1392" i="1"/>
  <c r="R1392" i="1" s="1"/>
  <c r="S1883" i="246"/>
  <c r="O1879" i="246" s="1"/>
  <c r="R1879" i="246" s="1"/>
  <c r="R1881" i="246" s="1"/>
  <c r="O1184" i="246"/>
  <c r="R1144" i="246"/>
  <c r="R1149" i="1"/>
  <c r="R1153" i="1"/>
  <c r="R1157" i="1"/>
  <c r="R1161" i="1"/>
  <c r="R1165" i="1"/>
  <c r="R1169" i="1"/>
  <c r="R1173" i="1"/>
  <c r="R1177" i="1"/>
  <c r="R1181" i="1"/>
  <c r="R1147" i="1"/>
  <c r="R1151" i="1"/>
  <c r="R1155" i="1"/>
  <c r="R1159" i="1"/>
  <c r="R1163" i="1"/>
  <c r="R1167" i="1"/>
  <c r="R1172" i="1"/>
  <c r="R1176" i="1"/>
  <c r="R1180" i="1"/>
  <c r="R1171" i="1"/>
  <c r="R1148" i="1"/>
  <c r="R1152" i="1"/>
  <c r="R1156" i="1"/>
  <c r="R1160" i="1"/>
  <c r="R1164" i="1"/>
  <c r="R1168" i="1"/>
  <c r="R1175" i="1"/>
  <c r="R1179" i="1"/>
  <c r="O1184" i="1"/>
  <c r="R1150" i="1"/>
  <c r="R1154" i="1"/>
  <c r="R1158" i="1"/>
  <c r="R1162" i="1"/>
  <c r="R1166" i="1"/>
  <c r="R1170" i="1"/>
  <c r="R1174" i="1"/>
  <c r="R1178" i="1"/>
  <c r="O1894" i="1"/>
  <c r="M1184" i="1"/>
  <c r="O1908" i="1"/>
  <c r="R1897" i="1"/>
  <c r="O1858" i="246"/>
  <c r="S1868" i="246"/>
  <c r="S1869" i="246"/>
  <c r="R1882" i="246"/>
  <c r="R1911" i="1"/>
  <c r="O1901" i="1"/>
  <c r="R1912" i="1"/>
  <c r="S1911" i="1"/>
  <c r="R1898" i="1"/>
  <c r="S1897" i="1"/>
  <c r="M1894" i="1" s="1"/>
  <c r="S1912" i="1"/>
  <c r="O1918" i="246"/>
  <c r="R1918" i="246" s="1"/>
  <c r="M2991" i="1"/>
  <c r="O2991" i="1"/>
  <c r="F400" i="192"/>
  <c r="F400" i="190"/>
  <c r="F400" i="136"/>
  <c r="D612" i="246"/>
  <c r="D609" i="246"/>
  <c r="R609" i="246" s="1"/>
  <c r="D608" i="246"/>
  <c r="R1453" i="246" l="1"/>
  <c r="R1456" i="246"/>
  <c r="R1459" i="246"/>
  <c r="R1466" i="246"/>
  <c r="R1469" i="246"/>
  <c r="R1460" i="246"/>
  <c r="R1452" i="246"/>
  <c r="R1467" i="246"/>
  <c r="R1470" i="246"/>
  <c r="R1454" i="246"/>
  <c r="R1457" i="246"/>
  <c r="R1462" i="246"/>
  <c r="R1455" i="246"/>
  <c r="R1458" i="246"/>
  <c r="R1461" i="246"/>
  <c r="R1471" i="246"/>
  <c r="R1323" i="246"/>
  <c r="R1319" i="246"/>
  <c r="R1315" i="246"/>
  <c r="R1368" i="246"/>
  <c r="R1363" i="246"/>
  <c r="R1316" i="246"/>
  <c r="R1322" i="246"/>
  <c r="R1318" i="246"/>
  <c r="R1313" i="246"/>
  <c r="R1367" i="246"/>
  <c r="R1362" i="246"/>
  <c r="R1314" i="246"/>
  <c r="R1369" i="246"/>
  <c r="R1321" i="246"/>
  <c r="R1317" i="246"/>
  <c r="R1312" i="246"/>
  <c r="R1366" i="246"/>
  <c r="R1320" i="246"/>
  <c r="R1365" i="246"/>
  <c r="R1351" i="1"/>
  <c r="R1347" i="1"/>
  <c r="R1343" i="1"/>
  <c r="R1396" i="1"/>
  <c r="R1391" i="1"/>
  <c r="R1350" i="1"/>
  <c r="R1346" i="1"/>
  <c r="R1341" i="1"/>
  <c r="R1395" i="1"/>
  <c r="R1390" i="1"/>
  <c r="R1349" i="1"/>
  <c r="R1345" i="1"/>
  <c r="R1340" i="1"/>
  <c r="R1394" i="1"/>
  <c r="R1342" i="1"/>
  <c r="R1348" i="1"/>
  <c r="R1344" i="1"/>
  <c r="R1397" i="1"/>
  <c r="R1393" i="1"/>
  <c r="R1184" i="246"/>
  <c r="O1865" i="246"/>
  <c r="R1865" i="246" s="1"/>
  <c r="R1871" i="246" s="1"/>
  <c r="R1884" i="246"/>
  <c r="R1894" i="1"/>
  <c r="R1896" i="1" s="1"/>
  <c r="R1184" i="1"/>
  <c r="R1880" i="246"/>
  <c r="M1908" i="1"/>
  <c r="R1908" i="1" s="1"/>
  <c r="R1902" i="246"/>
  <c r="R1905" i="246"/>
  <c r="R1908" i="246"/>
  <c r="R1917" i="246"/>
  <c r="R1920" i="246"/>
  <c r="R1924" i="246"/>
  <c r="R1921" i="246"/>
  <c r="R1923" i="246"/>
  <c r="R1900" i="246"/>
  <c r="R1903" i="246"/>
  <c r="R1906" i="246"/>
  <c r="R1899" i="246"/>
  <c r="R1909" i="246"/>
  <c r="R1922" i="246"/>
  <c r="R1901" i="246"/>
  <c r="R1904" i="246"/>
  <c r="R1907" i="246"/>
  <c r="R1916" i="246"/>
  <c r="R1919" i="246"/>
  <c r="G18" i="230"/>
  <c r="D612" i="1"/>
  <c r="D609" i="1"/>
  <c r="R609" i="1" s="1"/>
  <c r="D608" i="1"/>
  <c r="R1895" i="1" l="1"/>
  <c r="R1899" i="1"/>
  <c r="R1134" i="246"/>
  <c r="R1140" i="246"/>
  <c r="R1136" i="246"/>
  <c r="R1189" i="246"/>
  <c r="R1185" i="246"/>
  <c r="R1141" i="246"/>
  <c r="R1143" i="246"/>
  <c r="R1139" i="246"/>
  <c r="R1135" i="246"/>
  <c r="R1188" i="246"/>
  <c r="R1183" i="246"/>
  <c r="R1137" i="246"/>
  <c r="R1186" i="246"/>
  <c r="R1142" i="246"/>
  <c r="R1138" i="246"/>
  <c r="R1133" i="246"/>
  <c r="R1187" i="246"/>
  <c r="R1182" i="246"/>
  <c r="R1132" i="246"/>
  <c r="R1870" i="246"/>
  <c r="R1866" i="246"/>
  <c r="R1867" i="246"/>
  <c r="R1134" i="1"/>
  <c r="R1140" i="1"/>
  <c r="R1136" i="1"/>
  <c r="R1189" i="1"/>
  <c r="R1185" i="1"/>
  <c r="R1141" i="1"/>
  <c r="R1143" i="1"/>
  <c r="R1139" i="1"/>
  <c r="R1135" i="1"/>
  <c r="R1188" i="1"/>
  <c r="R1137" i="1"/>
  <c r="R1132" i="1"/>
  <c r="R1186" i="1"/>
  <c r="R1142" i="1"/>
  <c r="R1138" i="1"/>
  <c r="R1133" i="1"/>
  <c r="R1187" i="1"/>
  <c r="R1900" i="1"/>
  <c r="R1183" i="1"/>
  <c r="R1182" i="1"/>
  <c r="R1909" i="1"/>
  <c r="R1913" i="1"/>
  <c r="R1910" i="1"/>
  <c r="C2116" i="1"/>
  <c r="D413" i="246" l="1"/>
  <c r="D413" i="1"/>
  <c r="D352" i="246"/>
  <c r="D351" i="1"/>
  <c r="D326" i="246"/>
  <c r="D328" i="1"/>
  <c r="D318" i="246"/>
  <c r="D319" i="246"/>
  <c r="D317" i="246"/>
  <c r="D320" i="1"/>
  <c r="D321" i="1"/>
  <c r="D319" i="1"/>
  <c r="D241" i="246"/>
  <c r="D241" i="1"/>
  <c r="O971" i="246" l="1"/>
  <c r="R971" i="246" s="1"/>
  <c r="O374" i="246"/>
  <c r="O971" i="1"/>
  <c r="M971" i="1"/>
  <c r="M373" i="1"/>
  <c r="M91" i="192"/>
  <c r="K91" i="192"/>
  <c r="G91" i="192"/>
  <c r="I91" i="192" s="1"/>
  <c r="M91" i="190"/>
  <c r="K91" i="190"/>
  <c r="G91" i="190"/>
  <c r="I91" i="190" s="1"/>
  <c r="M91" i="136"/>
  <c r="K91" i="136"/>
  <c r="G91" i="136"/>
  <c r="I91" i="136" s="1"/>
  <c r="P91" i="5"/>
  <c r="N91" i="5"/>
  <c r="J91" i="5"/>
  <c r="L91" i="5" s="1"/>
  <c r="C11" i="89"/>
  <c r="C10" i="89"/>
  <c r="O2067" i="246"/>
  <c r="R2067" i="246" s="1"/>
  <c r="O2066" i="246"/>
  <c r="R2066" i="246" s="1"/>
  <c r="O2065" i="246"/>
  <c r="R2065" i="246" s="1"/>
  <c r="O2059" i="246"/>
  <c r="D2056" i="246"/>
  <c r="D2053" i="246"/>
  <c r="D2052" i="246"/>
  <c r="O2041" i="246"/>
  <c r="R2041" i="246" s="1"/>
  <c r="O2040" i="246"/>
  <c r="R2040" i="246" s="1"/>
  <c r="O2039" i="246"/>
  <c r="O2034" i="246"/>
  <c r="D2031" i="246"/>
  <c r="D2028" i="246"/>
  <c r="D2027" i="246"/>
  <c r="M2096" i="1"/>
  <c r="M2095" i="1"/>
  <c r="M2094" i="1"/>
  <c r="O2096" i="1"/>
  <c r="O2095" i="1"/>
  <c r="O2094" i="1"/>
  <c r="M2088" i="1"/>
  <c r="D2085" i="1"/>
  <c r="D2082" i="1"/>
  <c r="D2081" i="1"/>
  <c r="M2070" i="1"/>
  <c r="M2069" i="1"/>
  <c r="M2068" i="1"/>
  <c r="O2070" i="1"/>
  <c r="O2069" i="1"/>
  <c r="O2068" i="1"/>
  <c r="M2063" i="1"/>
  <c r="D2060" i="1"/>
  <c r="D2057" i="1"/>
  <c r="D2056" i="1"/>
  <c r="F351" i="4"/>
  <c r="M161" i="192"/>
  <c r="G161" i="192" s="1"/>
  <c r="I161" i="192" s="1"/>
  <c r="H161" i="5" s="1"/>
  <c r="K161" i="192"/>
  <c r="M161" i="190"/>
  <c r="G161" i="190" s="1"/>
  <c r="I161" i="190" s="1"/>
  <c r="G161" i="5" s="1"/>
  <c r="K161" i="190"/>
  <c r="M161" i="136"/>
  <c r="K161" i="136"/>
  <c r="G161" i="136"/>
  <c r="I161" i="136" s="1"/>
  <c r="F161" i="5" s="1"/>
  <c r="P161" i="5"/>
  <c r="J161" i="5" s="1"/>
  <c r="N161" i="5"/>
  <c r="M223" i="192"/>
  <c r="K223" i="192"/>
  <c r="G223" i="192"/>
  <c r="I223" i="192" s="1"/>
  <c r="H223" i="5" s="1"/>
  <c r="M222" i="192"/>
  <c r="G222" i="192" s="1"/>
  <c r="I222" i="192" s="1"/>
  <c r="H222" i="5" s="1"/>
  <c r="K222" i="192"/>
  <c r="M223" i="190"/>
  <c r="G223" i="190" s="1"/>
  <c r="I223" i="190" s="1"/>
  <c r="G223" i="5" s="1"/>
  <c r="K223" i="190"/>
  <c r="M222" i="190"/>
  <c r="G222" i="190" s="1"/>
  <c r="I222" i="190" s="1"/>
  <c r="G222" i="5" s="1"/>
  <c r="K222" i="190"/>
  <c r="M223" i="136"/>
  <c r="G223" i="136" s="1"/>
  <c r="I223" i="136" s="1"/>
  <c r="F223" i="5" s="1"/>
  <c r="K223" i="136"/>
  <c r="M222" i="136"/>
  <c r="G222" i="136" s="1"/>
  <c r="I222" i="136" s="1"/>
  <c r="F222" i="5" s="1"/>
  <c r="K222" i="136"/>
  <c r="P223" i="5"/>
  <c r="J223" i="5" s="1"/>
  <c r="N223" i="5"/>
  <c r="P222" i="5"/>
  <c r="J222" i="5" s="1"/>
  <c r="N222" i="5"/>
  <c r="G21" i="4"/>
  <c r="I11" i="89"/>
  <c r="K80" i="89"/>
  <c r="K79" i="89"/>
  <c r="K78" i="89"/>
  <c r="K77" i="89"/>
  <c r="K76" i="89"/>
  <c r="K75" i="89"/>
  <c r="K74" i="89"/>
  <c r="K73" i="89"/>
  <c r="K72" i="89"/>
  <c r="K71" i="89"/>
  <c r="K70" i="89"/>
  <c r="K69" i="89"/>
  <c r="K67" i="89"/>
  <c r="K66" i="89"/>
  <c r="K65" i="89"/>
  <c r="K64" i="89"/>
  <c r="K63" i="89"/>
  <c r="K62" i="89"/>
  <c r="K61" i="89"/>
  <c r="K60" i="89"/>
  <c r="K59" i="89"/>
  <c r="K58" i="89"/>
  <c r="K57" i="89"/>
  <c r="K68" i="89"/>
  <c r="K81" i="89" s="1"/>
  <c r="K11" i="89" s="1"/>
  <c r="J81" i="89"/>
  <c r="I81" i="89"/>
  <c r="O1266" i="246"/>
  <c r="D1263" i="246"/>
  <c r="D1260" i="246"/>
  <c r="D1259" i="246"/>
  <c r="M1294" i="1"/>
  <c r="D1291" i="1"/>
  <c r="D1288" i="1"/>
  <c r="D1287" i="1"/>
  <c r="M248" i="192"/>
  <c r="G248" i="192" s="1"/>
  <c r="I248" i="192" s="1"/>
  <c r="H248" i="5" s="1"/>
  <c r="K248" i="192"/>
  <c r="M248" i="190"/>
  <c r="G248" i="190" s="1"/>
  <c r="I248" i="190" s="1"/>
  <c r="G248" i="5" s="1"/>
  <c r="K248" i="190"/>
  <c r="M248" i="136"/>
  <c r="G248" i="136" s="1"/>
  <c r="I248" i="136" s="1"/>
  <c r="F248" i="5" s="1"/>
  <c r="K248" i="136"/>
  <c r="P248" i="5"/>
  <c r="J248" i="5" s="1"/>
  <c r="N248" i="5"/>
  <c r="O1314" i="1" s="1"/>
  <c r="U1314" i="1" s="1"/>
  <c r="M244" i="192"/>
  <c r="G244" i="192" s="1"/>
  <c r="I244" i="192" s="1"/>
  <c r="H244" i="5" s="1"/>
  <c r="K244" i="192"/>
  <c r="M233" i="192"/>
  <c r="G233" i="192" s="1"/>
  <c r="I233" i="192" s="1"/>
  <c r="H233" i="5" s="1"/>
  <c r="K233" i="192"/>
  <c r="M244" i="190"/>
  <c r="G244" i="190" s="1"/>
  <c r="I244" i="190" s="1"/>
  <c r="G244" i="5" s="1"/>
  <c r="K244" i="190"/>
  <c r="M233" i="190"/>
  <c r="G233" i="190" s="1"/>
  <c r="I233" i="190" s="1"/>
  <c r="G233" i="5" s="1"/>
  <c r="K233" i="190"/>
  <c r="M244" i="136"/>
  <c r="G244" i="136" s="1"/>
  <c r="I244" i="136" s="1"/>
  <c r="F244" i="5" s="1"/>
  <c r="K244" i="136"/>
  <c r="M233" i="136"/>
  <c r="G233" i="136" s="1"/>
  <c r="I233" i="136" s="1"/>
  <c r="F233" i="5" s="1"/>
  <c r="K233" i="136"/>
  <c r="P244" i="5"/>
  <c r="N244" i="5"/>
  <c r="O1320" i="1" s="1"/>
  <c r="U1320" i="1" s="1"/>
  <c r="P233" i="5"/>
  <c r="N233" i="5"/>
  <c r="O1097" i="1" s="1"/>
  <c r="U1097" i="1" s="1"/>
  <c r="M155" i="192"/>
  <c r="G155" i="192" s="1"/>
  <c r="I155" i="192" s="1"/>
  <c r="O2739" i="246" s="1"/>
  <c r="K155" i="192"/>
  <c r="O3097" i="1" s="1"/>
  <c r="M155" i="190"/>
  <c r="G155" i="190" s="1"/>
  <c r="I155" i="190" s="1"/>
  <c r="M2769" i="1" s="1"/>
  <c r="K155" i="190"/>
  <c r="O2769" i="1" s="1"/>
  <c r="M155" i="136"/>
  <c r="G155" i="136" s="1"/>
  <c r="I155" i="136" s="1"/>
  <c r="O2605" i="1" s="1"/>
  <c r="K155" i="136"/>
  <c r="O2441" i="1" s="1"/>
  <c r="P155" i="5"/>
  <c r="N155" i="5"/>
  <c r="O2265" i="1" s="1"/>
  <c r="O1086" i="246"/>
  <c r="M1086" i="1"/>
  <c r="R971" i="1" l="1"/>
  <c r="R2096" i="1"/>
  <c r="L161" i="5"/>
  <c r="R2094" i="1"/>
  <c r="R2095" i="1"/>
  <c r="R2070" i="1"/>
  <c r="R2069" i="1"/>
  <c r="O2070" i="246"/>
  <c r="R2070" i="246" s="1"/>
  <c r="O2044" i="246"/>
  <c r="R2044" i="246" s="1"/>
  <c r="R2039" i="246"/>
  <c r="O2099" i="1"/>
  <c r="R2068" i="1"/>
  <c r="M2099" i="1"/>
  <c r="M2073" i="1"/>
  <c r="O2073" i="1"/>
  <c r="L223" i="5"/>
  <c r="L222" i="5"/>
  <c r="L248" i="5"/>
  <c r="M1314" i="1" s="1"/>
  <c r="M3097" i="1"/>
  <c r="O3261" i="1"/>
  <c r="O2933" i="1"/>
  <c r="O2575" i="246"/>
  <c r="M2441" i="1"/>
  <c r="O2411" i="246"/>
  <c r="D2769" i="246"/>
  <c r="D2605" i="246"/>
  <c r="D2441" i="246"/>
  <c r="D2265" i="246"/>
  <c r="D3291" i="1"/>
  <c r="D3127" i="1"/>
  <c r="D2963" i="1"/>
  <c r="D2799" i="1"/>
  <c r="D2635" i="1"/>
  <c r="D2471" i="1"/>
  <c r="D2295" i="1"/>
  <c r="D1003" i="246"/>
  <c r="R2073" i="1" l="1"/>
  <c r="R2057" i="1" s="1"/>
  <c r="R2099" i="1"/>
  <c r="R2082" i="1" s="1"/>
  <c r="R2053" i="246"/>
  <c r="R2061" i="246"/>
  <c r="R2057" i="246"/>
  <c r="R2052" i="246"/>
  <c r="R2074" i="246"/>
  <c r="R2069" i="246"/>
  <c r="R2075" i="246"/>
  <c r="R2064" i="246"/>
  <c r="R2060" i="246"/>
  <c r="R2056" i="246"/>
  <c r="R2051" i="246"/>
  <c r="R2073" i="246"/>
  <c r="R2068" i="246"/>
  <c r="R2063" i="246"/>
  <c r="R2059" i="246"/>
  <c r="R2055" i="246"/>
  <c r="R2076" i="246"/>
  <c r="R2072" i="246"/>
  <c r="R2062" i="246"/>
  <c r="R2058" i="246"/>
  <c r="R2054" i="246"/>
  <c r="R2071" i="246"/>
  <c r="R2028" i="246"/>
  <c r="R2035" i="246"/>
  <c r="R2031" i="246"/>
  <c r="R2026" i="246"/>
  <c r="R2047" i="246"/>
  <c r="R2032" i="246"/>
  <c r="R2038" i="246"/>
  <c r="R2034" i="246"/>
  <c r="R2030" i="246"/>
  <c r="R2050" i="246"/>
  <c r="R2046" i="246"/>
  <c r="R2036" i="246"/>
  <c r="R2048" i="246"/>
  <c r="R2037" i="246"/>
  <c r="R2033" i="246"/>
  <c r="R2029" i="246"/>
  <c r="R2049" i="246"/>
  <c r="R2045" i="246"/>
  <c r="R2027" i="246"/>
  <c r="R2042" i="246"/>
  <c r="R2043" i="246"/>
  <c r="R1314" i="1"/>
  <c r="S1314" i="1"/>
  <c r="O1286" i="246"/>
  <c r="D1003" i="1"/>
  <c r="D2661" i="246"/>
  <c r="D2497" i="246"/>
  <c r="D2333" i="246"/>
  <c r="D2156" i="246"/>
  <c r="D3183" i="1"/>
  <c r="D3019" i="1"/>
  <c r="D2855" i="1"/>
  <c r="D2691" i="1"/>
  <c r="D2527" i="1"/>
  <c r="D2363" i="1"/>
  <c r="D2186" i="1"/>
  <c r="D858" i="246"/>
  <c r="D852" i="246"/>
  <c r="D846" i="246"/>
  <c r="D840" i="246"/>
  <c r="D858" i="1"/>
  <c r="D852" i="1"/>
  <c r="D846" i="1"/>
  <c r="D840" i="1"/>
  <c r="R2078" i="1" l="1"/>
  <c r="R2062" i="1"/>
  <c r="R2067" i="1"/>
  <c r="R2065" i="1"/>
  <c r="R2055" i="1"/>
  <c r="R2077" i="1"/>
  <c r="R2075" i="1"/>
  <c r="R2105" i="1"/>
  <c r="R2080" i="1"/>
  <c r="R2074" i="1"/>
  <c r="R2066" i="1"/>
  <c r="R2079" i="1"/>
  <c r="R2061" i="1"/>
  <c r="R2060" i="1"/>
  <c r="R2059" i="1"/>
  <c r="R2071" i="1"/>
  <c r="R2064" i="1"/>
  <c r="R2072" i="1"/>
  <c r="R2058" i="1"/>
  <c r="R2056" i="1"/>
  <c r="R2063" i="1"/>
  <c r="R2076" i="1"/>
  <c r="R2087" i="1"/>
  <c r="R2101" i="1"/>
  <c r="R2100" i="1"/>
  <c r="R2084" i="1"/>
  <c r="R2089" i="1"/>
  <c r="R2097" i="1"/>
  <c r="R2098" i="1"/>
  <c r="R2104" i="1"/>
  <c r="R2092" i="1"/>
  <c r="R2085" i="1"/>
  <c r="R2081" i="1"/>
  <c r="R2091" i="1"/>
  <c r="R2088" i="1"/>
  <c r="R2102" i="1"/>
  <c r="R2093" i="1"/>
  <c r="R2090" i="1"/>
  <c r="R2083" i="1"/>
  <c r="R2086" i="1"/>
  <c r="R2103" i="1"/>
  <c r="R1286" i="246"/>
  <c r="S1286" i="246"/>
  <c r="M96" i="192"/>
  <c r="G96" i="192" s="1"/>
  <c r="I96" i="192" s="1"/>
  <c r="K96" i="192"/>
  <c r="O3127" i="1" s="1"/>
  <c r="M96" i="190"/>
  <c r="G96" i="190" s="1"/>
  <c r="I96" i="190" s="1"/>
  <c r="K96" i="190"/>
  <c r="O2799" i="1" s="1"/>
  <c r="M96" i="136"/>
  <c r="G96" i="136" s="1"/>
  <c r="I96" i="136" s="1"/>
  <c r="K96" i="136"/>
  <c r="O2471" i="1" s="1"/>
  <c r="P96" i="5"/>
  <c r="N96" i="5"/>
  <c r="M33" i="192"/>
  <c r="G33" i="192" s="1"/>
  <c r="I33" i="192" s="1"/>
  <c r="K33" i="192"/>
  <c r="M33" i="190"/>
  <c r="G33" i="190" s="1"/>
  <c r="I33" i="190" s="1"/>
  <c r="K33" i="190"/>
  <c r="M33" i="136"/>
  <c r="G33" i="136" s="1"/>
  <c r="I33" i="136" s="1"/>
  <c r="K33" i="136"/>
  <c r="P33" i="5"/>
  <c r="N33" i="5"/>
  <c r="M238" i="192"/>
  <c r="G238" i="192" s="1"/>
  <c r="I238" i="192" s="1"/>
  <c r="H238" i="5" s="1"/>
  <c r="K238" i="192"/>
  <c r="M238" i="190"/>
  <c r="G238" i="190" s="1"/>
  <c r="I238" i="190" s="1"/>
  <c r="G238" i="5" s="1"/>
  <c r="K238" i="190"/>
  <c r="M238" i="136"/>
  <c r="G238" i="136" s="1"/>
  <c r="I238" i="136" s="1"/>
  <c r="F238" i="5" s="1"/>
  <c r="K238" i="136"/>
  <c r="P238" i="5"/>
  <c r="N238" i="5"/>
  <c r="O1105" i="1" s="1"/>
  <c r="U1105" i="1" s="1"/>
  <c r="M243" i="192"/>
  <c r="G243" i="192" s="1"/>
  <c r="I243" i="192" s="1"/>
  <c r="H243" i="5" s="1"/>
  <c r="K243" i="192"/>
  <c r="M242" i="192"/>
  <c r="G242" i="192" s="1"/>
  <c r="I242" i="192" s="1"/>
  <c r="H242" i="5" s="1"/>
  <c r="K242" i="192"/>
  <c r="M241" i="192"/>
  <c r="G241" i="192" s="1"/>
  <c r="I241" i="192" s="1"/>
  <c r="H241" i="5" s="1"/>
  <c r="K241" i="192"/>
  <c r="M240" i="192"/>
  <c r="G240" i="192" s="1"/>
  <c r="K240" i="192"/>
  <c r="M239" i="192"/>
  <c r="G239" i="192" s="1"/>
  <c r="I239" i="192" s="1"/>
  <c r="K239" i="192"/>
  <c r="M243" i="190"/>
  <c r="G243" i="190" s="1"/>
  <c r="I243" i="190" s="1"/>
  <c r="G243" i="5" s="1"/>
  <c r="K243" i="190"/>
  <c r="M242" i="190"/>
  <c r="G242" i="190" s="1"/>
  <c r="I242" i="190" s="1"/>
  <c r="G242" i="5" s="1"/>
  <c r="K242" i="190"/>
  <c r="M241" i="190"/>
  <c r="G241" i="190" s="1"/>
  <c r="I241" i="190" s="1"/>
  <c r="G241" i="5" s="1"/>
  <c r="K241" i="190"/>
  <c r="M240" i="190"/>
  <c r="G240" i="190" s="1"/>
  <c r="K240" i="190"/>
  <c r="M239" i="190"/>
  <c r="G239" i="190" s="1"/>
  <c r="I239" i="190" s="1"/>
  <c r="K239" i="190"/>
  <c r="M243" i="136"/>
  <c r="G243" i="136" s="1"/>
  <c r="I243" i="136" s="1"/>
  <c r="F243" i="5" s="1"/>
  <c r="K243" i="136"/>
  <c r="M242" i="136"/>
  <c r="G242" i="136" s="1"/>
  <c r="I242" i="136" s="1"/>
  <c r="F242" i="5" s="1"/>
  <c r="K242" i="136"/>
  <c r="M241" i="136"/>
  <c r="G241" i="136" s="1"/>
  <c r="I241" i="136" s="1"/>
  <c r="F241" i="5" s="1"/>
  <c r="K241" i="136"/>
  <c r="M240" i="136"/>
  <c r="G240" i="136" s="1"/>
  <c r="K240" i="136"/>
  <c r="M239" i="136"/>
  <c r="G239" i="136" s="1"/>
  <c r="I239" i="136" s="1"/>
  <c r="K239" i="136"/>
  <c r="F240" i="192" l="1"/>
  <c r="F240" i="136"/>
  <c r="I240" i="136" s="1"/>
  <c r="F240" i="190"/>
  <c r="O3019" i="1"/>
  <c r="O858" i="1"/>
  <c r="O858" i="246"/>
  <c r="R858" i="246" s="1"/>
  <c r="O2661" i="246"/>
  <c r="M3019" i="1"/>
  <c r="O3183" i="1"/>
  <c r="M858" i="1"/>
  <c r="O2769" i="246"/>
  <c r="M3127" i="1"/>
  <c r="O3291" i="1"/>
  <c r="O852" i="1"/>
  <c r="O2691" i="1"/>
  <c r="O2855" i="1"/>
  <c r="O852" i="246"/>
  <c r="R852" i="246" s="1"/>
  <c r="M852" i="1"/>
  <c r="R852" i="1" s="1"/>
  <c r="O2497" i="246"/>
  <c r="M2691" i="1"/>
  <c r="O2963" i="1"/>
  <c r="M2799" i="1"/>
  <c r="O2605" i="246"/>
  <c r="O2441" i="246"/>
  <c r="O2635" i="1"/>
  <c r="M2471" i="1"/>
  <c r="O2363" i="1"/>
  <c r="O846" i="1"/>
  <c r="O846" i="246"/>
  <c r="R846" i="246" s="1"/>
  <c r="O2527" i="1"/>
  <c r="M846" i="1"/>
  <c r="O2333" i="246"/>
  <c r="M2363" i="1"/>
  <c r="O840" i="1"/>
  <c r="O2186" i="1"/>
  <c r="O2295" i="1"/>
  <c r="O1003" i="1"/>
  <c r="I240" i="190"/>
  <c r="I240" i="192"/>
  <c r="P243" i="5"/>
  <c r="N243" i="5"/>
  <c r="O1308" i="1" s="1"/>
  <c r="U1308" i="1" s="1"/>
  <c r="P242" i="5"/>
  <c r="N242" i="5"/>
  <c r="O1313" i="1" s="1"/>
  <c r="U1313" i="1" s="1"/>
  <c r="O1310" i="1" s="1"/>
  <c r="P241" i="5"/>
  <c r="J241" i="5" s="1"/>
  <c r="L241" i="5" s="1"/>
  <c r="N241" i="5"/>
  <c r="O1304" i="1" s="1"/>
  <c r="U1304" i="1" s="1"/>
  <c r="P240" i="5"/>
  <c r="J240" i="5" s="1"/>
  <c r="N240" i="5"/>
  <c r="P239" i="5"/>
  <c r="J239" i="5" s="1"/>
  <c r="L239" i="5" s="1"/>
  <c r="N239" i="5"/>
  <c r="B791" i="246"/>
  <c r="B791" i="1"/>
  <c r="D2754" i="246"/>
  <c r="D2590" i="246"/>
  <c r="D2426" i="246"/>
  <c r="D2250" i="246"/>
  <c r="D3276" i="1"/>
  <c r="D3112" i="1"/>
  <c r="D2948" i="1"/>
  <c r="D2784" i="1"/>
  <c r="D2620" i="1"/>
  <c r="D2456" i="1"/>
  <c r="D2280" i="1"/>
  <c r="R858" i="1" l="1"/>
  <c r="O1276" i="246"/>
  <c r="S1276" i="246" s="1"/>
  <c r="M1304" i="1"/>
  <c r="S1304" i="1" s="1"/>
  <c r="I240" i="5"/>
  <c r="L240" i="5" s="1"/>
  <c r="O1300" i="1"/>
  <c r="O1330" i="1"/>
  <c r="R846" i="1"/>
  <c r="B807" i="246"/>
  <c r="B807" i="1"/>
  <c r="D403" i="5"/>
  <c r="U1300" i="1" l="1"/>
  <c r="O1272" i="246"/>
  <c r="M1300" i="1"/>
  <c r="B834" i="246"/>
  <c r="B834" i="1"/>
  <c r="M300" i="192"/>
  <c r="G300" i="192" s="1"/>
  <c r="I300" i="192" s="1"/>
  <c r="H300" i="5" s="1"/>
  <c r="K300" i="192"/>
  <c r="M299" i="192"/>
  <c r="G299" i="192" s="1"/>
  <c r="K299" i="192"/>
  <c r="M298" i="192"/>
  <c r="G298" i="192" s="1"/>
  <c r="I298" i="192" s="1"/>
  <c r="K298" i="192"/>
  <c r="M297" i="192"/>
  <c r="G297" i="192" s="1"/>
  <c r="I297" i="192" s="1"/>
  <c r="H297" i="5" s="1"/>
  <c r="K297" i="192"/>
  <c r="M296" i="192"/>
  <c r="G296" i="192" s="1"/>
  <c r="K296" i="192"/>
  <c r="M295" i="192"/>
  <c r="G295" i="192" s="1"/>
  <c r="I295" i="192" s="1"/>
  <c r="K295" i="192"/>
  <c r="M294" i="192"/>
  <c r="G294" i="192" s="1"/>
  <c r="I294" i="192" s="1"/>
  <c r="H294" i="5" s="1"/>
  <c r="K294" i="192"/>
  <c r="M293" i="192"/>
  <c r="G293" i="192" s="1"/>
  <c r="K293" i="192"/>
  <c r="M292" i="192"/>
  <c r="G292" i="192" s="1"/>
  <c r="I292" i="192" s="1"/>
  <c r="K292" i="192"/>
  <c r="M291" i="192"/>
  <c r="G291" i="192" s="1"/>
  <c r="I291" i="192" s="1"/>
  <c r="H291" i="5" s="1"/>
  <c r="K291" i="192"/>
  <c r="M290" i="192"/>
  <c r="G290" i="192" s="1"/>
  <c r="K290" i="192"/>
  <c r="M289" i="192"/>
  <c r="G289" i="192" s="1"/>
  <c r="I289" i="192" s="1"/>
  <c r="K289" i="192"/>
  <c r="M288" i="192"/>
  <c r="G288" i="192" s="1"/>
  <c r="I288" i="192" s="1"/>
  <c r="H288" i="5" s="1"/>
  <c r="K288" i="192"/>
  <c r="M287" i="192"/>
  <c r="G287" i="192" s="1"/>
  <c r="K287" i="192"/>
  <c r="M286" i="192"/>
  <c r="G286" i="192" s="1"/>
  <c r="I286" i="192" s="1"/>
  <c r="K286" i="192"/>
  <c r="M285" i="192"/>
  <c r="G285" i="192" s="1"/>
  <c r="I285" i="192" s="1"/>
  <c r="H285" i="5" s="1"/>
  <c r="K285" i="192"/>
  <c r="M284" i="192"/>
  <c r="G284" i="192" s="1"/>
  <c r="K284" i="192"/>
  <c r="M283" i="192"/>
  <c r="G283" i="192" s="1"/>
  <c r="I283" i="192" s="1"/>
  <c r="K283" i="192"/>
  <c r="M139" i="192"/>
  <c r="G139" i="192" s="1"/>
  <c r="I139" i="192" s="1"/>
  <c r="K139" i="192"/>
  <c r="O3112" i="1" s="1"/>
  <c r="M300" i="190"/>
  <c r="G300" i="190" s="1"/>
  <c r="I300" i="190" s="1"/>
  <c r="G300" i="5" s="1"/>
  <c r="K300" i="190"/>
  <c r="M299" i="190"/>
  <c r="G299" i="190" s="1"/>
  <c r="K299" i="190"/>
  <c r="M298" i="190"/>
  <c r="G298" i="190" s="1"/>
  <c r="I298" i="190" s="1"/>
  <c r="K298" i="190"/>
  <c r="M297" i="190"/>
  <c r="G297" i="190" s="1"/>
  <c r="I297" i="190" s="1"/>
  <c r="G297" i="5" s="1"/>
  <c r="K297" i="190"/>
  <c r="M296" i="190"/>
  <c r="G296" i="190" s="1"/>
  <c r="K296" i="190"/>
  <c r="M295" i="190"/>
  <c r="G295" i="190" s="1"/>
  <c r="I295" i="190" s="1"/>
  <c r="K295" i="190"/>
  <c r="M294" i="190"/>
  <c r="G294" i="190" s="1"/>
  <c r="I294" i="190" s="1"/>
  <c r="G294" i="5" s="1"/>
  <c r="K294" i="190"/>
  <c r="M293" i="190"/>
  <c r="G293" i="190" s="1"/>
  <c r="K293" i="190"/>
  <c r="M292" i="190"/>
  <c r="G292" i="190" s="1"/>
  <c r="I292" i="190" s="1"/>
  <c r="K292" i="190"/>
  <c r="M291" i="190"/>
  <c r="G291" i="190" s="1"/>
  <c r="I291" i="190" s="1"/>
  <c r="G291" i="5" s="1"/>
  <c r="K291" i="190"/>
  <c r="M290" i="190"/>
  <c r="G290" i="190" s="1"/>
  <c r="K290" i="190"/>
  <c r="M289" i="190"/>
  <c r="G289" i="190" s="1"/>
  <c r="I289" i="190" s="1"/>
  <c r="K289" i="190"/>
  <c r="M288" i="190"/>
  <c r="G288" i="190" s="1"/>
  <c r="I288" i="190" s="1"/>
  <c r="G288" i="5" s="1"/>
  <c r="K288" i="190"/>
  <c r="M287" i="190"/>
  <c r="G287" i="190" s="1"/>
  <c r="K287" i="190"/>
  <c r="M286" i="190"/>
  <c r="G286" i="190" s="1"/>
  <c r="I286" i="190" s="1"/>
  <c r="K286" i="190"/>
  <c r="M285" i="190"/>
  <c r="G285" i="190" s="1"/>
  <c r="I285" i="190" s="1"/>
  <c r="G285" i="5" s="1"/>
  <c r="K285" i="190"/>
  <c r="M284" i="190"/>
  <c r="G284" i="190" s="1"/>
  <c r="K284" i="190"/>
  <c r="M283" i="190"/>
  <c r="G283" i="190" s="1"/>
  <c r="I283" i="190" s="1"/>
  <c r="K283" i="190"/>
  <c r="M139" i="190"/>
  <c r="G139" i="190" s="1"/>
  <c r="I139" i="190" s="1"/>
  <c r="K139" i="190"/>
  <c r="O2784" i="1" s="1"/>
  <c r="M300" i="136"/>
  <c r="G300" i="136" s="1"/>
  <c r="I300" i="136" s="1"/>
  <c r="F300" i="5" s="1"/>
  <c r="K300" i="136"/>
  <c r="M299" i="136"/>
  <c r="G299" i="136" s="1"/>
  <c r="K299" i="136"/>
  <c r="M298" i="136"/>
  <c r="G298" i="136" s="1"/>
  <c r="I298" i="136" s="1"/>
  <c r="K298" i="136"/>
  <c r="M297" i="136"/>
  <c r="G297" i="136" s="1"/>
  <c r="I297" i="136" s="1"/>
  <c r="F297" i="5" s="1"/>
  <c r="K297" i="136"/>
  <c r="M296" i="136"/>
  <c r="G296" i="136" s="1"/>
  <c r="K296" i="136"/>
  <c r="M295" i="136"/>
  <c r="G295" i="136" s="1"/>
  <c r="I295" i="136" s="1"/>
  <c r="K295" i="136"/>
  <c r="M294" i="136"/>
  <c r="G294" i="136" s="1"/>
  <c r="I294" i="136" s="1"/>
  <c r="F294" i="5" s="1"/>
  <c r="K294" i="136"/>
  <c r="M293" i="136"/>
  <c r="G293" i="136" s="1"/>
  <c r="K293" i="136"/>
  <c r="M292" i="136"/>
  <c r="G292" i="136" s="1"/>
  <c r="I292" i="136" s="1"/>
  <c r="K292" i="136"/>
  <c r="M291" i="136"/>
  <c r="G291" i="136" s="1"/>
  <c r="I291" i="136" s="1"/>
  <c r="F291" i="5" s="1"/>
  <c r="K291" i="136"/>
  <c r="M290" i="136"/>
  <c r="G290" i="136" s="1"/>
  <c r="K290" i="136"/>
  <c r="M289" i="136"/>
  <c r="G289" i="136" s="1"/>
  <c r="I289" i="136" s="1"/>
  <c r="K289" i="136"/>
  <c r="M288" i="136"/>
  <c r="G288" i="136" s="1"/>
  <c r="I288" i="136" s="1"/>
  <c r="F288" i="5" s="1"/>
  <c r="K288" i="136"/>
  <c r="M287" i="136"/>
  <c r="G287" i="136" s="1"/>
  <c r="K287" i="136"/>
  <c r="M286" i="136"/>
  <c r="G286" i="136" s="1"/>
  <c r="I286" i="136" s="1"/>
  <c r="K286" i="136"/>
  <c r="M285" i="136"/>
  <c r="G285" i="136" s="1"/>
  <c r="I285" i="136" s="1"/>
  <c r="F285" i="5" s="1"/>
  <c r="K285" i="136"/>
  <c r="M284" i="136"/>
  <c r="G284" i="136" s="1"/>
  <c r="K284" i="136"/>
  <c r="M283" i="136"/>
  <c r="G283" i="136" s="1"/>
  <c r="I283" i="136" s="1"/>
  <c r="K283" i="136"/>
  <c r="M139" i="136"/>
  <c r="G139" i="136" s="1"/>
  <c r="I139" i="136" s="1"/>
  <c r="K139" i="136"/>
  <c r="O2456" i="1" s="1"/>
  <c r="S1272" i="246" l="1"/>
  <c r="V1300" i="1"/>
  <c r="S1300" i="1"/>
  <c r="F296" i="190"/>
  <c r="I296" i="190" s="1"/>
  <c r="B878" i="246"/>
  <c r="B965" i="246" s="1"/>
  <c r="B878" i="1"/>
  <c r="F299" i="190"/>
  <c r="I299" i="190" s="1"/>
  <c r="F299" i="192"/>
  <c r="I299" i="192" s="1"/>
  <c r="F296" i="192"/>
  <c r="F284" i="192"/>
  <c r="I284" i="192" s="1"/>
  <c r="F287" i="192"/>
  <c r="I287" i="192" s="1"/>
  <c r="F290" i="192"/>
  <c r="I290" i="192" s="1"/>
  <c r="F293" i="192"/>
  <c r="I293" i="192" s="1"/>
  <c r="O3276" i="1"/>
  <c r="O2754" i="246"/>
  <c r="M3112" i="1"/>
  <c r="I296" i="192"/>
  <c r="F287" i="190"/>
  <c r="I287" i="190" s="1"/>
  <c r="F290" i="190"/>
  <c r="I290" i="190" s="1"/>
  <c r="F293" i="190"/>
  <c r="I293" i="190" s="1"/>
  <c r="F284" i="190"/>
  <c r="I284" i="190" s="1"/>
  <c r="O2948" i="1"/>
  <c r="M2784" i="1"/>
  <c r="O2590" i="246"/>
  <c r="F299" i="136"/>
  <c r="I299" i="136" s="1"/>
  <c r="F287" i="136"/>
  <c r="I287" i="136" s="1"/>
  <c r="F284" i="136"/>
  <c r="I284" i="136" s="1"/>
  <c r="F290" i="136"/>
  <c r="I290" i="136" s="1"/>
  <c r="F293" i="136"/>
  <c r="I293" i="136" s="1"/>
  <c r="F296" i="136"/>
  <c r="I296" i="136" s="1"/>
  <c r="M2456" i="1"/>
  <c r="O2426" i="246"/>
  <c r="O2620" i="1"/>
  <c r="P300" i="5"/>
  <c r="J300" i="5" s="1"/>
  <c r="L300" i="5" s="1"/>
  <c r="N300" i="5"/>
  <c r="O1458" i="1" s="1"/>
  <c r="P299" i="5"/>
  <c r="J299" i="5" s="1"/>
  <c r="N299" i="5"/>
  <c r="P298" i="5"/>
  <c r="J298" i="5" s="1"/>
  <c r="L298" i="5" s="1"/>
  <c r="N298" i="5"/>
  <c r="P297" i="5"/>
  <c r="N297" i="5"/>
  <c r="O1457" i="1" s="1"/>
  <c r="P296" i="5"/>
  <c r="J296" i="5" s="1"/>
  <c r="N296" i="5"/>
  <c r="P295" i="5"/>
  <c r="J295" i="5" s="1"/>
  <c r="L295" i="5" s="1"/>
  <c r="N295" i="5"/>
  <c r="P294" i="5"/>
  <c r="J294" i="5" s="1"/>
  <c r="L294" i="5" s="1"/>
  <c r="N294" i="5"/>
  <c r="O1456" i="1" s="1"/>
  <c r="P293" i="5"/>
  <c r="J293" i="5" s="1"/>
  <c r="N293" i="5"/>
  <c r="P292" i="5"/>
  <c r="J292" i="5" s="1"/>
  <c r="L292" i="5" s="1"/>
  <c r="N292" i="5"/>
  <c r="P291" i="5"/>
  <c r="N291" i="5"/>
  <c r="O1421" i="1" s="1"/>
  <c r="P290" i="5"/>
  <c r="J290" i="5" s="1"/>
  <c r="N290" i="5"/>
  <c r="P289" i="5"/>
  <c r="J289" i="5" s="1"/>
  <c r="L289" i="5" s="1"/>
  <c r="N289" i="5"/>
  <c r="P288" i="5"/>
  <c r="N288" i="5"/>
  <c r="O1420" i="1" s="1"/>
  <c r="P287" i="5"/>
  <c r="J287" i="5" s="1"/>
  <c r="N287" i="5"/>
  <c r="P286" i="5"/>
  <c r="J286" i="5" s="1"/>
  <c r="L286" i="5" s="1"/>
  <c r="N286" i="5"/>
  <c r="P285" i="5"/>
  <c r="J285" i="5" s="1"/>
  <c r="L285" i="5" s="1"/>
  <c r="N285" i="5"/>
  <c r="P284" i="5"/>
  <c r="J284" i="5" s="1"/>
  <c r="N284" i="5"/>
  <c r="P283" i="5"/>
  <c r="J283" i="5" s="1"/>
  <c r="L283" i="5" s="1"/>
  <c r="N283" i="5"/>
  <c r="P139" i="5"/>
  <c r="N139" i="5"/>
  <c r="O2280" i="1" s="1"/>
  <c r="B1024" i="246" l="1"/>
  <c r="B965" i="1"/>
  <c r="O1467" i="1"/>
  <c r="U1467" i="1" s="1"/>
  <c r="O1453" i="1"/>
  <c r="U1453" i="1" s="1"/>
  <c r="O1465" i="1"/>
  <c r="U1465" i="1" s="1"/>
  <c r="O1451" i="1"/>
  <c r="U1451" i="1" s="1"/>
  <c r="I296" i="5"/>
  <c r="L296" i="5" s="1"/>
  <c r="O1466" i="1"/>
  <c r="U1466" i="1" s="1"/>
  <c r="O1452" i="1"/>
  <c r="U1452" i="1" s="1"/>
  <c r="O1415" i="1"/>
  <c r="U1415" i="1" s="1"/>
  <c r="O1429" i="1"/>
  <c r="U1429" i="1" s="1"/>
  <c r="O1430" i="1"/>
  <c r="U1430" i="1" s="1"/>
  <c r="O1416" i="1"/>
  <c r="U1416" i="1" s="1"/>
  <c r="I284" i="5"/>
  <c r="L284" i="5" s="1"/>
  <c r="O1419" i="1"/>
  <c r="O1414" i="1"/>
  <c r="U1414" i="1" s="1"/>
  <c r="O1473" i="1"/>
  <c r="O1428" i="1"/>
  <c r="U1428" i="1" s="1"/>
  <c r="O426" i="1"/>
  <c r="M1456" i="1"/>
  <c r="R1456" i="1" s="1"/>
  <c r="M1419" i="1"/>
  <c r="O1391" i="246"/>
  <c r="R1391" i="246" s="1"/>
  <c r="M1458" i="1"/>
  <c r="R1458" i="1" s="1"/>
  <c r="I287" i="5"/>
  <c r="L287" i="5" s="1"/>
  <c r="I299" i="5"/>
  <c r="L299" i="5" s="1"/>
  <c r="I290" i="5"/>
  <c r="L290" i="5" s="1"/>
  <c r="I293" i="5"/>
  <c r="L293" i="5" s="1"/>
  <c r="D1195" i="246"/>
  <c r="D1192" i="246"/>
  <c r="D1191" i="246"/>
  <c r="D1195" i="1"/>
  <c r="D1192" i="1"/>
  <c r="D1191" i="1"/>
  <c r="O876" i="246"/>
  <c r="D873" i="246"/>
  <c r="D870" i="246"/>
  <c r="R870" i="246" s="1"/>
  <c r="D869" i="246"/>
  <c r="O832" i="246"/>
  <c r="D829" i="246"/>
  <c r="D826" i="246"/>
  <c r="D825" i="246"/>
  <c r="M876" i="1"/>
  <c r="D873" i="1"/>
  <c r="D870" i="1"/>
  <c r="R870" i="1" s="1"/>
  <c r="D869" i="1"/>
  <c r="M832" i="1"/>
  <c r="D829" i="1"/>
  <c r="D826" i="1"/>
  <c r="D825" i="1"/>
  <c r="D788" i="246"/>
  <c r="D785" i="246"/>
  <c r="R785" i="246" s="1"/>
  <c r="D784" i="246"/>
  <c r="D767" i="246"/>
  <c r="D764" i="246"/>
  <c r="R764" i="246" s="1"/>
  <c r="D763" i="246"/>
  <c r="D748" i="246"/>
  <c r="D745" i="246"/>
  <c r="R745" i="246" s="1"/>
  <c r="D744" i="246"/>
  <c r="D733" i="246"/>
  <c r="D730" i="246"/>
  <c r="R730" i="246" s="1"/>
  <c r="D729" i="246"/>
  <c r="D711" i="246"/>
  <c r="D708" i="246"/>
  <c r="R708" i="246" s="1"/>
  <c r="D707" i="246"/>
  <c r="D693" i="246"/>
  <c r="D690" i="246"/>
  <c r="R690" i="246" s="1"/>
  <c r="D689" i="246"/>
  <c r="D675" i="246"/>
  <c r="D672" i="246"/>
  <c r="R672" i="246" s="1"/>
  <c r="D671" i="246"/>
  <c r="D658" i="246"/>
  <c r="D655" i="246"/>
  <c r="R655" i="246" s="1"/>
  <c r="D654" i="246"/>
  <c r="D632" i="246"/>
  <c r="D629" i="246"/>
  <c r="R629" i="246" s="1"/>
  <c r="D628" i="246"/>
  <c r="D788" i="1"/>
  <c r="D785" i="1"/>
  <c r="R785" i="1" s="1"/>
  <c r="D784" i="1"/>
  <c r="D767" i="1"/>
  <c r="D764" i="1"/>
  <c r="R764" i="1" s="1"/>
  <c r="D763" i="1"/>
  <c r="D748" i="1"/>
  <c r="D745" i="1"/>
  <c r="R745" i="1" s="1"/>
  <c r="D744" i="1"/>
  <c r="D733" i="1"/>
  <c r="D730" i="1"/>
  <c r="R730" i="1" s="1"/>
  <c r="D729" i="1"/>
  <c r="D711" i="1"/>
  <c r="D708" i="1"/>
  <c r="R708" i="1" s="1"/>
  <c r="D707" i="1"/>
  <c r="D693" i="1"/>
  <c r="D690" i="1"/>
  <c r="R690" i="1" s="1"/>
  <c r="D689" i="1"/>
  <c r="D675" i="1"/>
  <c r="D672" i="1"/>
  <c r="R672" i="1" s="1"/>
  <c r="D671" i="1"/>
  <c r="D658" i="1"/>
  <c r="D655" i="1"/>
  <c r="R655" i="1" s="1"/>
  <c r="D654" i="1"/>
  <c r="D632" i="1"/>
  <c r="D629" i="1"/>
  <c r="R629" i="1" s="1"/>
  <c r="D628" i="1"/>
  <c r="M232" i="192"/>
  <c r="K232" i="192"/>
  <c r="M232" i="190"/>
  <c r="K232" i="190"/>
  <c r="M232" i="136"/>
  <c r="K232" i="136"/>
  <c r="P232" i="5"/>
  <c r="N232" i="5"/>
  <c r="O1104" i="1" s="1"/>
  <c r="U1104" i="1" s="1"/>
  <c r="O1101" i="1" s="1"/>
  <c r="D701" i="246"/>
  <c r="D701" i="1"/>
  <c r="K638" i="246"/>
  <c r="J638" i="246"/>
  <c r="D638" i="246"/>
  <c r="K638" i="1"/>
  <c r="J638" i="1"/>
  <c r="D638" i="1"/>
  <c r="D566" i="246"/>
  <c r="D567" i="1"/>
  <c r="C564" i="246"/>
  <c r="C565" i="1"/>
  <c r="C152" i="192"/>
  <c r="C152" i="190"/>
  <c r="C152" i="136"/>
  <c r="C152" i="5"/>
  <c r="D1493" i="1"/>
  <c r="D1492" i="1"/>
  <c r="D1491" i="1"/>
  <c r="M1488" i="1"/>
  <c r="D1485" i="1"/>
  <c r="D1482" i="1"/>
  <c r="D1481" i="1"/>
  <c r="K305" i="192"/>
  <c r="F305" i="192" s="1"/>
  <c r="K304" i="192"/>
  <c r="F304" i="192" s="1"/>
  <c r="K303" i="192"/>
  <c r="F303" i="192" s="1"/>
  <c r="M302" i="192"/>
  <c r="G302" i="192" s="1"/>
  <c r="I302" i="192" s="1"/>
  <c r="K302" i="192"/>
  <c r="C305" i="192"/>
  <c r="M305" i="192" s="1"/>
  <c r="G305" i="192" s="1"/>
  <c r="C304" i="192"/>
  <c r="M304" i="192" s="1"/>
  <c r="G304" i="192" s="1"/>
  <c r="C303" i="192"/>
  <c r="M303" i="192" s="1"/>
  <c r="K305" i="190"/>
  <c r="F305" i="190" s="1"/>
  <c r="K304" i="190"/>
  <c r="K303" i="190"/>
  <c r="F303" i="190" s="1"/>
  <c r="M302" i="190"/>
  <c r="G302" i="190" s="1"/>
  <c r="I302" i="190" s="1"/>
  <c r="K302" i="190"/>
  <c r="F304" i="190"/>
  <c r="C305" i="190"/>
  <c r="M305" i="190" s="1"/>
  <c r="G305" i="190" s="1"/>
  <c r="C304" i="190"/>
  <c r="M304" i="190" s="1"/>
  <c r="G304" i="190" s="1"/>
  <c r="C303" i="190"/>
  <c r="M303" i="190" s="1"/>
  <c r="K305" i="136"/>
  <c r="F305" i="136" s="1"/>
  <c r="K304" i="136"/>
  <c r="F304" i="136" s="1"/>
  <c r="K303" i="136"/>
  <c r="F303" i="136" s="1"/>
  <c r="M302" i="136"/>
  <c r="G302" i="136" s="1"/>
  <c r="I302" i="136" s="1"/>
  <c r="K302" i="136"/>
  <c r="C305" i="136"/>
  <c r="M305" i="136" s="1"/>
  <c r="G305" i="136" s="1"/>
  <c r="C304" i="136"/>
  <c r="M304" i="136" s="1"/>
  <c r="G304" i="136" s="1"/>
  <c r="C303" i="136"/>
  <c r="M303" i="136" s="1"/>
  <c r="G303" i="136" s="1"/>
  <c r="P305" i="5"/>
  <c r="J305" i="5" s="1"/>
  <c r="N305" i="5"/>
  <c r="I305" i="5" s="1"/>
  <c r="P304" i="5"/>
  <c r="J304" i="5" s="1"/>
  <c r="N304" i="5"/>
  <c r="I304" i="5" s="1"/>
  <c r="P303" i="5"/>
  <c r="N303" i="5"/>
  <c r="I303" i="5" s="1"/>
  <c r="P302" i="5"/>
  <c r="J302" i="5" s="1"/>
  <c r="L302" i="5" s="1"/>
  <c r="N302" i="5"/>
  <c r="D1241" i="246"/>
  <c r="D1238" i="246"/>
  <c r="D1237" i="246"/>
  <c r="C113" i="5"/>
  <c r="O1424" i="246" l="1"/>
  <c r="S1424" i="246" s="1"/>
  <c r="O1438" i="246"/>
  <c r="S1438" i="246" s="1"/>
  <c r="O1437" i="246"/>
  <c r="S1437" i="246" s="1"/>
  <c r="O1423" i="246"/>
  <c r="S1423" i="246" s="1"/>
  <c r="O1420" i="246" s="1"/>
  <c r="O1445" i="246"/>
  <c r="C570" i="1"/>
  <c r="C582" i="1" s="1"/>
  <c r="R1419" i="1"/>
  <c r="B1088" i="246"/>
  <c r="B1024" i="1"/>
  <c r="O1461" i="1"/>
  <c r="M1428" i="1"/>
  <c r="S1428" i="1" s="1"/>
  <c r="O1400" i="246"/>
  <c r="S1400" i="246" s="1"/>
  <c r="O1386" i="246"/>
  <c r="S1386" i="246" s="1"/>
  <c r="M1414" i="1"/>
  <c r="S1414" i="1" s="1"/>
  <c r="O1411" i="1"/>
  <c r="X426" i="1"/>
  <c r="O1424" i="1"/>
  <c r="O1448" i="1"/>
  <c r="M1416" i="1"/>
  <c r="O1388" i="246"/>
  <c r="M1451" i="1"/>
  <c r="S1451" i="1" s="1"/>
  <c r="M1465" i="1"/>
  <c r="S1465" i="1" s="1"/>
  <c r="O1387" i="246"/>
  <c r="S1387" i="246" s="1"/>
  <c r="M1415" i="1"/>
  <c r="S1415" i="1" s="1"/>
  <c r="M1453" i="1"/>
  <c r="M1467" i="1"/>
  <c r="M1452" i="1"/>
  <c r="S1452" i="1" s="1"/>
  <c r="I305" i="190"/>
  <c r="G305" i="5" s="1"/>
  <c r="I304" i="192"/>
  <c r="H304" i="5" s="1"/>
  <c r="I305" i="192"/>
  <c r="H305" i="5" s="1"/>
  <c r="I304" i="190"/>
  <c r="G304" i="5" s="1"/>
  <c r="I304" i="136"/>
  <c r="F304" i="5" s="1"/>
  <c r="I305" i="136"/>
  <c r="F305" i="5" s="1"/>
  <c r="O1492" i="1"/>
  <c r="O1493" i="1"/>
  <c r="C569" i="246"/>
  <c r="O1491" i="1"/>
  <c r="O427" i="1"/>
  <c r="I303" i="136"/>
  <c r="F303" i="5" s="1"/>
  <c r="D814" i="246"/>
  <c r="D813" i="246"/>
  <c r="D812" i="246"/>
  <c r="D811" i="246"/>
  <c r="D810" i="246"/>
  <c r="D809" i="246"/>
  <c r="D808" i="246"/>
  <c r="O805" i="246"/>
  <c r="D1083" i="246"/>
  <c r="D1080" i="246"/>
  <c r="D1079" i="246"/>
  <c r="D814" i="1"/>
  <c r="D813" i="1"/>
  <c r="D812" i="1"/>
  <c r="D811" i="1"/>
  <c r="D810" i="1"/>
  <c r="D809" i="1"/>
  <c r="D808" i="1"/>
  <c r="M805" i="1"/>
  <c r="D1083" i="1"/>
  <c r="D1080" i="1"/>
  <c r="D1079" i="1"/>
  <c r="M9" i="192"/>
  <c r="G9" i="192" s="1"/>
  <c r="I9" i="192" s="1"/>
  <c r="K9" i="192"/>
  <c r="M8" i="192"/>
  <c r="G8" i="192" s="1"/>
  <c r="I8" i="192" s="1"/>
  <c r="K8" i="192"/>
  <c r="M7" i="192"/>
  <c r="G7" i="192" s="1"/>
  <c r="I7" i="192" s="1"/>
  <c r="K7" i="192"/>
  <c r="M6" i="192"/>
  <c r="K6" i="192"/>
  <c r="M9" i="190"/>
  <c r="G9" i="190" s="1"/>
  <c r="I9" i="190" s="1"/>
  <c r="K9" i="190"/>
  <c r="M8" i="190"/>
  <c r="G8" i="190" s="1"/>
  <c r="I8" i="190" s="1"/>
  <c r="K8" i="190"/>
  <c r="M7" i="190"/>
  <c r="G7" i="190" s="1"/>
  <c r="I7" i="190" s="1"/>
  <c r="K7" i="190"/>
  <c r="M6" i="190"/>
  <c r="K6" i="190"/>
  <c r="M9" i="136"/>
  <c r="G9" i="136" s="1"/>
  <c r="I9" i="136" s="1"/>
  <c r="K9" i="136"/>
  <c r="M8" i="136"/>
  <c r="G8" i="136" s="1"/>
  <c r="I8" i="136" s="1"/>
  <c r="K8" i="136"/>
  <c r="M7" i="136"/>
  <c r="G7" i="136" s="1"/>
  <c r="I7" i="136" s="1"/>
  <c r="K7" i="136"/>
  <c r="M6" i="136"/>
  <c r="K6" i="136"/>
  <c r="P9" i="5"/>
  <c r="J9" i="5" s="1"/>
  <c r="L9" i="5" s="1"/>
  <c r="N9" i="5"/>
  <c r="P8" i="5"/>
  <c r="J8" i="5" s="1"/>
  <c r="L8" i="5" s="1"/>
  <c r="N8" i="5"/>
  <c r="P7" i="5"/>
  <c r="J7" i="5" s="1"/>
  <c r="L7" i="5" s="1"/>
  <c r="N7" i="5"/>
  <c r="P6" i="5"/>
  <c r="N6" i="5"/>
  <c r="O809" i="1" s="1"/>
  <c r="O1433" i="246" l="1"/>
  <c r="R1419" i="246"/>
  <c r="U1433" i="246"/>
  <c r="C615" i="1"/>
  <c r="C661" i="1" s="1"/>
  <c r="X1461" i="1"/>
  <c r="X1424" i="1"/>
  <c r="B1198" i="246"/>
  <c r="B1268" i="246" s="1"/>
  <c r="K425" i="246" s="1"/>
  <c r="B1088" i="1"/>
  <c r="R1453" i="1"/>
  <c r="S1453" i="1"/>
  <c r="M1448" i="1" s="1"/>
  <c r="V1448" i="1" s="1"/>
  <c r="R1388" i="246"/>
  <c r="S1388" i="246"/>
  <c r="O1383" i="246" s="1"/>
  <c r="R1416" i="1"/>
  <c r="S1416" i="1"/>
  <c r="M1411" i="1" s="1"/>
  <c r="V1411" i="1" s="1"/>
  <c r="R1467" i="1"/>
  <c r="S1467" i="1"/>
  <c r="O1496" i="1"/>
  <c r="X427" i="1" s="1"/>
  <c r="L305" i="5"/>
  <c r="M1493" i="1" s="1"/>
  <c r="R1493" i="1" s="1"/>
  <c r="L304" i="5"/>
  <c r="O811" i="1"/>
  <c r="C581" i="246"/>
  <c r="C615" i="246" s="1"/>
  <c r="O810" i="1"/>
  <c r="O811" i="246"/>
  <c r="R811" i="246" s="1"/>
  <c r="O812" i="1"/>
  <c r="O810" i="246"/>
  <c r="R810" i="246" s="1"/>
  <c r="M812" i="1"/>
  <c r="M810" i="1"/>
  <c r="O812" i="246"/>
  <c r="R812" i="246" s="1"/>
  <c r="K357" i="246"/>
  <c r="K356" i="1"/>
  <c r="M811" i="1"/>
  <c r="R1429" i="246" l="1"/>
  <c r="R1440" i="246"/>
  <c r="R1423" i="246"/>
  <c r="R1435" i="246"/>
  <c r="R1438" i="246"/>
  <c r="R1432" i="246"/>
  <c r="R1426" i="246"/>
  <c r="R1441" i="246"/>
  <c r="R1424" i="246"/>
  <c r="R1421" i="246"/>
  <c r="R1434" i="246"/>
  <c r="R1436" i="246"/>
  <c r="R1431" i="246"/>
  <c r="R1433" i="246"/>
  <c r="R1427" i="246"/>
  <c r="R1437" i="246"/>
  <c r="R1420" i="246"/>
  <c r="R1422" i="246"/>
  <c r="R1442" i="246"/>
  <c r="B1380" i="246"/>
  <c r="B1462" i="246" s="1"/>
  <c r="B1198" i="1"/>
  <c r="M1492" i="1"/>
  <c r="R1492" i="1" s="1"/>
  <c r="C661" i="246"/>
  <c r="C678" i="1"/>
  <c r="C714" i="1" s="1"/>
  <c r="R811" i="1"/>
  <c r="R810" i="1"/>
  <c r="R812" i="1"/>
  <c r="C2117" i="1"/>
  <c r="B1296" i="1" l="1"/>
  <c r="B1486" i="246"/>
  <c r="B1517" i="246" s="1"/>
  <c r="B1547" i="246" s="1"/>
  <c r="B1605" i="246" s="1"/>
  <c r="B1630" i="246" s="1"/>
  <c r="B1661" i="246" s="1"/>
  <c r="B1688" i="246" s="1"/>
  <c r="C678" i="246"/>
  <c r="C714" i="246" s="1"/>
  <c r="C736" i="246" s="1"/>
  <c r="C736" i="1"/>
  <c r="C751" i="1" s="1"/>
  <c r="D562" i="1"/>
  <c r="D563" i="1"/>
  <c r="D328" i="246"/>
  <c r="R328" i="246" s="1"/>
  <c r="D327" i="246"/>
  <c r="D329" i="1"/>
  <c r="D330" i="1"/>
  <c r="R330" i="1" s="1"/>
  <c r="D322" i="246"/>
  <c r="D323" i="246"/>
  <c r="D324" i="1"/>
  <c r="D325" i="1"/>
  <c r="D286" i="246"/>
  <c r="R286" i="246" s="1"/>
  <c r="D287" i="1"/>
  <c r="R287" i="1" s="1"/>
  <c r="D242" i="246"/>
  <c r="R242" i="246" s="1"/>
  <c r="D240" i="246"/>
  <c r="D242" i="1"/>
  <c r="R242" i="1" s="1"/>
  <c r="D240" i="1"/>
  <c r="C372" i="89"/>
  <c r="C277" i="89"/>
  <c r="C240" i="89"/>
  <c r="C202" i="89"/>
  <c r="C163" i="89"/>
  <c r="C116" i="89"/>
  <c r="C47" i="89"/>
  <c r="D2707" i="246"/>
  <c r="D2624" i="246"/>
  <c r="D2543" i="246"/>
  <c r="D2460" i="246"/>
  <c r="D2379" i="246"/>
  <c r="D2296" i="246"/>
  <c r="D3229" i="1"/>
  <c r="D3146" i="1"/>
  <c r="D3065" i="1"/>
  <c r="D2982" i="1"/>
  <c r="D2901" i="1"/>
  <c r="D2818" i="1"/>
  <c r="D2737" i="1"/>
  <c r="D2654" i="1"/>
  <c r="D2573" i="1"/>
  <c r="D2490" i="1"/>
  <c r="D2409" i="1"/>
  <c r="D2326" i="1"/>
  <c r="B1710" i="246" l="1"/>
  <c r="B1733" i="246" s="1"/>
  <c r="B1768" i="246" s="1"/>
  <c r="B1408" i="1"/>
  <c r="B1490" i="1" s="1"/>
  <c r="B1514" i="1" s="1"/>
  <c r="B1545" i="1" s="1"/>
  <c r="B1576" i="1" s="1"/>
  <c r="B1634" i="1" s="1"/>
  <c r="B1659" i="1" s="1"/>
  <c r="K425" i="1"/>
  <c r="C1199" i="1"/>
  <c r="C1265" i="1" s="1"/>
  <c r="K424" i="1"/>
  <c r="C751" i="246"/>
  <c r="D100" i="246"/>
  <c r="D100" i="1"/>
  <c r="B1807" i="246" l="1"/>
  <c r="B1845" i="246" s="1"/>
  <c r="B1690" i="1"/>
  <c r="B1717" i="1" s="1"/>
  <c r="C1199" i="246"/>
  <c r="C1244" i="246" s="1"/>
  <c r="K424" i="246"/>
  <c r="C1409" i="1"/>
  <c r="C1410" i="1" s="1"/>
  <c r="C1447" i="1" s="1"/>
  <c r="D111" i="246"/>
  <c r="M108" i="246"/>
  <c r="D108" i="246"/>
  <c r="M107" i="246"/>
  <c r="M108" i="1"/>
  <c r="M107" i="1"/>
  <c r="D111" i="1"/>
  <c r="D108" i="1"/>
  <c r="D114" i="1"/>
  <c r="D115" i="1"/>
  <c r="R115" i="1" s="1"/>
  <c r="D114" i="246"/>
  <c r="D115" i="246"/>
  <c r="R115" i="246" s="1"/>
  <c r="B1909" i="246" l="1"/>
  <c r="B1935" i="246" s="1"/>
  <c r="B1961" i="246" s="1"/>
  <c r="B1984" i="246" s="1"/>
  <c r="B2009" i="246" s="1"/>
  <c r="B1739" i="1"/>
  <c r="B1762" i="1" s="1"/>
  <c r="B1797" i="1" s="1"/>
  <c r="C1381" i="246"/>
  <c r="K48" i="89"/>
  <c r="K47" i="89"/>
  <c r="K46" i="89"/>
  <c r="K45" i="89"/>
  <c r="K44" i="89"/>
  <c r="K43" i="89"/>
  <c r="K42" i="89"/>
  <c r="K41" i="89"/>
  <c r="K40" i="89"/>
  <c r="K39" i="89"/>
  <c r="K441" i="246" l="1"/>
  <c r="K480" i="246"/>
  <c r="B2036" i="246"/>
  <c r="B2061" i="246" s="1"/>
  <c r="B2085" i="246" s="1"/>
  <c r="B1836" i="1"/>
  <c r="B1874" i="1" s="1"/>
  <c r="B1938" i="1" s="1"/>
  <c r="B1964" i="1" s="1"/>
  <c r="B1990" i="1" s="1"/>
  <c r="B2013" i="1" s="1"/>
  <c r="B2038" i="1" s="1"/>
  <c r="C1382" i="246"/>
  <c r="C1419" i="246" s="1"/>
  <c r="C40" i="89"/>
  <c r="C74" i="89" s="1"/>
  <c r="C33" i="89"/>
  <c r="C66" i="89" s="1"/>
  <c r="C27" i="89"/>
  <c r="C58" i="89" s="1"/>
  <c r="C346" i="89"/>
  <c r="C315" i="89"/>
  <c r="C292" i="89"/>
  <c r="C270" i="89"/>
  <c r="C262" i="89"/>
  <c r="C253" i="89"/>
  <c r="C234" i="89"/>
  <c r="C227" i="89"/>
  <c r="C219" i="89"/>
  <c r="C192" i="89"/>
  <c r="C184" i="89"/>
  <c r="C175" i="89"/>
  <c r="C158" i="89"/>
  <c r="C151" i="89"/>
  <c r="C144" i="89"/>
  <c r="C108" i="89"/>
  <c r="C99" i="89"/>
  <c r="C91" i="89"/>
  <c r="K49" i="89"/>
  <c r="K38" i="89"/>
  <c r="K37" i="89"/>
  <c r="K36" i="89"/>
  <c r="K35" i="89"/>
  <c r="K34" i="89"/>
  <c r="K33" i="89"/>
  <c r="K32" i="89"/>
  <c r="K480" i="1" l="1"/>
  <c r="K441" i="1"/>
  <c r="B2065" i="1"/>
  <c r="B2090" i="1" s="1"/>
  <c r="B2114" i="1" s="1"/>
  <c r="D1578" i="246"/>
  <c r="D1577" i="246"/>
  <c r="D1576" i="246"/>
  <c r="D1575" i="246"/>
  <c r="D1574" i="246"/>
  <c r="D1573" i="246"/>
  <c r="D1559" i="246"/>
  <c r="D1558" i="246"/>
  <c r="D1557" i="246"/>
  <c r="D1556" i="246"/>
  <c r="D1555" i="246"/>
  <c r="D1554" i="246"/>
  <c r="D1607" i="1"/>
  <c r="D1606" i="1"/>
  <c r="D1605" i="1"/>
  <c r="D1604" i="1"/>
  <c r="D1603" i="1"/>
  <c r="D1602" i="1"/>
  <c r="D1588" i="1"/>
  <c r="D1587" i="1"/>
  <c r="D1586" i="1"/>
  <c r="D1585" i="1"/>
  <c r="D1584" i="1"/>
  <c r="D1583" i="1"/>
  <c r="P339" i="5"/>
  <c r="J339" i="5" s="1"/>
  <c r="N339" i="5"/>
  <c r="I339" i="5" s="1"/>
  <c r="P338" i="5"/>
  <c r="J338" i="5" s="1"/>
  <c r="N338" i="5"/>
  <c r="I338" i="5" s="1"/>
  <c r="P337" i="5"/>
  <c r="J337" i="5" s="1"/>
  <c r="N337" i="5"/>
  <c r="I337" i="5" s="1"/>
  <c r="P336" i="5"/>
  <c r="J336" i="5" s="1"/>
  <c r="N336" i="5"/>
  <c r="I336" i="5" s="1"/>
  <c r="P335" i="5"/>
  <c r="N335" i="5"/>
  <c r="I335" i="5" s="1"/>
  <c r="P334" i="5"/>
  <c r="N334" i="5"/>
  <c r="I334" i="5" s="1"/>
  <c r="P328" i="5"/>
  <c r="J328" i="5" s="1"/>
  <c r="N328" i="5"/>
  <c r="I328" i="5" s="1"/>
  <c r="P327" i="5"/>
  <c r="J327" i="5" s="1"/>
  <c r="N327" i="5"/>
  <c r="I327" i="5" s="1"/>
  <c r="P326" i="5"/>
  <c r="J326" i="5" s="1"/>
  <c r="N326" i="5"/>
  <c r="I326" i="5" s="1"/>
  <c r="P325" i="5"/>
  <c r="J325" i="5" s="1"/>
  <c r="N325" i="5"/>
  <c r="I325" i="5" s="1"/>
  <c r="P324" i="5"/>
  <c r="J324" i="5" s="1"/>
  <c r="N324" i="5"/>
  <c r="I324" i="5" s="1"/>
  <c r="P323" i="5"/>
  <c r="J323" i="5" s="1"/>
  <c r="N323" i="5"/>
  <c r="I323" i="5" s="1"/>
  <c r="K339" i="192"/>
  <c r="F339" i="192" s="1"/>
  <c r="C339" i="192"/>
  <c r="M339" i="192" s="1"/>
  <c r="G339" i="192" s="1"/>
  <c r="I339" i="192" s="1"/>
  <c r="H339" i="5" s="1"/>
  <c r="K338" i="192"/>
  <c r="F338" i="192" s="1"/>
  <c r="C338" i="192"/>
  <c r="M338" i="192" s="1"/>
  <c r="G338" i="192" s="1"/>
  <c r="K337" i="192"/>
  <c r="F337" i="192" s="1"/>
  <c r="C337" i="192"/>
  <c r="M337" i="192" s="1"/>
  <c r="G337" i="192" s="1"/>
  <c r="K336" i="192"/>
  <c r="F336" i="192" s="1"/>
  <c r="C336" i="192"/>
  <c r="M336" i="192" s="1"/>
  <c r="G336" i="192" s="1"/>
  <c r="K335" i="192"/>
  <c r="F335" i="192" s="1"/>
  <c r="C335" i="192"/>
  <c r="M335" i="192" s="1"/>
  <c r="G335" i="192" s="1"/>
  <c r="K334" i="192"/>
  <c r="F334" i="192" s="1"/>
  <c r="C334" i="192"/>
  <c r="M334" i="192" s="1"/>
  <c r="G334" i="192" s="1"/>
  <c r="K328" i="192"/>
  <c r="F328" i="192" s="1"/>
  <c r="C328" i="192"/>
  <c r="M328" i="192" s="1"/>
  <c r="G328" i="192" s="1"/>
  <c r="K327" i="192"/>
  <c r="F327" i="192" s="1"/>
  <c r="C327" i="192"/>
  <c r="M327" i="192" s="1"/>
  <c r="G327" i="192" s="1"/>
  <c r="K326" i="192"/>
  <c r="F326" i="192" s="1"/>
  <c r="C326" i="192"/>
  <c r="M326" i="192" s="1"/>
  <c r="G326" i="192" s="1"/>
  <c r="K325" i="192"/>
  <c r="F325" i="192" s="1"/>
  <c r="C325" i="192"/>
  <c r="M325" i="192" s="1"/>
  <c r="G325" i="192" s="1"/>
  <c r="K324" i="192"/>
  <c r="F324" i="192" s="1"/>
  <c r="C324" i="192"/>
  <c r="M324" i="192" s="1"/>
  <c r="G324" i="192" s="1"/>
  <c r="K323" i="192"/>
  <c r="F323" i="192" s="1"/>
  <c r="C323" i="192"/>
  <c r="M323" i="192" s="1"/>
  <c r="G323" i="192" s="1"/>
  <c r="K339" i="190"/>
  <c r="F339" i="190" s="1"/>
  <c r="C339" i="190"/>
  <c r="M339" i="190" s="1"/>
  <c r="G339" i="190" s="1"/>
  <c r="K338" i="190"/>
  <c r="F338" i="190" s="1"/>
  <c r="C338" i="190"/>
  <c r="M338" i="190" s="1"/>
  <c r="G338" i="190" s="1"/>
  <c r="K337" i="190"/>
  <c r="F337" i="190" s="1"/>
  <c r="C337" i="190"/>
  <c r="M337" i="190" s="1"/>
  <c r="G337" i="190" s="1"/>
  <c r="K336" i="190"/>
  <c r="F336" i="190" s="1"/>
  <c r="C336" i="190"/>
  <c r="M336" i="190" s="1"/>
  <c r="G336" i="190" s="1"/>
  <c r="K335" i="190"/>
  <c r="F335" i="190" s="1"/>
  <c r="C335" i="190"/>
  <c r="M335" i="190" s="1"/>
  <c r="G335" i="190" s="1"/>
  <c r="K334" i="190"/>
  <c r="F334" i="190" s="1"/>
  <c r="C334" i="190"/>
  <c r="M334" i="190" s="1"/>
  <c r="G334" i="190" s="1"/>
  <c r="K328" i="190"/>
  <c r="F328" i="190" s="1"/>
  <c r="C328" i="190"/>
  <c r="M328" i="190" s="1"/>
  <c r="G328" i="190" s="1"/>
  <c r="K327" i="190"/>
  <c r="F327" i="190" s="1"/>
  <c r="C327" i="190"/>
  <c r="M327" i="190" s="1"/>
  <c r="G327" i="190" s="1"/>
  <c r="K326" i="190"/>
  <c r="F326" i="190" s="1"/>
  <c r="C326" i="190"/>
  <c r="M326" i="190" s="1"/>
  <c r="G326" i="190" s="1"/>
  <c r="K325" i="190"/>
  <c r="F325" i="190" s="1"/>
  <c r="C325" i="190"/>
  <c r="M325" i="190" s="1"/>
  <c r="G325" i="190" s="1"/>
  <c r="K324" i="190"/>
  <c r="F324" i="190" s="1"/>
  <c r="C324" i="190"/>
  <c r="M324" i="190" s="1"/>
  <c r="G324" i="190" s="1"/>
  <c r="K323" i="190"/>
  <c r="F323" i="190" s="1"/>
  <c r="C323" i="190"/>
  <c r="M323" i="190" s="1"/>
  <c r="G323" i="190" s="1"/>
  <c r="K339" i="136"/>
  <c r="F339" i="136" s="1"/>
  <c r="C339" i="136"/>
  <c r="M339" i="136" s="1"/>
  <c r="G339" i="136" s="1"/>
  <c r="K338" i="136"/>
  <c r="F338" i="136" s="1"/>
  <c r="C338" i="136"/>
  <c r="M338" i="136" s="1"/>
  <c r="G338" i="136" s="1"/>
  <c r="K337" i="136"/>
  <c r="F337" i="136" s="1"/>
  <c r="C337" i="136"/>
  <c r="M337" i="136" s="1"/>
  <c r="G337" i="136" s="1"/>
  <c r="K336" i="136"/>
  <c r="F336" i="136" s="1"/>
  <c r="C336" i="136"/>
  <c r="M336" i="136" s="1"/>
  <c r="G336" i="136" s="1"/>
  <c r="K335" i="136"/>
  <c r="F335" i="136" s="1"/>
  <c r="C335" i="136"/>
  <c r="M335" i="136" s="1"/>
  <c r="G335" i="136" s="1"/>
  <c r="K334" i="136"/>
  <c r="F334" i="136" s="1"/>
  <c r="C334" i="136"/>
  <c r="M334" i="136" s="1"/>
  <c r="G334" i="136" s="1"/>
  <c r="K328" i="136"/>
  <c r="F328" i="136" s="1"/>
  <c r="C328" i="136"/>
  <c r="M328" i="136" s="1"/>
  <c r="G328" i="136" s="1"/>
  <c r="K327" i="136"/>
  <c r="F327" i="136" s="1"/>
  <c r="C327" i="136"/>
  <c r="M327" i="136" s="1"/>
  <c r="G327" i="136" s="1"/>
  <c r="K326" i="136"/>
  <c r="F326" i="136" s="1"/>
  <c r="C326" i="136"/>
  <c r="M326" i="136" s="1"/>
  <c r="G326" i="136" s="1"/>
  <c r="K325" i="136"/>
  <c r="F325" i="136" s="1"/>
  <c r="C325" i="136"/>
  <c r="M325" i="136" s="1"/>
  <c r="G325" i="136" s="1"/>
  <c r="K324" i="136"/>
  <c r="F324" i="136" s="1"/>
  <c r="C324" i="136"/>
  <c r="M324" i="136" s="1"/>
  <c r="G324" i="136" s="1"/>
  <c r="K323" i="136"/>
  <c r="F323" i="136" s="1"/>
  <c r="C323" i="136"/>
  <c r="M323" i="136" s="1"/>
  <c r="G323" i="136" s="1"/>
  <c r="I335" i="192" l="1"/>
  <c r="H335" i="5" s="1"/>
  <c r="I323" i="192"/>
  <c r="H323" i="5" s="1"/>
  <c r="I325" i="192"/>
  <c r="H325" i="5" s="1"/>
  <c r="I327" i="192"/>
  <c r="H327" i="5" s="1"/>
  <c r="I323" i="190"/>
  <c r="G323" i="5" s="1"/>
  <c r="I325" i="190"/>
  <c r="G325" i="5" s="1"/>
  <c r="I327" i="190"/>
  <c r="G327" i="5" s="1"/>
  <c r="I334" i="136"/>
  <c r="F334" i="5" s="1"/>
  <c r="I336" i="136"/>
  <c r="F336" i="5" s="1"/>
  <c r="I338" i="136"/>
  <c r="F338" i="5" s="1"/>
  <c r="I334" i="192"/>
  <c r="H334" i="5" s="1"/>
  <c r="I324" i="136"/>
  <c r="F324" i="5" s="1"/>
  <c r="I338" i="192"/>
  <c r="H338" i="5" s="1"/>
  <c r="I326" i="136"/>
  <c r="F326" i="5" s="1"/>
  <c r="I336" i="190"/>
  <c r="G336" i="5" s="1"/>
  <c r="I336" i="192"/>
  <c r="H336" i="5" s="1"/>
  <c r="O1603" i="1"/>
  <c r="O1606" i="1"/>
  <c r="I328" i="136"/>
  <c r="F328" i="5" s="1"/>
  <c r="I335" i="136"/>
  <c r="F335" i="5" s="1"/>
  <c r="I337" i="136"/>
  <c r="F337" i="5" s="1"/>
  <c r="I339" i="136"/>
  <c r="F339" i="5" s="1"/>
  <c r="I324" i="192"/>
  <c r="H324" i="5" s="1"/>
  <c r="I326" i="192"/>
  <c r="H326" i="5" s="1"/>
  <c r="I328" i="192"/>
  <c r="H328" i="5" s="1"/>
  <c r="I325" i="136"/>
  <c r="F325" i="5" s="1"/>
  <c r="I323" i="136"/>
  <c r="F323" i="5" s="1"/>
  <c r="I327" i="136"/>
  <c r="F327" i="5" s="1"/>
  <c r="O1607" i="1"/>
  <c r="I324" i="190"/>
  <c r="G324" i="5" s="1"/>
  <c r="I326" i="190"/>
  <c r="G326" i="5" s="1"/>
  <c r="I328" i="190"/>
  <c r="G328" i="5" s="1"/>
  <c r="I338" i="190"/>
  <c r="G338" i="5" s="1"/>
  <c r="I334" i="190"/>
  <c r="G334" i="5" s="1"/>
  <c r="I335" i="190"/>
  <c r="G335" i="5" s="1"/>
  <c r="I339" i="190"/>
  <c r="G339" i="5" s="1"/>
  <c r="O1586" i="1"/>
  <c r="O1585" i="1"/>
  <c r="O1602" i="1"/>
  <c r="O1584" i="1"/>
  <c r="O1588" i="1"/>
  <c r="O1605" i="1"/>
  <c r="O1583" i="1"/>
  <c r="O1587" i="1"/>
  <c r="O1604" i="1"/>
  <c r="I337" i="192"/>
  <c r="H337" i="5" s="1"/>
  <c r="I337" i="190"/>
  <c r="G337" i="5" s="1"/>
  <c r="G22" i="4"/>
  <c r="L327" i="5" l="1"/>
  <c r="O1558" i="246" s="1"/>
  <c r="R1558" i="246" s="1"/>
  <c r="L325" i="5"/>
  <c r="O1556" i="246" s="1"/>
  <c r="R1556" i="246" s="1"/>
  <c r="L323" i="5"/>
  <c r="O1554" i="246" s="1"/>
  <c r="R1554" i="246" s="1"/>
  <c r="L338" i="5"/>
  <c r="O1577" i="246" s="1"/>
  <c r="R1577" i="246" s="1"/>
  <c r="L336" i="5"/>
  <c r="O1575" i="246" s="1"/>
  <c r="R1575" i="246" s="1"/>
  <c r="L326" i="5"/>
  <c r="O1557" i="246" s="1"/>
  <c r="R1557" i="246" s="1"/>
  <c r="L324" i="5"/>
  <c r="M1584" i="1" s="1"/>
  <c r="R1584" i="1" s="1"/>
  <c r="L328" i="5"/>
  <c r="M1588" i="1" s="1"/>
  <c r="R1588" i="1" s="1"/>
  <c r="L337" i="5"/>
  <c r="M1605" i="1" s="1"/>
  <c r="R1605" i="1" s="1"/>
  <c r="L339" i="5"/>
  <c r="O1578" i="246" s="1"/>
  <c r="R1578" i="246" s="1"/>
  <c r="M1583" i="1" l="1"/>
  <c r="R1583" i="1" s="1"/>
  <c r="M1587" i="1"/>
  <c r="R1587" i="1" s="1"/>
  <c r="M1585" i="1"/>
  <c r="R1585" i="1" s="1"/>
  <c r="M1586" i="1"/>
  <c r="R1586" i="1" s="1"/>
  <c r="M1606" i="1"/>
  <c r="R1606" i="1" s="1"/>
  <c r="M1604" i="1"/>
  <c r="R1604" i="1" s="1"/>
  <c r="O1555" i="246"/>
  <c r="R1555" i="246" s="1"/>
  <c r="O1576" i="246"/>
  <c r="R1576" i="246" s="1"/>
  <c r="O1559" i="246"/>
  <c r="R1559" i="246" s="1"/>
  <c r="M1607" i="1"/>
  <c r="R1607" i="1" s="1"/>
  <c r="C30" i="229"/>
  <c r="C29" i="229"/>
  <c r="C28" i="229"/>
  <c r="C27" i="229"/>
  <c r="C26" i="229"/>
  <c r="C25" i="229"/>
  <c r="C24" i="229"/>
  <c r="C23" i="229"/>
  <c r="C22" i="229"/>
  <c r="C21" i="229"/>
  <c r="C20" i="229"/>
  <c r="C19" i="229"/>
  <c r="C18" i="229"/>
  <c r="C17" i="229"/>
  <c r="C16" i="229"/>
  <c r="C15" i="229"/>
  <c r="C14" i="229"/>
  <c r="C13" i="229"/>
  <c r="C12" i="229"/>
  <c r="C11" i="229"/>
  <c r="C10" i="229"/>
  <c r="C9" i="229"/>
  <c r="C8" i="229"/>
  <c r="D798" i="1" l="1"/>
  <c r="D799" i="1"/>
  <c r="R799" i="1" s="1"/>
  <c r="D802" i="1"/>
  <c r="H1200" i="1"/>
  <c r="J1200" i="1"/>
  <c r="K1200" i="1"/>
  <c r="M1200" i="1"/>
  <c r="H1201" i="1"/>
  <c r="J1201" i="1"/>
  <c r="K1201" i="1"/>
  <c r="M1201" i="1"/>
  <c r="G1245" i="1"/>
  <c r="D1258" i="1"/>
  <c r="D1259" i="1"/>
  <c r="D1262" i="1"/>
  <c r="H1266" i="1"/>
  <c r="J1266" i="1"/>
  <c r="K1266" i="1"/>
  <c r="M1266" i="1"/>
  <c r="H1267" i="1"/>
  <c r="J1267" i="1"/>
  <c r="K1267" i="1"/>
  <c r="M1267" i="1"/>
  <c r="H1271" i="1"/>
  <c r="J1271" i="1"/>
  <c r="K1271" i="1"/>
  <c r="M1271" i="1"/>
  <c r="H1272" i="1"/>
  <c r="J1272" i="1"/>
  <c r="K1272" i="1"/>
  <c r="M1272" i="1"/>
  <c r="G1275" i="1"/>
  <c r="H1278" i="1"/>
  <c r="J1278" i="1"/>
  <c r="K1278" i="1"/>
  <c r="M1278" i="1"/>
  <c r="H1279" i="1"/>
  <c r="J1279" i="1"/>
  <c r="K1279" i="1"/>
  <c r="M1279" i="1"/>
  <c r="D798" i="246"/>
  <c r="D799" i="246"/>
  <c r="R799" i="246" s="1"/>
  <c r="D802" i="246"/>
  <c r="H1200" i="246"/>
  <c r="J1200" i="246"/>
  <c r="K1200" i="246"/>
  <c r="M1200" i="246"/>
  <c r="H1201" i="246"/>
  <c r="J1201" i="246"/>
  <c r="K1201" i="246"/>
  <c r="M1201" i="246"/>
  <c r="G1224" i="246"/>
  <c r="H1245" i="246"/>
  <c r="J1245" i="246"/>
  <c r="K1245" i="246"/>
  <c r="M1245" i="246"/>
  <c r="H1246" i="246"/>
  <c r="J1246" i="246"/>
  <c r="K1246" i="246"/>
  <c r="M1246" i="246"/>
  <c r="G1247" i="246"/>
  <c r="H1250" i="246"/>
  <c r="J1250" i="246"/>
  <c r="K1250" i="246"/>
  <c r="M1250" i="246"/>
  <c r="H1251" i="246"/>
  <c r="J1251" i="246"/>
  <c r="K1251" i="246"/>
  <c r="M1251" i="246"/>
  <c r="M1247" i="246" l="1"/>
  <c r="H1247" i="246"/>
  <c r="K1247" i="246"/>
  <c r="M1268" i="1"/>
  <c r="M1275" i="1"/>
  <c r="O1251" i="246"/>
  <c r="O1250" i="246"/>
  <c r="K1275" i="1"/>
  <c r="O1279" i="1"/>
  <c r="K1268" i="1"/>
  <c r="O1272" i="1"/>
  <c r="O1278" i="1"/>
  <c r="J1268" i="1"/>
  <c r="H1275" i="1"/>
  <c r="O1271" i="1"/>
  <c r="H1268" i="1"/>
  <c r="J1275" i="1"/>
  <c r="J1247" i="246"/>
  <c r="O1247" i="246" l="1"/>
  <c r="O1275" i="1"/>
  <c r="O1268" i="1"/>
  <c r="O2113" i="246" l="1"/>
  <c r="M2113" i="246"/>
  <c r="O2112" i="246"/>
  <c r="M2112" i="246"/>
  <c r="O2111" i="246"/>
  <c r="M2111" i="246"/>
  <c r="O2110" i="246"/>
  <c r="M2110" i="246"/>
  <c r="O2109" i="246"/>
  <c r="M2109" i="246"/>
  <c r="O2108" i="246"/>
  <c r="M2108" i="246"/>
  <c r="O2107" i="246"/>
  <c r="M2107" i="246"/>
  <c r="M2106" i="246"/>
  <c r="C2113" i="246"/>
  <c r="C2112" i="246"/>
  <c r="C2111" i="246"/>
  <c r="C2110" i="246"/>
  <c r="C2109" i="246"/>
  <c r="C2108" i="246"/>
  <c r="C2107" i="246"/>
  <c r="C2106" i="246"/>
  <c r="D2094" i="246"/>
  <c r="R2094" i="246" s="1"/>
  <c r="D2093" i="246"/>
  <c r="R2093" i="246" s="1"/>
  <c r="D2092" i="246"/>
  <c r="R2092" i="246" s="1"/>
  <c r="D2091" i="246"/>
  <c r="R2091" i="246" s="1"/>
  <c r="D2090" i="246"/>
  <c r="R2090" i="246" s="1"/>
  <c r="D2082" i="246"/>
  <c r="D2078" i="246"/>
  <c r="D2079" i="246"/>
  <c r="R2079" i="246" s="1"/>
  <c r="R2117" i="1"/>
  <c r="M2143" i="1"/>
  <c r="M2142" i="1"/>
  <c r="M2141" i="1"/>
  <c r="M2140" i="1"/>
  <c r="M2139" i="1"/>
  <c r="M2138" i="1"/>
  <c r="M2137" i="1"/>
  <c r="M2136" i="1"/>
  <c r="O2143" i="1"/>
  <c r="O2142" i="1"/>
  <c r="O2141" i="1"/>
  <c r="O2140" i="1"/>
  <c r="O2139" i="1"/>
  <c r="O2138" i="1"/>
  <c r="O2137" i="1"/>
  <c r="C2143" i="1"/>
  <c r="C2142" i="1"/>
  <c r="C2141" i="1"/>
  <c r="C2140" i="1"/>
  <c r="C2139" i="1"/>
  <c r="C2138" i="1"/>
  <c r="C2137" i="1"/>
  <c r="C2136" i="1"/>
  <c r="C2135" i="1"/>
  <c r="C2104" i="246"/>
  <c r="D2124" i="1"/>
  <c r="R2124" i="1" s="1"/>
  <c r="D2123" i="1"/>
  <c r="R2123" i="1" s="1"/>
  <c r="D2122" i="1"/>
  <c r="R2122" i="1" s="1"/>
  <c r="D2121" i="1"/>
  <c r="R2121" i="1" s="1"/>
  <c r="D2120" i="1"/>
  <c r="R2120" i="1" s="1"/>
  <c r="R2138" i="1" l="1"/>
  <c r="R2142" i="1"/>
  <c r="C2105" i="246"/>
  <c r="C2134" i="1"/>
  <c r="R2108" i="246"/>
  <c r="R2110" i="246"/>
  <c r="R2112" i="246"/>
  <c r="R2107" i="246"/>
  <c r="R2109" i="246"/>
  <c r="R2111" i="246"/>
  <c r="R2113" i="246"/>
  <c r="R2140" i="1"/>
  <c r="R2137" i="1"/>
  <c r="R2141" i="1"/>
  <c r="R2139" i="1"/>
  <c r="R2143" i="1"/>
  <c r="D2111" i="1"/>
  <c r="D2108" i="1"/>
  <c r="R2108" i="1" s="1"/>
  <c r="D2107" i="1"/>
  <c r="J145" i="246" l="1"/>
  <c r="R145" i="246" s="1"/>
  <c r="J144" i="246"/>
  <c r="R144" i="246" s="1"/>
  <c r="J143" i="246"/>
  <c r="R143" i="246" s="1"/>
  <c r="J142" i="246"/>
  <c r="R142" i="246" s="1"/>
  <c r="R141" i="246" s="1"/>
  <c r="J145" i="1"/>
  <c r="R145" i="1" s="1"/>
  <c r="J144" i="1"/>
  <c r="R144" i="1" s="1"/>
  <c r="J143" i="1"/>
  <c r="R143" i="1" s="1"/>
  <c r="J142" i="1"/>
  <c r="R142" i="1" s="1"/>
  <c r="J147" i="1"/>
  <c r="R147" i="1" s="1"/>
  <c r="J148" i="1"/>
  <c r="R148" i="1" s="1"/>
  <c r="R141" i="1" l="1"/>
  <c r="G1268" i="1" l="1"/>
  <c r="G1202" i="246"/>
  <c r="G1223" i="1"/>
  <c r="C263" i="4"/>
  <c r="C260" i="4"/>
  <c r="C257" i="4"/>
  <c r="C254" i="4"/>
  <c r="C251" i="4"/>
  <c r="C248" i="4"/>
  <c r="C245" i="4"/>
  <c r="D1647" i="246" l="1"/>
  <c r="R1647" i="246" s="1"/>
  <c r="D1676" i="1"/>
  <c r="R1676" i="1" s="1"/>
  <c r="D641" i="246" l="1"/>
  <c r="D642" i="1"/>
  <c r="D641" i="1"/>
  <c r="K642" i="246"/>
  <c r="J642" i="246"/>
  <c r="D642" i="246"/>
  <c r="K641" i="246"/>
  <c r="J641" i="246"/>
  <c r="K640" i="246"/>
  <c r="J640" i="246"/>
  <c r="D640" i="246"/>
  <c r="K639" i="246"/>
  <c r="J639" i="246"/>
  <c r="D639" i="246"/>
  <c r="R327" i="246"/>
  <c r="R326" i="246"/>
  <c r="R325" i="246" s="1"/>
  <c r="R324" i="246" s="1"/>
  <c r="R329" i="1"/>
  <c r="R328" i="1"/>
  <c r="R327" i="1" s="1"/>
  <c r="R326" i="1" s="1"/>
  <c r="R323" i="246"/>
  <c r="R322" i="246"/>
  <c r="R321" i="246" s="1"/>
  <c r="R320" i="246" s="1"/>
  <c r="R325" i="1"/>
  <c r="R324" i="1"/>
  <c r="R323" i="1" s="1"/>
  <c r="R322" i="1" s="1"/>
  <c r="D291" i="1" l="1"/>
  <c r="D275" i="246" l="1"/>
  <c r="D276" i="1"/>
  <c r="R276" i="1" s="1"/>
  <c r="C28" i="5" l="1"/>
  <c r="O1500" i="246" l="1"/>
  <c r="R1500" i="246" s="1"/>
  <c r="O1531" i="246"/>
  <c r="R1531" i="246" s="1"/>
  <c r="M1559" i="1"/>
  <c r="O1559" i="1"/>
  <c r="M1528" i="1"/>
  <c r="O1528" i="1"/>
  <c r="R1532" i="246" l="1"/>
  <c r="R1533" i="246" s="1"/>
  <c r="R1530" i="246"/>
  <c r="R1529" i="246" s="1"/>
  <c r="R1501" i="246"/>
  <c r="R1502" i="246" s="1"/>
  <c r="R1499" i="246"/>
  <c r="R1498" i="246" s="1"/>
  <c r="R1559" i="1"/>
  <c r="R1560" i="1" s="1"/>
  <c r="R1561" i="1" s="1"/>
  <c r="R1528" i="1"/>
  <c r="R1527" i="1" s="1"/>
  <c r="R1526" i="1" s="1"/>
  <c r="R1558" i="1" l="1"/>
  <c r="R1557" i="1" s="1"/>
  <c r="R1529" i="1"/>
  <c r="R1530" i="1" s="1"/>
  <c r="D1571" i="246" l="1"/>
  <c r="D1563" i="246"/>
  <c r="D1553" i="246"/>
  <c r="D1552" i="246"/>
  <c r="D1600" i="1"/>
  <c r="D1592" i="1"/>
  <c r="D1582" i="1"/>
  <c r="D1581" i="1"/>
  <c r="K344" i="192"/>
  <c r="F344" i="192" s="1"/>
  <c r="C345" i="192"/>
  <c r="C344" i="192"/>
  <c r="M344" i="192" s="1"/>
  <c r="G344" i="192" s="1"/>
  <c r="K332" i="192"/>
  <c r="F332" i="192" s="1"/>
  <c r="C332" i="192"/>
  <c r="M332" i="192" s="1"/>
  <c r="G332" i="192" s="1"/>
  <c r="K322" i="192"/>
  <c r="F322" i="192" s="1"/>
  <c r="K321" i="192"/>
  <c r="F321" i="192" s="1"/>
  <c r="C322" i="192"/>
  <c r="M322" i="192" s="1"/>
  <c r="G322" i="192" s="1"/>
  <c r="C321" i="192"/>
  <c r="M321" i="192" s="1"/>
  <c r="G321" i="192" s="1"/>
  <c r="K344" i="190"/>
  <c r="F344" i="190" s="1"/>
  <c r="C345" i="190"/>
  <c r="C344" i="190"/>
  <c r="M344" i="190" s="1"/>
  <c r="G344" i="190" s="1"/>
  <c r="K332" i="190"/>
  <c r="F332" i="190" s="1"/>
  <c r="C332" i="190"/>
  <c r="M332" i="190" s="1"/>
  <c r="G332" i="190" s="1"/>
  <c r="K322" i="190"/>
  <c r="F322" i="190" s="1"/>
  <c r="K321" i="190"/>
  <c r="F321" i="190" s="1"/>
  <c r="C322" i="190"/>
  <c r="M322" i="190" s="1"/>
  <c r="G322" i="190" s="1"/>
  <c r="C321" i="190"/>
  <c r="M321" i="190" s="1"/>
  <c r="G321" i="190" s="1"/>
  <c r="K344" i="136"/>
  <c r="F344" i="136" s="1"/>
  <c r="C345" i="136"/>
  <c r="C344" i="136"/>
  <c r="M344" i="136" s="1"/>
  <c r="G344" i="136" s="1"/>
  <c r="K332" i="136"/>
  <c r="F332" i="136" s="1"/>
  <c r="C332" i="136"/>
  <c r="M332" i="136" s="1"/>
  <c r="G332" i="136" s="1"/>
  <c r="K322" i="136"/>
  <c r="F322" i="136" s="1"/>
  <c r="K321" i="136"/>
  <c r="F321" i="136" s="1"/>
  <c r="C322" i="136"/>
  <c r="M322" i="136" s="1"/>
  <c r="G322" i="136" s="1"/>
  <c r="C321" i="136"/>
  <c r="M321" i="136" s="1"/>
  <c r="G321" i="136" s="1"/>
  <c r="P345" i="5"/>
  <c r="J345" i="5" s="1"/>
  <c r="N345" i="5"/>
  <c r="P332" i="5"/>
  <c r="N332" i="5"/>
  <c r="P322" i="5"/>
  <c r="J322" i="5" s="1"/>
  <c r="N322" i="5"/>
  <c r="P321" i="5"/>
  <c r="J321" i="5" s="1"/>
  <c r="N321" i="5"/>
  <c r="I321" i="5" l="1"/>
  <c r="H11" i="229"/>
  <c r="I332" i="5"/>
  <c r="H16" i="229"/>
  <c r="I322" i="5"/>
  <c r="H12" i="229"/>
  <c r="I345" i="5"/>
  <c r="H23" i="229"/>
  <c r="I321" i="136"/>
  <c r="F321" i="5" s="1"/>
  <c r="I344" i="136"/>
  <c r="F344" i="5" s="1"/>
  <c r="I332" i="136"/>
  <c r="F332" i="5" s="1"/>
  <c r="I322" i="192"/>
  <c r="H322" i="5" s="1"/>
  <c r="I332" i="192"/>
  <c r="H332" i="5" s="1"/>
  <c r="I321" i="192"/>
  <c r="H321" i="5" s="1"/>
  <c r="I344" i="192"/>
  <c r="H344" i="5" s="1"/>
  <c r="I344" i="190"/>
  <c r="G344" i="5" s="1"/>
  <c r="I332" i="190"/>
  <c r="G332" i="5" s="1"/>
  <c r="I322" i="190"/>
  <c r="G322" i="5" s="1"/>
  <c r="O1582" i="1"/>
  <c r="O1600" i="1"/>
  <c r="O1581" i="1"/>
  <c r="O1592" i="1"/>
  <c r="I321" i="190"/>
  <c r="G321" i="5" s="1"/>
  <c r="I322" i="136"/>
  <c r="F322" i="5" s="1"/>
  <c r="L321" i="5" l="1"/>
  <c r="G11" i="229" s="1"/>
  <c r="L322" i="5"/>
  <c r="G12" i="229" s="1"/>
  <c r="O1553" i="246" l="1"/>
  <c r="R1553" i="246" s="1"/>
  <c r="E248" i="4"/>
  <c r="O1552" i="246"/>
  <c r="R1552" i="246" s="1"/>
  <c r="E245" i="4"/>
  <c r="M1581" i="1"/>
  <c r="R1581" i="1" s="1"/>
  <c r="M1582" i="1"/>
  <c r="R1582" i="1" s="1"/>
  <c r="C37" i="5" l="1"/>
  <c r="C36" i="5"/>
  <c r="C35" i="5"/>
  <c r="C28" i="192"/>
  <c r="C28" i="190"/>
  <c r="C28" i="136"/>
  <c r="G54" i="4"/>
  <c r="H54" i="4" s="1"/>
  <c r="G53" i="4"/>
  <c r="H53" i="4" s="1"/>
  <c r="G52" i="4"/>
  <c r="G51" i="4"/>
  <c r="G50" i="4"/>
  <c r="H50" i="4" l="1"/>
  <c r="H51" i="4" l="1"/>
  <c r="H52" i="4" s="1"/>
  <c r="G112" i="4"/>
  <c r="G109" i="4"/>
  <c r="D67" i="246" l="1"/>
  <c r="D67" i="1"/>
  <c r="D2260" i="1"/>
  <c r="D245" i="246" l="1"/>
  <c r="R245" i="246" s="1"/>
  <c r="D245" i="1"/>
  <c r="R245" i="1" s="1"/>
  <c r="D181" i="246" l="1"/>
  <c r="D218" i="246"/>
  <c r="D179" i="1"/>
  <c r="D217" i="1"/>
  <c r="Q170" i="1" l="1"/>
  <c r="D1601" i="1" l="1"/>
  <c r="D1608" i="1"/>
  <c r="D1609" i="1"/>
  <c r="D1610" i="1"/>
  <c r="D1611" i="1"/>
  <c r="D1612" i="1"/>
  <c r="D1613" i="1"/>
  <c r="D1589" i="1"/>
  <c r="D1590" i="1"/>
  <c r="D1591" i="1"/>
  <c r="D1593" i="1"/>
  <c r="D1399" i="1" l="1"/>
  <c r="D1400" i="1"/>
  <c r="D1403" i="1"/>
  <c r="M1406" i="1"/>
  <c r="D1667" i="246" l="1"/>
  <c r="D1666" i="246"/>
  <c r="D1665" i="246"/>
  <c r="D1664" i="246"/>
  <c r="D1663" i="246"/>
  <c r="D1662" i="246"/>
  <c r="D1696" i="1"/>
  <c r="D1695" i="1"/>
  <c r="D1694" i="1"/>
  <c r="D1693" i="1"/>
  <c r="D1692" i="1"/>
  <c r="D1691" i="1"/>
  <c r="R319" i="246" l="1"/>
  <c r="R321" i="1"/>
  <c r="D296" i="246" l="1"/>
  <c r="D293" i="246"/>
  <c r="R293" i="246" s="1"/>
  <c r="D292" i="246"/>
  <c r="D306" i="1"/>
  <c r="R306" i="1" s="1"/>
  <c r="M306" i="1"/>
  <c r="D307" i="1"/>
  <c r="R307" i="1" s="1"/>
  <c r="M307" i="1"/>
  <c r="D308" i="1"/>
  <c r="R308" i="1" s="1"/>
  <c r="M308" i="1"/>
  <c r="D295" i="1"/>
  <c r="D292" i="1"/>
  <c r="R292" i="1" s="1"/>
  <c r="J154" i="246" l="1"/>
  <c r="R154" i="246" s="1"/>
  <c r="J153" i="246"/>
  <c r="R153" i="246" s="1"/>
  <c r="J152" i="246"/>
  <c r="R152" i="246" s="1"/>
  <c r="J154" i="1"/>
  <c r="R154" i="1" s="1"/>
  <c r="J153" i="1"/>
  <c r="R153" i="1" s="1"/>
  <c r="J152" i="1"/>
  <c r="R152" i="1" s="1"/>
  <c r="R275" i="246"/>
  <c r="D308" i="246" l="1"/>
  <c r="M306" i="246"/>
  <c r="D306" i="246"/>
  <c r="R306" i="246" s="1"/>
  <c r="M305" i="246"/>
  <c r="D305" i="246"/>
  <c r="R305" i="246" s="1"/>
  <c r="M304" i="246"/>
  <c r="D304" i="246"/>
  <c r="R304" i="246" s="1"/>
  <c r="M303" i="246"/>
  <c r="D303" i="246"/>
  <c r="R303" i="246" s="1"/>
  <c r="M302" i="246"/>
  <c r="D302" i="246"/>
  <c r="D310" i="1"/>
  <c r="M305" i="1"/>
  <c r="M304" i="1"/>
  <c r="D305" i="1"/>
  <c r="R305" i="1" s="1"/>
  <c r="D304" i="1"/>
  <c r="D238" i="246" l="1"/>
  <c r="W534" i="246" l="1"/>
  <c r="D60" i="1" l="1"/>
  <c r="H21" i="230" l="1"/>
  <c r="J162" i="246" l="1"/>
  <c r="R162" i="246" s="1"/>
  <c r="J161" i="246"/>
  <c r="R161" i="246" s="1"/>
  <c r="J160" i="246"/>
  <c r="J159" i="246"/>
  <c r="J158" i="246"/>
  <c r="D158" i="246"/>
  <c r="C376" i="192" l="1"/>
  <c r="C375" i="192"/>
  <c r="C374" i="192"/>
  <c r="C371" i="192"/>
  <c r="C370" i="192"/>
  <c r="C369" i="192"/>
  <c r="C368" i="192"/>
  <c r="C367" i="192"/>
  <c r="C366" i="192"/>
  <c r="C352" i="192"/>
  <c r="C351" i="192"/>
  <c r="C350" i="192"/>
  <c r="C349" i="192"/>
  <c r="C348" i="192"/>
  <c r="C346" i="192"/>
  <c r="C343" i="192"/>
  <c r="C340" i="192"/>
  <c r="C333" i="192"/>
  <c r="C331" i="192"/>
  <c r="C329" i="192"/>
  <c r="C320" i="192"/>
  <c r="C317" i="192"/>
  <c r="C316" i="192"/>
  <c r="C315" i="192"/>
  <c r="C314" i="192"/>
  <c r="C313" i="192"/>
  <c r="C311" i="192"/>
  <c r="C310" i="192"/>
  <c r="C309" i="192"/>
  <c r="C308" i="192"/>
  <c r="C307" i="192"/>
  <c r="C218" i="192"/>
  <c r="C217" i="192"/>
  <c r="C216" i="192"/>
  <c r="C215" i="192"/>
  <c r="C214" i="192"/>
  <c r="C213" i="192"/>
  <c r="C212" i="192"/>
  <c r="C211" i="192"/>
  <c r="C210" i="192"/>
  <c r="C209" i="192"/>
  <c r="C208" i="192"/>
  <c r="C207" i="192"/>
  <c r="C206" i="192"/>
  <c r="C205" i="192"/>
  <c r="C204" i="192"/>
  <c r="C203" i="192"/>
  <c r="C202" i="192"/>
  <c r="C199" i="192"/>
  <c r="C198" i="192"/>
  <c r="C197" i="192"/>
  <c r="C196" i="192"/>
  <c r="C195" i="192"/>
  <c r="C194" i="192"/>
  <c r="C193" i="192"/>
  <c r="C192" i="192"/>
  <c r="C191" i="192"/>
  <c r="C190" i="192"/>
  <c r="C189" i="192"/>
  <c r="C188" i="192"/>
  <c r="C187" i="192"/>
  <c r="C186" i="192"/>
  <c r="C185" i="192"/>
  <c r="C376" i="190"/>
  <c r="C375" i="190"/>
  <c r="C374" i="190"/>
  <c r="C371" i="190"/>
  <c r="C370" i="190"/>
  <c r="C369" i="190"/>
  <c r="C368" i="190"/>
  <c r="C367" i="190"/>
  <c r="C366" i="190"/>
  <c r="C352" i="190"/>
  <c r="C351" i="190"/>
  <c r="C350" i="190"/>
  <c r="C349" i="190"/>
  <c r="C348" i="190"/>
  <c r="C346" i="190"/>
  <c r="C343" i="190"/>
  <c r="C340" i="190"/>
  <c r="C333" i="190"/>
  <c r="C331" i="190"/>
  <c r="C329" i="190"/>
  <c r="C320" i="190"/>
  <c r="C317" i="190"/>
  <c r="C316" i="190"/>
  <c r="C315" i="190"/>
  <c r="C314" i="190"/>
  <c r="C313" i="190"/>
  <c r="C311" i="190"/>
  <c r="C310" i="190"/>
  <c r="C309" i="190"/>
  <c r="C308" i="190"/>
  <c r="C307" i="190"/>
  <c r="C218" i="190"/>
  <c r="C217" i="190"/>
  <c r="C216" i="190"/>
  <c r="C215" i="190"/>
  <c r="C214" i="190"/>
  <c r="C213" i="190"/>
  <c r="C212" i="190"/>
  <c r="C211" i="190"/>
  <c r="C210" i="190"/>
  <c r="C209" i="190"/>
  <c r="C208" i="190"/>
  <c r="C207" i="190"/>
  <c r="C206" i="190"/>
  <c r="C205" i="190"/>
  <c r="C204" i="190"/>
  <c r="C203" i="190"/>
  <c r="C202" i="190"/>
  <c r="C199" i="190"/>
  <c r="C198" i="190"/>
  <c r="C197" i="190"/>
  <c r="C196" i="190"/>
  <c r="C195" i="190"/>
  <c r="C194" i="190"/>
  <c r="C193" i="190"/>
  <c r="C192" i="190"/>
  <c r="C191" i="190"/>
  <c r="C190" i="190"/>
  <c r="C189" i="190"/>
  <c r="C188" i="190"/>
  <c r="C187" i="190"/>
  <c r="C186" i="190"/>
  <c r="C185" i="190"/>
  <c r="C376" i="136"/>
  <c r="C375" i="136"/>
  <c r="C374" i="136"/>
  <c r="C371" i="136"/>
  <c r="C370" i="136"/>
  <c r="C369" i="136"/>
  <c r="C368" i="136"/>
  <c r="C367" i="136"/>
  <c r="C366" i="136"/>
  <c r="C352" i="136"/>
  <c r="C351" i="136"/>
  <c r="C350" i="136"/>
  <c r="C349" i="136"/>
  <c r="C348" i="136"/>
  <c r="C346" i="136"/>
  <c r="C343" i="136"/>
  <c r="C340" i="136"/>
  <c r="C333" i="136"/>
  <c r="C331" i="136"/>
  <c r="C329" i="136"/>
  <c r="C320" i="136"/>
  <c r="C317" i="136"/>
  <c r="C316" i="136"/>
  <c r="C315" i="136"/>
  <c r="C314" i="136"/>
  <c r="C313" i="136"/>
  <c r="C311" i="136"/>
  <c r="C310" i="136"/>
  <c r="C309" i="136"/>
  <c r="C308" i="136"/>
  <c r="C307" i="136"/>
  <c r="C218" i="136"/>
  <c r="C217" i="136"/>
  <c r="C216" i="136"/>
  <c r="C215" i="136"/>
  <c r="C214" i="136"/>
  <c r="C213" i="136"/>
  <c r="C212" i="136"/>
  <c r="C211" i="136"/>
  <c r="C210" i="136"/>
  <c r="C209" i="136"/>
  <c r="C208" i="136"/>
  <c r="C207" i="136"/>
  <c r="C206" i="136"/>
  <c r="C205" i="136"/>
  <c r="C204" i="136"/>
  <c r="C203" i="136"/>
  <c r="C202" i="136"/>
  <c r="C199" i="136"/>
  <c r="C198" i="136"/>
  <c r="C197" i="136"/>
  <c r="C196" i="136"/>
  <c r="C195" i="136"/>
  <c r="C194" i="136"/>
  <c r="C193" i="136"/>
  <c r="C192" i="136"/>
  <c r="C191" i="136"/>
  <c r="C190" i="136"/>
  <c r="C189" i="136"/>
  <c r="C188" i="136"/>
  <c r="C187" i="136"/>
  <c r="C186" i="136"/>
  <c r="C185" i="136"/>
  <c r="C242" i="4" l="1"/>
  <c r="D2753" i="246" l="1"/>
  <c r="D2752" i="246"/>
  <c r="D2751" i="246"/>
  <c r="D2750" i="246"/>
  <c r="D2749" i="246"/>
  <c r="D2748" i="246"/>
  <c r="D2747" i="246"/>
  <c r="D2746" i="246"/>
  <c r="D2745" i="246"/>
  <c r="D2744" i="246"/>
  <c r="O2714" i="246"/>
  <c r="Q2707" i="246"/>
  <c r="D2696" i="246"/>
  <c r="D2695" i="246"/>
  <c r="D2694" i="246"/>
  <c r="D2693" i="246"/>
  <c r="D2692" i="246"/>
  <c r="D2691" i="246"/>
  <c r="D2690" i="246"/>
  <c r="D2689" i="246"/>
  <c r="D2688" i="246"/>
  <c r="D2687" i="246"/>
  <c r="D2660" i="246"/>
  <c r="D2659" i="246"/>
  <c r="D2658" i="246"/>
  <c r="D2657" i="246"/>
  <c r="D2646" i="246"/>
  <c r="D2645" i="246"/>
  <c r="D2644" i="246"/>
  <c r="D2643" i="246"/>
  <c r="D2642" i="246"/>
  <c r="O2631" i="246"/>
  <c r="D2628" i="246"/>
  <c r="D2711" i="246" s="1"/>
  <c r="D2589" i="246"/>
  <c r="D2588" i="246"/>
  <c r="D2587" i="246"/>
  <c r="D2586" i="246"/>
  <c r="D2585" i="246"/>
  <c r="D2584" i="246"/>
  <c r="D2583" i="246"/>
  <c r="D2582" i="246"/>
  <c r="D2581" i="246"/>
  <c r="D2580" i="246"/>
  <c r="O2550" i="246"/>
  <c r="Q2543" i="246"/>
  <c r="D2532" i="246"/>
  <c r="D2531" i="246"/>
  <c r="D2530" i="246"/>
  <c r="D2529" i="246"/>
  <c r="D2528" i="246"/>
  <c r="D2527" i="246"/>
  <c r="D2526" i="246"/>
  <c r="D2525" i="246"/>
  <c r="D2524" i="246"/>
  <c r="D2523" i="246"/>
  <c r="D2496" i="246"/>
  <c r="D2495" i="246"/>
  <c r="D2494" i="246"/>
  <c r="D2493" i="246"/>
  <c r="D2482" i="246"/>
  <c r="D2481" i="246"/>
  <c r="D2480" i="246"/>
  <c r="D2479" i="246"/>
  <c r="D2478" i="246"/>
  <c r="O2467" i="246"/>
  <c r="D2464" i="246"/>
  <c r="D2547" i="246" s="1"/>
  <c r="D2425" i="246"/>
  <c r="D2424" i="246"/>
  <c r="D2423" i="246"/>
  <c r="D2422" i="246"/>
  <c r="D2421" i="246"/>
  <c r="D2420" i="246"/>
  <c r="D2419" i="246"/>
  <c r="D2418" i="246"/>
  <c r="D2417" i="246"/>
  <c r="D2416" i="246"/>
  <c r="O2386" i="246"/>
  <c r="Q2379" i="246"/>
  <c r="D2368" i="246"/>
  <c r="D2367" i="246"/>
  <c r="D2366" i="246"/>
  <c r="D2365" i="246"/>
  <c r="D2364" i="246"/>
  <c r="D2363" i="246"/>
  <c r="D2362" i="246"/>
  <c r="D2361" i="246"/>
  <c r="D2360" i="246"/>
  <c r="D2359" i="246"/>
  <c r="D2332" i="246"/>
  <c r="D2331" i="246"/>
  <c r="D2330" i="246"/>
  <c r="D2329" i="246"/>
  <c r="D2318" i="246"/>
  <c r="D2317" i="246"/>
  <c r="D2316" i="246"/>
  <c r="D2315" i="246"/>
  <c r="D2314" i="246"/>
  <c r="O2303" i="246"/>
  <c r="D2300" i="246"/>
  <c r="D2383" i="246" s="1"/>
  <c r="D2249" i="246"/>
  <c r="D2248" i="246"/>
  <c r="D2247" i="246"/>
  <c r="D2246" i="246"/>
  <c r="D2245" i="246"/>
  <c r="D2244" i="246"/>
  <c r="D2243" i="246"/>
  <c r="D2242" i="246"/>
  <c r="D2241" i="246"/>
  <c r="D2240" i="246"/>
  <c r="D2230" i="246"/>
  <c r="O2209" i="246"/>
  <c r="R2203" i="246"/>
  <c r="D2203" i="246"/>
  <c r="D2202" i="246"/>
  <c r="D2191" i="246"/>
  <c r="D2190" i="246"/>
  <c r="D2189" i="246"/>
  <c r="D2188" i="246"/>
  <c r="D2187" i="246"/>
  <c r="D2186" i="246"/>
  <c r="D2185" i="246"/>
  <c r="D2184" i="246"/>
  <c r="D2183" i="246"/>
  <c r="D2182" i="246"/>
  <c r="D2155" i="246"/>
  <c r="D2154" i="246"/>
  <c r="D2153" i="246"/>
  <c r="D2152" i="246"/>
  <c r="D2141" i="246"/>
  <c r="D2140" i="246"/>
  <c r="D2139" i="246"/>
  <c r="D2138" i="246"/>
  <c r="D2137" i="246"/>
  <c r="O2126" i="246"/>
  <c r="D2123" i="246"/>
  <c r="D2206" i="246" s="1"/>
  <c r="R2120" i="246"/>
  <c r="D2120" i="246"/>
  <c r="D2119" i="246"/>
  <c r="D1068" i="246"/>
  <c r="D1067" i="246"/>
  <c r="D1066" i="246"/>
  <c r="D1065" i="246"/>
  <c r="D1064" i="246"/>
  <c r="D1063" i="246"/>
  <c r="D1062" i="246"/>
  <c r="D1061" i="246"/>
  <c r="D1060" i="246"/>
  <c r="D1059" i="246"/>
  <c r="D1058" i="246"/>
  <c r="D1057" i="246"/>
  <c r="D1056" i="246"/>
  <c r="D1055" i="246"/>
  <c r="D1054" i="246"/>
  <c r="D1053" i="246"/>
  <c r="D1052" i="246"/>
  <c r="D1051" i="246"/>
  <c r="D1050" i="246"/>
  <c r="D1049" i="246"/>
  <c r="D1048" i="246"/>
  <c r="D1047" i="246"/>
  <c r="D1046" i="246"/>
  <c r="D1045" i="246"/>
  <c r="D1044" i="246"/>
  <c r="D1043" i="246"/>
  <c r="D1042" i="246"/>
  <c r="D1041" i="246"/>
  <c r="D1040" i="246"/>
  <c r="D1039" i="246"/>
  <c r="D1038" i="246"/>
  <c r="D1037" i="246"/>
  <c r="D1036" i="246"/>
  <c r="D1035" i="246"/>
  <c r="D1034" i="246"/>
  <c r="D1033" i="246"/>
  <c r="D1032" i="246"/>
  <c r="D1031" i="246"/>
  <c r="D1030" i="246"/>
  <c r="D1029" i="246"/>
  <c r="D1028" i="246"/>
  <c r="D1027" i="246"/>
  <c r="D1026" i="246"/>
  <c r="D1025" i="246"/>
  <c r="O1022" i="246"/>
  <c r="D1019" i="246"/>
  <c r="D1016" i="246"/>
  <c r="D1015" i="246"/>
  <c r="D993" i="246"/>
  <c r="D992" i="246"/>
  <c r="D991" i="246"/>
  <c r="D990" i="246"/>
  <c r="D989" i="246"/>
  <c r="D988" i="246"/>
  <c r="D987" i="246"/>
  <c r="D986" i="246"/>
  <c r="D985" i="246"/>
  <c r="D984" i="246"/>
  <c r="D983" i="246"/>
  <c r="D982" i="246"/>
  <c r="D981" i="246"/>
  <c r="D980" i="246"/>
  <c r="D979" i="246"/>
  <c r="D978" i="246"/>
  <c r="O963" i="246"/>
  <c r="D960" i="246"/>
  <c r="D957" i="246"/>
  <c r="D956" i="246"/>
  <c r="O938" i="246"/>
  <c r="D935" i="246"/>
  <c r="D932" i="246"/>
  <c r="D931" i="246"/>
  <c r="D920" i="246"/>
  <c r="D919" i="246"/>
  <c r="D918" i="246"/>
  <c r="D917" i="246"/>
  <c r="D916" i="246"/>
  <c r="D915" i="246"/>
  <c r="D914" i="246"/>
  <c r="D913" i="246"/>
  <c r="D912" i="246"/>
  <c r="D911" i="246"/>
  <c r="D910" i="246"/>
  <c r="D909" i="246"/>
  <c r="O906" i="246"/>
  <c r="D903" i="246"/>
  <c r="D900" i="246"/>
  <c r="D899" i="246"/>
  <c r="D857" i="246"/>
  <c r="D856" i="246"/>
  <c r="D855" i="246"/>
  <c r="D854" i="246"/>
  <c r="D851" i="246"/>
  <c r="D850" i="246"/>
  <c r="D849" i="246"/>
  <c r="D848" i="246"/>
  <c r="D845" i="246"/>
  <c r="D844" i="246"/>
  <c r="D843" i="246"/>
  <c r="D842" i="246"/>
  <c r="D839" i="246"/>
  <c r="D838" i="246"/>
  <c r="D837" i="246"/>
  <c r="D836" i="246"/>
  <c r="D1989" i="246"/>
  <c r="D1988" i="246"/>
  <c r="D1987" i="246"/>
  <c r="D1986" i="246"/>
  <c r="D1985" i="246"/>
  <c r="O1982" i="246"/>
  <c r="D1979" i="246"/>
  <c r="D1976" i="246"/>
  <c r="D1975" i="246"/>
  <c r="D1964" i="246"/>
  <c r="D1963" i="246"/>
  <c r="D1962" i="246"/>
  <c r="O1959" i="246"/>
  <c r="D1956" i="246"/>
  <c r="D1953" i="246"/>
  <c r="D1952" i="246"/>
  <c r="D1941" i="246"/>
  <c r="D1940" i="246"/>
  <c r="D1939" i="246"/>
  <c r="D1938" i="246"/>
  <c r="D1937" i="246"/>
  <c r="D1936" i="246"/>
  <c r="O1933" i="246"/>
  <c r="O1843" i="246"/>
  <c r="D1840" i="246"/>
  <c r="D1837" i="246"/>
  <c r="D1836" i="246"/>
  <c r="D1824" i="246"/>
  <c r="D1823" i="246"/>
  <c r="D1822" i="246"/>
  <c r="D1821" i="246"/>
  <c r="D1820" i="246"/>
  <c r="D1819" i="246"/>
  <c r="D1818" i="246"/>
  <c r="D1817" i="246"/>
  <c r="D1816" i="246"/>
  <c r="D1815" i="246"/>
  <c r="D1814" i="246"/>
  <c r="D1813" i="246"/>
  <c r="D1812" i="246"/>
  <c r="D1811" i="246"/>
  <c r="D1810" i="246"/>
  <c r="D1809" i="246"/>
  <c r="D1808" i="246"/>
  <c r="O1805" i="246"/>
  <c r="D1802" i="246"/>
  <c r="D1799" i="246"/>
  <c r="D1798" i="246"/>
  <c r="D1783" i="246"/>
  <c r="D1782" i="246"/>
  <c r="D1781" i="246"/>
  <c r="D1780" i="246"/>
  <c r="D1779" i="246"/>
  <c r="D1778" i="246"/>
  <c r="D1777" i="246"/>
  <c r="D1776" i="246"/>
  <c r="D1775" i="246"/>
  <c r="D1774" i="246"/>
  <c r="D1773" i="246"/>
  <c r="D1772" i="246"/>
  <c r="D1771" i="246"/>
  <c r="D1770" i="246"/>
  <c r="D1769" i="246"/>
  <c r="O1766" i="246"/>
  <c r="D1763" i="246"/>
  <c r="D1760" i="246"/>
  <c r="D1759" i="246"/>
  <c r="O1731" i="246"/>
  <c r="D1728" i="246"/>
  <c r="D1725" i="246"/>
  <c r="D1724" i="246"/>
  <c r="O1708" i="246"/>
  <c r="D1705" i="246"/>
  <c r="D1702" i="246"/>
  <c r="D1701" i="246"/>
  <c r="O1690" i="246"/>
  <c r="O1686" i="246"/>
  <c r="D1683" i="246"/>
  <c r="D1680" i="246"/>
  <c r="R1680" i="246" s="1"/>
  <c r="D1679" i="246"/>
  <c r="O1659" i="246"/>
  <c r="D1656" i="246"/>
  <c r="D1653" i="246"/>
  <c r="D1652" i="246"/>
  <c r="D1646" i="246"/>
  <c r="R1646" i="246" s="1"/>
  <c r="O1628" i="246"/>
  <c r="D1625" i="246"/>
  <c r="D1622" i="246"/>
  <c r="D1621" i="246"/>
  <c r="O1603" i="246"/>
  <c r="D1600" i="246"/>
  <c r="D1597" i="246"/>
  <c r="D1596" i="246"/>
  <c r="D1584" i="246"/>
  <c r="D1583" i="246"/>
  <c r="D1582" i="246"/>
  <c r="D1581" i="246"/>
  <c r="D1580" i="246"/>
  <c r="D1579" i="246"/>
  <c r="D1572" i="246"/>
  <c r="D1570" i="246"/>
  <c r="D1564" i="246"/>
  <c r="D1562" i="246"/>
  <c r="D1561" i="246"/>
  <c r="D1560" i="246"/>
  <c r="D1551" i="246"/>
  <c r="O1545" i="246"/>
  <c r="D1542" i="246"/>
  <c r="D1539" i="246"/>
  <c r="D1538" i="246"/>
  <c r="D1522" i="246"/>
  <c r="D1521" i="246"/>
  <c r="D1520" i="246"/>
  <c r="D1519" i="246"/>
  <c r="D1518" i="246"/>
  <c r="O1515" i="246"/>
  <c r="D1512" i="246"/>
  <c r="D1509" i="246"/>
  <c r="D1508" i="246"/>
  <c r="D1491" i="246"/>
  <c r="D1490" i="246"/>
  <c r="D1489" i="246"/>
  <c r="D1488" i="246"/>
  <c r="D1487" i="246"/>
  <c r="O1484" i="246"/>
  <c r="D1481" i="246"/>
  <c r="D1478" i="246"/>
  <c r="D1477" i="246"/>
  <c r="O1378" i="246"/>
  <c r="D1375" i="246"/>
  <c r="D1372" i="246"/>
  <c r="D1371" i="246"/>
  <c r="D556" i="246"/>
  <c r="D553" i="246"/>
  <c r="R553" i="246" s="1"/>
  <c r="D552" i="246"/>
  <c r="B512" i="246"/>
  <c r="B523" i="246" s="1"/>
  <c r="O500" i="246"/>
  <c r="D497" i="246"/>
  <c r="D494" i="246"/>
  <c r="R494" i="246" s="1"/>
  <c r="D493" i="246"/>
  <c r="O355" i="246"/>
  <c r="D349" i="246"/>
  <c r="R349" i="246" s="1"/>
  <c r="D348" i="246"/>
  <c r="O416" i="246"/>
  <c r="D411" i="246"/>
  <c r="R411" i="246" s="1"/>
  <c r="D410" i="246"/>
  <c r="D289" i="246"/>
  <c r="D280" i="246"/>
  <c r="R241" i="246"/>
  <c r="C237" i="246"/>
  <c r="D230" i="246"/>
  <c r="D227" i="246"/>
  <c r="R227" i="246" s="1"/>
  <c r="D226" i="246"/>
  <c r="J156" i="246"/>
  <c r="J150" i="246"/>
  <c r="R150" i="246" s="1"/>
  <c r="J149" i="246"/>
  <c r="R149" i="246" s="1"/>
  <c r="J148" i="246"/>
  <c r="R148" i="246" s="1"/>
  <c r="J147" i="246"/>
  <c r="R147" i="246" s="1"/>
  <c r="J140" i="246"/>
  <c r="R140" i="246" s="1"/>
  <c r="J139" i="246"/>
  <c r="R139" i="246" s="1"/>
  <c r="J138" i="246"/>
  <c r="J137" i="246"/>
  <c r="J135" i="246"/>
  <c r="R135" i="246" s="1"/>
  <c r="J134" i="246"/>
  <c r="R134" i="246" s="1"/>
  <c r="J133" i="246"/>
  <c r="R133" i="246" s="1"/>
  <c r="J132" i="246"/>
  <c r="R132" i="246" s="1"/>
  <c r="J131" i="246"/>
  <c r="J129" i="246"/>
  <c r="R129" i="246" s="1"/>
  <c r="J128" i="246"/>
  <c r="R128" i="246" s="1"/>
  <c r="J127" i="246"/>
  <c r="R127" i="246" s="1"/>
  <c r="J126" i="246"/>
  <c r="R91" i="246"/>
  <c r="F91" i="246"/>
  <c r="R90" i="246"/>
  <c r="F90" i="246"/>
  <c r="R89" i="246"/>
  <c r="F89" i="246"/>
  <c r="R88" i="246"/>
  <c r="O71" i="246"/>
  <c r="D63" i="246"/>
  <c r="D60" i="246"/>
  <c r="D59" i="246"/>
  <c r="R59" i="246" s="1"/>
  <c r="D58" i="246"/>
  <c r="D20" i="246"/>
  <c r="D16" i="246"/>
  <c r="K51" i="89"/>
  <c r="C244" i="246" l="1"/>
  <c r="B534" i="246"/>
  <c r="Q170" i="246" l="1"/>
  <c r="C279" i="246"/>
  <c r="J128" i="1"/>
  <c r="R128" i="1" s="1"/>
  <c r="O73" i="246" l="1"/>
  <c r="C282" i="246"/>
  <c r="C288" i="246" l="1"/>
  <c r="Q226" i="246"/>
  <c r="C299" i="246" l="1"/>
  <c r="C310" i="246" s="1"/>
  <c r="C316" i="246" s="1"/>
  <c r="O73" i="1"/>
  <c r="Q292" i="246"/>
  <c r="O75" i="246" s="1"/>
  <c r="C321" i="246" l="1"/>
  <c r="C325" i="246" s="1"/>
  <c r="K281" i="89" l="1"/>
  <c r="K280" i="89"/>
  <c r="K279" i="89"/>
  <c r="K278" i="89"/>
  <c r="K277" i="89"/>
  <c r="K276" i="89"/>
  <c r="K275" i="89"/>
  <c r="K274" i="89"/>
  <c r="K273" i="89"/>
  <c r="K272" i="89"/>
  <c r="K271" i="89"/>
  <c r="K270" i="89"/>
  <c r="K269" i="89"/>
  <c r="K268" i="89"/>
  <c r="K267" i="89"/>
  <c r="K266" i="89"/>
  <c r="K265" i="89"/>
  <c r="K264" i="89"/>
  <c r="K263" i="89"/>
  <c r="K262" i="89"/>
  <c r="K261" i="89"/>
  <c r="K260" i="89"/>
  <c r="K259" i="89"/>
  <c r="K258" i="89"/>
  <c r="K257" i="89"/>
  <c r="K256" i="89"/>
  <c r="K255" i="89"/>
  <c r="K254" i="89"/>
  <c r="K243" i="89"/>
  <c r="K242" i="89"/>
  <c r="K241" i="89"/>
  <c r="K240" i="89"/>
  <c r="K239" i="89"/>
  <c r="K238" i="89"/>
  <c r="K237" i="89"/>
  <c r="K236" i="89"/>
  <c r="K235" i="89"/>
  <c r="K234" i="89"/>
  <c r="K233" i="89"/>
  <c r="K232" i="89"/>
  <c r="K231" i="89"/>
  <c r="K230" i="89"/>
  <c r="K229" i="89"/>
  <c r="K228" i="89"/>
  <c r="K227" i="89"/>
  <c r="K226" i="89"/>
  <c r="K225" i="89"/>
  <c r="K224" i="89"/>
  <c r="K223" i="89"/>
  <c r="K222" i="89"/>
  <c r="K209" i="89"/>
  <c r="K208" i="89"/>
  <c r="K207" i="89"/>
  <c r="K206" i="89"/>
  <c r="K205" i="89"/>
  <c r="K204" i="89"/>
  <c r="K203" i="89"/>
  <c r="K202" i="89"/>
  <c r="K201" i="89"/>
  <c r="K200" i="89"/>
  <c r="K199" i="89"/>
  <c r="K198" i="89"/>
  <c r="K197" i="89"/>
  <c r="K196" i="89"/>
  <c r="K195" i="89"/>
  <c r="K194" i="89"/>
  <c r="J390" i="89"/>
  <c r="J285" i="89"/>
  <c r="J246" i="89"/>
  <c r="I246" i="89"/>
  <c r="J212" i="89"/>
  <c r="J169" i="89"/>
  <c r="J393" i="89" s="1"/>
  <c r="I169" i="89"/>
  <c r="Q3229" i="1"/>
  <c r="Q3065" i="1"/>
  <c r="Q2901" i="1"/>
  <c r="Q2737" i="1"/>
  <c r="Q2573" i="1"/>
  <c r="Q2409" i="1"/>
  <c r="D299" i="1"/>
  <c r="M249" i="136" l="1"/>
  <c r="G249" i="136" s="1"/>
  <c r="I249" i="136" s="1"/>
  <c r="F249" i="5" s="1"/>
  <c r="K249" i="136"/>
  <c r="M247" i="136"/>
  <c r="G247" i="136" s="1"/>
  <c r="I247" i="136" s="1"/>
  <c r="F247" i="5" s="1"/>
  <c r="K247" i="136"/>
  <c r="M246" i="136"/>
  <c r="G246" i="136" s="1"/>
  <c r="K246" i="136"/>
  <c r="M245" i="136"/>
  <c r="G245" i="136" s="1"/>
  <c r="I245" i="136" s="1"/>
  <c r="K245" i="136"/>
  <c r="M249" i="190"/>
  <c r="G249" i="190" s="1"/>
  <c r="I249" i="190" s="1"/>
  <c r="G249" i="5" s="1"/>
  <c r="K249" i="190"/>
  <c r="M247" i="190"/>
  <c r="G247" i="190" s="1"/>
  <c r="I247" i="190" s="1"/>
  <c r="G247" i="5" s="1"/>
  <c r="K247" i="190"/>
  <c r="M246" i="190"/>
  <c r="G246" i="190" s="1"/>
  <c r="K246" i="190"/>
  <c r="M245" i="190"/>
  <c r="G245" i="190" s="1"/>
  <c r="I245" i="190" s="1"/>
  <c r="K245" i="190"/>
  <c r="M249" i="192"/>
  <c r="G249" i="192" s="1"/>
  <c r="I249" i="192" s="1"/>
  <c r="H249" i="5" s="1"/>
  <c r="K249" i="192"/>
  <c r="M247" i="192"/>
  <c r="G247" i="192" s="1"/>
  <c r="I247" i="192" s="1"/>
  <c r="H247" i="5" s="1"/>
  <c r="K247" i="192"/>
  <c r="M246" i="192"/>
  <c r="G246" i="192" s="1"/>
  <c r="K246" i="192"/>
  <c r="M245" i="192"/>
  <c r="G245" i="192" s="1"/>
  <c r="I245" i="192" s="1"/>
  <c r="K245" i="192"/>
  <c r="P249" i="5"/>
  <c r="N249" i="5"/>
  <c r="O1321" i="1" s="1"/>
  <c r="U1321" i="1" s="1"/>
  <c r="O1317" i="1" s="1"/>
  <c r="P247" i="5"/>
  <c r="N247" i="5"/>
  <c r="O1309" i="1" s="1"/>
  <c r="U1309" i="1" s="1"/>
  <c r="P246" i="5"/>
  <c r="J246" i="5" s="1"/>
  <c r="N246" i="5"/>
  <c r="P245" i="5"/>
  <c r="J245" i="5" s="1"/>
  <c r="L245" i="5" s="1"/>
  <c r="N245" i="5"/>
  <c r="O425" i="1" s="1"/>
  <c r="I52" i="89"/>
  <c r="K50" i="89"/>
  <c r="K31" i="89"/>
  <c r="K30" i="89"/>
  <c r="K29" i="89"/>
  <c r="K28" i="89"/>
  <c r="K27" i="89"/>
  <c r="J52" i="89"/>
  <c r="G17" i="240"/>
  <c r="H17" i="240"/>
  <c r="H31" i="240"/>
  <c r="G31" i="240"/>
  <c r="I10" i="89" l="1"/>
  <c r="I393" i="89"/>
  <c r="O1331" i="1"/>
  <c r="O1301" i="1"/>
  <c r="F246" i="190"/>
  <c r="I246" i="190" s="1"/>
  <c r="F246" i="136"/>
  <c r="I246" i="136" s="1"/>
  <c r="F246" i="192"/>
  <c r="I246" i="192" s="1"/>
  <c r="I246" i="5"/>
  <c r="L246" i="5" s="1"/>
  <c r="J10" i="89"/>
  <c r="K52" i="89"/>
  <c r="K10" i="89" l="1"/>
  <c r="U1301" i="1"/>
  <c r="O1326" i="1" s="1"/>
  <c r="X1392" i="1" s="1"/>
  <c r="O1297" i="1"/>
  <c r="O1307" i="1" s="1"/>
  <c r="O1273" i="246"/>
  <c r="M1301" i="1"/>
  <c r="G6" i="240"/>
  <c r="E3" i="240"/>
  <c r="C2" i="240"/>
  <c r="S1301" i="1" l="1"/>
  <c r="V1301" i="1"/>
  <c r="M1297" i="1"/>
  <c r="S1273" i="246"/>
  <c r="O1269" i="246"/>
  <c r="O1279" i="246" s="1"/>
  <c r="X1326" i="1"/>
  <c r="X425" i="1"/>
  <c r="C115" i="192"/>
  <c r="C114" i="192"/>
  <c r="C113" i="192"/>
  <c r="C112" i="192"/>
  <c r="C111" i="192"/>
  <c r="C115" i="190"/>
  <c r="C114" i="190"/>
  <c r="C113" i="190"/>
  <c r="C112" i="190"/>
  <c r="C111" i="190"/>
  <c r="C115" i="136"/>
  <c r="C114" i="136"/>
  <c r="C113" i="136"/>
  <c r="C112" i="136"/>
  <c r="C111" i="136"/>
  <c r="C115" i="5"/>
  <c r="C114" i="5"/>
  <c r="C112" i="5"/>
  <c r="C111" i="5"/>
  <c r="P2" i="5"/>
  <c r="V1297" i="1" l="1"/>
  <c r="M1307" i="1"/>
  <c r="D882" i="246"/>
  <c r="D886" i="246"/>
  <c r="D885" i="246"/>
  <c r="D883" i="246"/>
  <c r="D884" i="246"/>
  <c r="D3150" i="1"/>
  <c r="D3233" i="1" s="1"/>
  <c r="O3153" i="1"/>
  <c r="D3164" i="1"/>
  <c r="D3165" i="1"/>
  <c r="D3166" i="1"/>
  <c r="D3167" i="1"/>
  <c r="D3168" i="1"/>
  <c r="D3179" i="1"/>
  <c r="D3180" i="1"/>
  <c r="D3181" i="1"/>
  <c r="D3182" i="1"/>
  <c r="D3209" i="1"/>
  <c r="D3210" i="1"/>
  <c r="D3211" i="1"/>
  <c r="D3212" i="1"/>
  <c r="D3213" i="1"/>
  <c r="D3214" i="1"/>
  <c r="D3215" i="1"/>
  <c r="D3216" i="1"/>
  <c r="D3217" i="1"/>
  <c r="D3218" i="1"/>
  <c r="O3236" i="1"/>
  <c r="D3266" i="1"/>
  <c r="D3267" i="1"/>
  <c r="D3268" i="1"/>
  <c r="D3269" i="1"/>
  <c r="D3270" i="1"/>
  <c r="D3271" i="1"/>
  <c r="D3272" i="1"/>
  <c r="D3273" i="1"/>
  <c r="D3274" i="1"/>
  <c r="D3275" i="1"/>
  <c r="D2986" i="1"/>
  <c r="D3069" i="1" s="1"/>
  <c r="M2989" i="1"/>
  <c r="D3000" i="1"/>
  <c r="D3001" i="1"/>
  <c r="D3002" i="1"/>
  <c r="D3003" i="1"/>
  <c r="D3004" i="1"/>
  <c r="D3015" i="1"/>
  <c r="D3016" i="1"/>
  <c r="D3017" i="1"/>
  <c r="D3018" i="1"/>
  <c r="D3045" i="1"/>
  <c r="D3046" i="1"/>
  <c r="D3047" i="1"/>
  <c r="D3048" i="1"/>
  <c r="D3049" i="1"/>
  <c r="D3050" i="1"/>
  <c r="D3051" i="1"/>
  <c r="D3052" i="1"/>
  <c r="D3053" i="1"/>
  <c r="D3054" i="1"/>
  <c r="M3072" i="1"/>
  <c r="D3102" i="1"/>
  <c r="D3103" i="1"/>
  <c r="D3104" i="1"/>
  <c r="D3105" i="1"/>
  <c r="D3106" i="1"/>
  <c r="D3107" i="1"/>
  <c r="D3108" i="1"/>
  <c r="D3109" i="1"/>
  <c r="D3110" i="1"/>
  <c r="D3111" i="1"/>
  <c r="K5" i="190"/>
  <c r="K10" i="190"/>
  <c r="K11" i="190"/>
  <c r="K12" i="190"/>
  <c r="K13" i="190"/>
  <c r="K14" i="190"/>
  <c r="K15" i="190"/>
  <c r="K16" i="190"/>
  <c r="K17" i="190"/>
  <c r="O2671" i="1" s="1"/>
  <c r="K18" i="190"/>
  <c r="O2672" i="1" s="1"/>
  <c r="K19" i="190"/>
  <c r="O2673" i="1" s="1"/>
  <c r="K20" i="190"/>
  <c r="O2674" i="1" s="1"/>
  <c r="K21" i="190"/>
  <c r="O2675" i="1" s="1"/>
  <c r="K22" i="190"/>
  <c r="O2676" i="1" s="1"/>
  <c r="K23" i="190"/>
  <c r="K24" i="190"/>
  <c r="K25" i="190"/>
  <c r="K26" i="190"/>
  <c r="K27" i="190"/>
  <c r="K28" i="190"/>
  <c r="O2686" i="1" s="1"/>
  <c r="K29" i="190"/>
  <c r="O2687" i="1" s="1"/>
  <c r="K30" i="190"/>
  <c r="O2688" i="1" s="1"/>
  <c r="K31" i="190"/>
  <c r="O2689" i="1" s="1"/>
  <c r="K32" i="190"/>
  <c r="O2690" i="1" s="1"/>
  <c r="K34" i="190"/>
  <c r="K35" i="190"/>
  <c r="K36" i="190"/>
  <c r="K37" i="190"/>
  <c r="K38" i="190"/>
  <c r="K39" i="190"/>
  <c r="K40" i="190"/>
  <c r="O2700" i="1" s="1"/>
  <c r="K41" i="190"/>
  <c r="O2701" i="1" s="1"/>
  <c r="K42" i="190"/>
  <c r="O2702" i="1" s="1"/>
  <c r="K43" i="190"/>
  <c r="K44" i="190"/>
  <c r="K45" i="190"/>
  <c r="K46" i="190"/>
  <c r="K47" i="190"/>
  <c r="O2704" i="1" s="1"/>
  <c r="K48" i="190"/>
  <c r="O2705" i="1" s="1"/>
  <c r="K49" i="190"/>
  <c r="O2706" i="1" s="1"/>
  <c r="K50" i="190"/>
  <c r="O2707" i="1" s="1"/>
  <c r="K51" i="190"/>
  <c r="K52" i="190"/>
  <c r="K53" i="190"/>
  <c r="O2709" i="1" s="1"/>
  <c r="K54" i="190"/>
  <c r="K55" i="190"/>
  <c r="K56" i="190"/>
  <c r="K57" i="190"/>
  <c r="K58" i="190"/>
  <c r="K59" i="190"/>
  <c r="K60" i="190"/>
  <c r="K61" i="190"/>
  <c r="K62" i="190"/>
  <c r="K63" i="190"/>
  <c r="K64" i="190"/>
  <c r="O2712" i="1" s="1"/>
  <c r="K65" i="190"/>
  <c r="K66" i="190"/>
  <c r="K67" i="190"/>
  <c r="K68" i="190"/>
  <c r="K69" i="190"/>
  <c r="K70" i="190"/>
  <c r="O2715" i="1" s="1"/>
  <c r="K71" i="190"/>
  <c r="O2716" i="1" s="1"/>
  <c r="K72" i="190"/>
  <c r="O2717" i="1" s="1"/>
  <c r="K73" i="190"/>
  <c r="O2718" i="1" s="1"/>
  <c r="K74" i="190"/>
  <c r="O2719" i="1" s="1"/>
  <c r="K75" i="190"/>
  <c r="O2720" i="1" s="1"/>
  <c r="K76" i="190"/>
  <c r="O2721" i="1" s="1"/>
  <c r="K77" i="190"/>
  <c r="O2722" i="1" s="1"/>
  <c r="K78" i="190"/>
  <c r="O2723" i="1" s="1"/>
  <c r="K79" i="190"/>
  <c r="O2724" i="1" s="1"/>
  <c r="K80" i="190"/>
  <c r="O2725" i="1" s="1"/>
  <c r="K81" i="190"/>
  <c r="O2726" i="1" s="1"/>
  <c r="K82" i="190"/>
  <c r="K83" i="190"/>
  <c r="O2798" i="1" s="1"/>
  <c r="K84" i="190"/>
  <c r="K85" i="190"/>
  <c r="K86" i="190"/>
  <c r="K87" i="190"/>
  <c r="K88" i="190"/>
  <c r="K89" i="190"/>
  <c r="K90" i="190"/>
  <c r="K92" i="190"/>
  <c r="K93" i="190"/>
  <c r="K94" i="190"/>
  <c r="O2793" i="1" s="1"/>
  <c r="K95" i="190"/>
  <c r="O2796" i="1" s="1"/>
  <c r="K97" i="190"/>
  <c r="K98" i="190"/>
  <c r="K99" i="190"/>
  <c r="K100" i="190"/>
  <c r="K101" i="190"/>
  <c r="K102" i="190"/>
  <c r="O2754" i="1" s="1"/>
  <c r="K103" i="190"/>
  <c r="O2753" i="1" s="1"/>
  <c r="K104" i="190"/>
  <c r="O2755" i="1" s="1"/>
  <c r="K105" i="190"/>
  <c r="O2756" i="1" s="1"/>
  <c r="K106" i="190"/>
  <c r="O2757" i="1" s="1"/>
  <c r="K107" i="190"/>
  <c r="K108" i="190"/>
  <c r="K109" i="190"/>
  <c r="K110" i="190"/>
  <c r="K111" i="190"/>
  <c r="K112" i="190"/>
  <c r="K113" i="190"/>
  <c r="K114" i="190"/>
  <c r="K115" i="190"/>
  <c r="K116" i="190"/>
  <c r="O2760" i="1" s="1"/>
  <c r="K117" i="190"/>
  <c r="O2761" i="1" s="1"/>
  <c r="K118" i="190"/>
  <c r="O2762" i="1" s="1"/>
  <c r="K119" i="190"/>
  <c r="O2763" i="1" s="1"/>
  <c r="K120" i="190"/>
  <c r="K121" i="190"/>
  <c r="K122" i="190"/>
  <c r="O2767" i="1" s="1"/>
  <c r="K123" i="190"/>
  <c r="O2768" i="1" s="1"/>
  <c r="K124" i="190"/>
  <c r="K125" i="190"/>
  <c r="K126" i="190"/>
  <c r="O2771" i="1" s="1"/>
  <c r="K127" i="190"/>
  <c r="O2772" i="1" s="1"/>
  <c r="K128" i="190"/>
  <c r="O2773" i="1" s="1"/>
  <c r="K129" i="190"/>
  <c r="O2774" i="1" s="1"/>
  <c r="K130" i="190"/>
  <c r="O2775" i="1" s="1"/>
  <c r="K131" i="190"/>
  <c r="O2776" i="1" s="1"/>
  <c r="K132" i="190"/>
  <c r="O2777" i="1" s="1"/>
  <c r="K133" i="190"/>
  <c r="O2778" i="1" s="1"/>
  <c r="K134" i="190"/>
  <c r="O2779" i="1" s="1"/>
  <c r="K135" i="190"/>
  <c r="O2780" i="1" s="1"/>
  <c r="K136" i="190"/>
  <c r="O2781" i="1" s="1"/>
  <c r="K137" i="190"/>
  <c r="O2782" i="1" s="1"/>
  <c r="K138" i="190"/>
  <c r="O2783" i="1" s="1"/>
  <c r="K140" i="190"/>
  <c r="K141" i="190"/>
  <c r="K142" i="190"/>
  <c r="K143" i="190"/>
  <c r="K144" i="190"/>
  <c r="K145" i="190"/>
  <c r="K146" i="190"/>
  <c r="K147" i="190"/>
  <c r="K148" i="190"/>
  <c r="K149" i="190"/>
  <c r="K150" i="190"/>
  <c r="K151" i="190"/>
  <c r="K152" i="190"/>
  <c r="K153" i="190"/>
  <c r="K154" i="190"/>
  <c r="O2764" i="1" s="1"/>
  <c r="K156" i="190"/>
  <c r="K157" i="190"/>
  <c r="K158" i="190"/>
  <c r="K159" i="190"/>
  <c r="K160" i="190"/>
  <c r="K5" i="136"/>
  <c r="K10" i="136"/>
  <c r="K11" i="136"/>
  <c r="O2337" i="1" s="1"/>
  <c r="U2337" i="1" s="1"/>
  <c r="K12" i="136"/>
  <c r="K13" i="136"/>
  <c r="K14" i="136"/>
  <c r="K15" i="136"/>
  <c r="K16" i="136"/>
  <c r="K17" i="136"/>
  <c r="O2343" i="1" s="1"/>
  <c r="K18" i="136"/>
  <c r="O2344" i="1" s="1"/>
  <c r="K19" i="136"/>
  <c r="O2345" i="1" s="1"/>
  <c r="K20" i="136"/>
  <c r="O2346" i="1" s="1"/>
  <c r="K21" i="136"/>
  <c r="O2347" i="1" s="1"/>
  <c r="K22" i="136"/>
  <c r="O2348" i="1" s="1"/>
  <c r="K23" i="136"/>
  <c r="K24" i="136"/>
  <c r="K25" i="136"/>
  <c r="K26" i="136"/>
  <c r="K27" i="136"/>
  <c r="K28" i="136"/>
  <c r="O2358" i="1" s="1"/>
  <c r="K29" i="136"/>
  <c r="O2359" i="1" s="1"/>
  <c r="K30" i="136"/>
  <c r="O2360" i="1" s="1"/>
  <c r="K31" i="136"/>
  <c r="O2361" i="1" s="1"/>
  <c r="K32" i="136"/>
  <c r="O2362" i="1" s="1"/>
  <c r="K34" i="136"/>
  <c r="K35" i="136"/>
  <c r="K36" i="136"/>
  <c r="K37" i="136"/>
  <c r="K38" i="136"/>
  <c r="K39" i="136"/>
  <c r="K40" i="136"/>
  <c r="O2372" i="1" s="1"/>
  <c r="K41" i="136"/>
  <c r="O2373" i="1" s="1"/>
  <c r="K42" i="136"/>
  <c r="O2374" i="1" s="1"/>
  <c r="K43" i="136"/>
  <c r="K44" i="136"/>
  <c r="K45" i="136"/>
  <c r="K46" i="136"/>
  <c r="K47" i="136"/>
  <c r="O2376" i="1" s="1"/>
  <c r="K48" i="136"/>
  <c r="O2377" i="1" s="1"/>
  <c r="K49" i="136"/>
  <c r="O2378" i="1" s="1"/>
  <c r="K50" i="136"/>
  <c r="O2379" i="1" s="1"/>
  <c r="K51" i="136"/>
  <c r="K52" i="136"/>
  <c r="K53" i="136"/>
  <c r="O2381" i="1" s="1"/>
  <c r="K54" i="136"/>
  <c r="K55" i="136"/>
  <c r="K56" i="136"/>
  <c r="K57" i="136"/>
  <c r="K58" i="136"/>
  <c r="K59" i="136"/>
  <c r="K60" i="136"/>
  <c r="K61" i="136"/>
  <c r="K62" i="136"/>
  <c r="K63" i="136"/>
  <c r="K64" i="136"/>
  <c r="O2384" i="1" s="1"/>
  <c r="K65" i="136"/>
  <c r="K66" i="136"/>
  <c r="K67" i="136"/>
  <c r="K68" i="136"/>
  <c r="K69" i="136"/>
  <c r="K70" i="136"/>
  <c r="O2387" i="1" s="1"/>
  <c r="K71" i="136"/>
  <c r="O2388" i="1" s="1"/>
  <c r="K72" i="136"/>
  <c r="O2389" i="1" s="1"/>
  <c r="K73" i="136"/>
  <c r="O2390" i="1" s="1"/>
  <c r="K74" i="136"/>
  <c r="O2391" i="1" s="1"/>
  <c r="K75" i="136"/>
  <c r="O2392" i="1" s="1"/>
  <c r="K76" i="136"/>
  <c r="O2393" i="1" s="1"/>
  <c r="K77" i="136"/>
  <c r="O2394" i="1" s="1"/>
  <c r="K78" i="136"/>
  <c r="O2395" i="1" s="1"/>
  <c r="K79" i="136"/>
  <c r="O2396" i="1" s="1"/>
  <c r="K80" i="136"/>
  <c r="O2397" i="1" s="1"/>
  <c r="K81" i="136"/>
  <c r="O2398" i="1" s="1"/>
  <c r="K82" i="136"/>
  <c r="K83" i="136"/>
  <c r="O2470" i="1" s="1"/>
  <c r="K84" i="136"/>
  <c r="K85" i="136"/>
  <c r="K86" i="136"/>
  <c r="K87" i="136"/>
  <c r="K88" i="136"/>
  <c r="K89" i="136"/>
  <c r="K90" i="136"/>
  <c r="K92" i="136"/>
  <c r="K93" i="136"/>
  <c r="O2438" i="1" s="1"/>
  <c r="K94" i="136"/>
  <c r="O2465" i="1" s="1"/>
  <c r="K95" i="136"/>
  <c r="O2468" i="1" s="1"/>
  <c r="K97" i="136"/>
  <c r="K98" i="136"/>
  <c r="K99" i="136"/>
  <c r="K100" i="136"/>
  <c r="K101" i="136"/>
  <c r="K102" i="136"/>
  <c r="O2426" i="1" s="1"/>
  <c r="K103" i="136"/>
  <c r="O2425" i="1" s="1"/>
  <c r="K104" i="136"/>
  <c r="O2427" i="1" s="1"/>
  <c r="K105" i="136"/>
  <c r="O2428" i="1" s="1"/>
  <c r="K106" i="136"/>
  <c r="O2429" i="1" s="1"/>
  <c r="K107" i="136"/>
  <c r="K108" i="136"/>
  <c r="K109" i="136"/>
  <c r="K110" i="136"/>
  <c r="K111" i="136"/>
  <c r="K112" i="136"/>
  <c r="K113" i="136"/>
  <c r="K114" i="136"/>
  <c r="K115" i="136"/>
  <c r="K116" i="136"/>
  <c r="O2432" i="1" s="1"/>
  <c r="K117" i="136"/>
  <c r="O2433" i="1" s="1"/>
  <c r="K118" i="136"/>
  <c r="O2434" i="1" s="1"/>
  <c r="K119" i="136"/>
  <c r="O2435" i="1" s="1"/>
  <c r="K120" i="136"/>
  <c r="K121" i="136"/>
  <c r="K122" i="136"/>
  <c r="O2439" i="1" s="1"/>
  <c r="K123" i="136"/>
  <c r="O2440" i="1" s="1"/>
  <c r="K124" i="136"/>
  <c r="K125" i="136"/>
  <c r="K126" i="136"/>
  <c r="O2443" i="1" s="1"/>
  <c r="K127" i="136"/>
  <c r="O2444" i="1" s="1"/>
  <c r="K128" i="136"/>
  <c r="O2445" i="1" s="1"/>
  <c r="K129" i="136"/>
  <c r="O2446" i="1" s="1"/>
  <c r="K130" i="136"/>
  <c r="K131" i="136"/>
  <c r="O2448" i="1" s="1"/>
  <c r="K132" i="136"/>
  <c r="O2449" i="1" s="1"/>
  <c r="K133" i="136"/>
  <c r="O2450" i="1" s="1"/>
  <c r="K134" i="136"/>
  <c r="O2451" i="1" s="1"/>
  <c r="K135" i="136"/>
  <c r="O2452" i="1" s="1"/>
  <c r="K136" i="136"/>
  <c r="O2453" i="1" s="1"/>
  <c r="K137" i="136"/>
  <c r="O2454" i="1" s="1"/>
  <c r="K138" i="136"/>
  <c r="O2455" i="1" s="1"/>
  <c r="K140" i="136"/>
  <c r="K141" i="136"/>
  <c r="K142" i="136"/>
  <c r="K143" i="136"/>
  <c r="K144" i="136"/>
  <c r="K145" i="136"/>
  <c r="K146" i="136"/>
  <c r="K147" i="136"/>
  <c r="K148" i="136"/>
  <c r="K149" i="136"/>
  <c r="K150" i="136"/>
  <c r="K151" i="136"/>
  <c r="K152" i="136"/>
  <c r="K153" i="136"/>
  <c r="K154" i="136"/>
  <c r="O2436" i="1" s="1"/>
  <c r="K156" i="136"/>
  <c r="K157" i="136"/>
  <c r="K158" i="136"/>
  <c r="D2822" i="1"/>
  <c r="D2905" i="1" s="1"/>
  <c r="O2825" i="1"/>
  <c r="D2836" i="1"/>
  <c r="D2837" i="1"/>
  <c r="D2838" i="1"/>
  <c r="D2839" i="1"/>
  <c r="D2840" i="1"/>
  <c r="D2851" i="1"/>
  <c r="D2852" i="1"/>
  <c r="D2853" i="1"/>
  <c r="D2854" i="1"/>
  <c r="D2881" i="1"/>
  <c r="D2882" i="1"/>
  <c r="D2883" i="1"/>
  <c r="D2884" i="1"/>
  <c r="D2885" i="1"/>
  <c r="D2886" i="1"/>
  <c r="D2887" i="1"/>
  <c r="D2888" i="1"/>
  <c r="D2889" i="1"/>
  <c r="D2890" i="1"/>
  <c r="O2908" i="1"/>
  <c r="D2938" i="1"/>
  <c r="D2939" i="1"/>
  <c r="D2940" i="1"/>
  <c r="D2941" i="1"/>
  <c r="D2942" i="1"/>
  <c r="D2943" i="1"/>
  <c r="D2944" i="1"/>
  <c r="D2945" i="1"/>
  <c r="D2946" i="1"/>
  <c r="D2947" i="1"/>
  <c r="D2658" i="1"/>
  <c r="D2741" i="1" s="1"/>
  <c r="M2661" i="1"/>
  <c r="D2672" i="1"/>
  <c r="D2673" i="1"/>
  <c r="D2674" i="1"/>
  <c r="D2675" i="1"/>
  <c r="D2676" i="1"/>
  <c r="D2687" i="1"/>
  <c r="D2688" i="1"/>
  <c r="D2689" i="1"/>
  <c r="D2690" i="1"/>
  <c r="D2717" i="1"/>
  <c r="D2718" i="1"/>
  <c r="D2719" i="1"/>
  <c r="D2720" i="1"/>
  <c r="D2721" i="1"/>
  <c r="D2722" i="1"/>
  <c r="D2723" i="1"/>
  <c r="D2724" i="1"/>
  <c r="D2725" i="1"/>
  <c r="D2726" i="1"/>
  <c r="M2744" i="1"/>
  <c r="D2774" i="1"/>
  <c r="D2775" i="1"/>
  <c r="D2776" i="1"/>
  <c r="D2777" i="1"/>
  <c r="D2778" i="1"/>
  <c r="D2779" i="1"/>
  <c r="D2780" i="1"/>
  <c r="D2781" i="1"/>
  <c r="D2782" i="1"/>
  <c r="D2783" i="1"/>
  <c r="D2494" i="1"/>
  <c r="D2577" i="1" s="1"/>
  <c r="O2497" i="1"/>
  <c r="D2508" i="1"/>
  <c r="D2509" i="1"/>
  <c r="D2510" i="1"/>
  <c r="D2511" i="1"/>
  <c r="D2512" i="1"/>
  <c r="D2523" i="1"/>
  <c r="D2524" i="1"/>
  <c r="D2525" i="1"/>
  <c r="D2526" i="1"/>
  <c r="D2553" i="1"/>
  <c r="D2554" i="1"/>
  <c r="D2555" i="1"/>
  <c r="D2556" i="1"/>
  <c r="D2557" i="1"/>
  <c r="D2558" i="1"/>
  <c r="D2559" i="1"/>
  <c r="D2560" i="1"/>
  <c r="D2561" i="1"/>
  <c r="D2562" i="1"/>
  <c r="O2580" i="1"/>
  <c r="D2610" i="1"/>
  <c r="D2611" i="1"/>
  <c r="D2612" i="1"/>
  <c r="D2613" i="1"/>
  <c r="D2614" i="1"/>
  <c r="D2615" i="1"/>
  <c r="D2616" i="1"/>
  <c r="D2617" i="1"/>
  <c r="D2618" i="1"/>
  <c r="D2619" i="1"/>
  <c r="D2330" i="1"/>
  <c r="D2413" i="1" s="1"/>
  <c r="M2333" i="1"/>
  <c r="D2344" i="1"/>
  <c r="D2345" i="1"/>
  <c r="D2346" i="1"/>
  <c r="D2347" i="1"/>
  <c r="D2348" i="1"/>
  <c r="D2359" i="1"/>
  <c r="D2360" i="1"/>
  <c r="D2361" i="1"/>
  <c r="D2362" i="1"/>
  <c r="D2389" i="1"/>
  <c r="D2390" i="1"/>
  <c r="D2391" i="1"/>
  <c r="D2392" i="1"/>
  <c r="D2393" i="1"/>
  <c r="D2394" i="1"/>
  <c r="D2395" i="1"/>
  <c r="D2396" i="1"/>
  <c r="D2397" i="1"/>
  <c r="D2398" i="1"/>
  <c r="M2416" i="1"/>
  <c r="D2446" i="1"/>
  <c r="D2447" i="1"/>
  <c r="D2448" i="1"/>
  <c r="D2449" i="1"/>
  <c r="D2450" i="1"/>
  <c r="D2451" i="1"/>
  <c r="D2452" i="1"/>
  <c r="D2453" i="1"/>
  <c r="D2454" i="1"/>
  <c r="D2455" i="1"/>
  <c r="O2355" i="1" l="1"/>
  <c r="O2683" i="1"/>
  <c r="O2308" i="1"/>
  <c r="O2307" i="1"/>
  <c r="O2431" i="1"/>
  <c r="O2430" i="1"/>
  <c r="O2466" i="1"/>
  <c r="O2335" i="1"/>
  <c r="U2335" i="1" s="1"/>
  <c r="O2380" i="1"/>
  <c r="O2713" i="1"/>
  <c r="O2663" i="1"/>
  <c r="U2663" i="1" s="1"/>
  <c r="O2708" i="1"/>
  <c r="O2665" i="1"/>
  <c r="U2665" i="1" s="1"/>
  <c r="O2467" i="1"/>
  <c r="O2385" i="1"/>
  <c r="O2383" i="1"/>
  <c r="O2386" i="1"/>
  <c r="O2382" i="1"/>
  <c r="O2442" i="1"/>
  <c r="O2437" i="1"/>
  <c r="O2758" i="1"/>
  <c r="O2752" i="1"/>
  <c r="O2795" i="1"/>
  <c r="O2714" i="1"/>
  <c r="O2710" i="1"/>
  <c r="O2703" i="1"/>
  <c r="O2805" i="1"/>
  <c r="U2805" i="1" s="1"/>
  <c r="O2797" i="1"/>
  <c r="O2759" i="1"/>
  <c r="O2677" i="1"/>
  <c r="O2766" i="1"/>
  <c r="O2770" i="1"/>
  <c r="O2765" i="1"/>
  <c r="O2794" i="1"/>
  <c r="O2711" i="1"/>
  <c r="O2670" i="1"/>
  <c r="O2477" i="1"/>
  <c r="U2477" i="1" s="1"/>
  <c r="O2375" i="1"/>
  <c r="O2342" i="1"/>
  <c r="O2424" i="1"/>
  <c r="O2349" i="1"/>
  <c r="O2447" i="1"/>
  <c r="U2683" i="1"/>
  <c r="O2469" i="1"/>
  <c r="U2355" i="1"/>
  <c r="K162" i="190"/>
  <c r="K163" i="190"/>
  <c r="K164" i="190"/>
  <c r="K159" i="136"/>
  <c r="K160" i="136"/>
  <c r="K162" i="136"/>
  <c r="K163" i="136"/>
  <c r="K164" i="136"/>
  <c r="O2462" i="1" l="1"/>
  <c r="U2462" i="1" s="1"/>
  <c r="O2369" i="1"/>
  <c r="U2369" i="1" s="1"/>
  <c r="O2697" i="1"/>
  <c r="U2697" i="1" s="1"/>
  <c r="O2790" i="1"/>
  <c r="U2790" i="1" s="1"/>
  <c r="O2421" i="1"/>
  <c r="U2421" i="1" s="1"/>
  <c r="O2339" i="1"/>
  <c r="U2339" i="1" s="1"/>
  <c r="O2353" i="1" s="1"/>
  <c r="O2667" i="1"/>
  <c r="U2667" i="1" s="1"/>
  <c r="O2749" i="1"/>
  <c r="U2749" i="1" s="1"/>
  <c r="O2681" i="1" l="1"/>
  <c r="O2475" i="1"/>
  <c r="O2367" i="1"/>
  <c r="O2418" i="1"/>
  <c r="O2460" i="1"/>
  <c r="O2808" i="1"/>
  <c r="O2402" i="1"/>
  <c r="O2788" i="1"/>
  <c r="O2803" i="1"/>
  <c r="O2746" i="1"/>
  <c r="O2730" i="1"/>
  <c r="O2695" i="1"/>
  <c r="O2480" i="1"/>
  <c r="X2418" i="1" l="1"/>
  <c r="X2746" i="1"/>
  <c r="M106" i="192"/>
  <c r="G106" i="192" s="1"/>
  <c r="I106" i="192" s="1"/>
  <c r="O2727" i="246" s="1"/>
  <c r="K106" i="192"/>
  <c r="O3085" i="1" s="1"/>
  <c r="M106" i="190"/>
  <c r="G106" i="190" s="1"/>
  <c r="I106" i="190" s="1"/>
  <c r="O2563" i="246" s="1"/>
  <c r="M106" i="136"/>
  <c r="G106" i="136" s="1"/>
  <c r="I106" i="136" s="1"/>
  <c r="O2399" i="246" s="1"/>
  <c r="P106" i="5"/>
  <c r="J106" i="5" s="1"/>
  <c r="L106" i="5" s="1"/>
  <c r="O2223" i="246" s="1"/>
  <c r="R2223" i="246" s="1"/>
  <c r="N106" i="5"/>
  <c r="O2253" i="1" s="1"/>
  <c r="O2921" i="1" l="1"/>
  <c r="M2757" i="1"/>
  <c r="O2593" i="1"/>
  <c r="M2429" i="1"/>
  <c r="M2253" i="1"/>
  <c r="O3249" i="1"/>
  <c r="M3085" i="1"/>
  <c r="R2253" i="1" l="1"/>
  <c r="D1599" i="1"/>
  <c r="P347" i="5"/>
  <c r="J347" i="5" s="1"/>
  <c r="N347" i="5"/>
  <c r="P342" i="5"/>
  <c r="J342" i="5" s="1"/>
  <c r="N342" i="5"/>
  <c r="M347" i="192"/>
  <c r="G347" i="192" s="1"/>
  <c r="I347" i="192" s="1"/>
  <c r="K347" i="192"/>
  <c r="M342" i="192"/>
  <c r="G342" i="192" s="1"/>
  <c r="I342" i="192" s="1"/>
  <c r="K342" i="192"/>
  <c r="M347" i="190"/>
  <c r="G347" i="190" s="1"/>
  <c r="I347" i="190" s="1"/>
  <c r="K347" i="190"/>
  <c r="M342" i="190"/>
  <c r="G342" i="190" s="1"/>
  <c r="I342" i="190" s="1"/>
  <c r="K342" i="190"/>
  <c r="M347" i="136"/>
  <c r="G347" i="136" s="1"/>
  <c r="I347" i="136" s="1"/>
  <c r="K347" i="136"/>
  <c r="M342" i="136"/>
  <c r="G342" i="136" s="1"/>
  <c r="I342" i="136" s="1"/>
  <c r="K342" i="136"/>
  <c r="L347" i="5" l="1"/>
  <c r="L342" i="5"/>
  <c r="P330" i="5"/>
  <c r="J330" i="5" s="1"/>
  <c r="N330" i="5"/>
  <c r="P319" i="5"/>
  <c r="J319" i="5" s="1"/>
  <c r="N319" i="5"/>
  <c r="M330" i="192"/>
  <c r="G330" i="192" s="1"/>
  <c r="I330" i="192" s="1"/>
  <c r="K330" i="192"/>
  <c r="M319" i="192"/>
  <c r="G319" i="192" s="1"/>
  <c r="I319" i="192" s="1"/>
  <c r="K319" i="192"/>
  <c r="M330" i="190"/>
  <c r="G330" i="190" s="1"/>
  <c r="I330" i="190" s="1"/>
  <c r="K330" i="190"/>
  <c r="M319" i="190"/>
  <c r="G319" i="190" s="1"/>
  <c r="I319" i="190" s="1"/>
  <c r="K319" i="190"/>
  <c r="M330" i="136"/>
  <c r="G330" i="136" s="1"/>
  <c r="I330" i="136" s="1"/>
  <c r="K330" i="136"/>
  <c r="M319" i="136"/>
  <c r="G319" i="136" s="1"/>
  <c r="I319" i="136" s="1"/>
  <c r="K319" i="136"/>
  <c r="D2014" i="1" l="1"/>
  <c r="L319" i="5" l="1"/>
  <c r="L330" i="5"/>
  <c r="D1803" i="1"/>
  <c r="D1804" i="1"/>
  <c r="D1805" i="1"/>
  <c r="D1806" i="1"/>
  <c r="D1807" i="1"/>
  <c r="D1808" i="1"/>
  <c r="D1809" i="1"/>
  <c r="D1810" i="1"/>
  <c r="D1811" i="1"/>
  <c r="D1812" i="1"/>
  <c r="K130" i="89" l="1"/>
  <c r="K135" i="89" l="1"/>
  <c r="K134" i="89"/>
  <c r="K167" i="89" l="1"/>
  <c r="C256" i="231" l="1"/>
  <c r="C255" i="231"/>
  <c r="C254" i="231"/>
  <c r="C253" i="231"/>
  <c r="C252" i="231"/>
  <c r="C251" i="231"/>
  <c r="C250" i="231"/>
  <c r="C249" i="231"/>
  <c r="C248" i="231"/>
  <c r="C247" i="231"/>
  <c r="C246" i="231"/>
  <c r="C245" i="231"/>
  <c r="C244" i="231"/>
  <c r="C243" i="231"/>
  <c r="C242" i="231"/>
  <c r="C241" i="231"/>
  <c r="C240" i="231"/>
  <c r="C239" i="231"/>
  <c r="C238" i="231"/>
  <c r="C237" i="231"/>
  <c r="C236" i="231"/>
  <c r="C235" i="231"/>
  <c r="C234" i="231"/>
  <c r="C233" i="231"/>
  <c r="C232" i="231"/>
  <c r="C231" i="231"/>
  <c r="C230" i="231"/>
  <c r="C229" i="231"/>
  <c r="C228" i="231"/>
  <c r="C227" i="231"/>
  <c r="C226" i="231"/>
  <c r="C225" i="231"/>
  <c r="C224" i="231"/>
  <c r="C223" i="231"/>
  <c r="C222" i="231"/>
  <c r="C221" i="231"/>
  <c r="C220" i="231"/>
  <c r="C219" i="231"/>
  <c r="C218" i="231"/>
  <c r="C217" i="231"/>
  <c r="C216" i="231"/>
  <c r="C215" i="231"/>
  <c r="C214" i="231"/>
  <c r="C213" i="231"/>
  <c r="C212" i="231"/>
  <c r="C211" i="231"/>
  <c r="C210" i="231"/>
  <c r="C209" i="231"/>
  <c r="C208" i="231"/>
  <c r="C207" i="231"/>
  <c r="C206" i="231"/>
  <c r="C205" i="231"/>
  <c r="C204" i="231"/>
  <c r="C203" i="231"/>
  <c r="C202" i="231"/>
  <c r="C201" i="231"/>
  <c r="C200" i="231"/>
  <c r="C199" i="231"/>
  <c r="C198" i="231"/>
  <c r="C197" i="231"/>
  <c r="C196" i="231"/>
  <c r="C195" i="231"/>
  <c r="C194" i="231"/>
  <c r="C193" i="231"/>
  <c r="C192" i="231"/>
  <c r="C191" i="231"/>
  <c r="C190" i="231"/>
  <c r="C189" i="231"/>
  <c r="C188" i="231"/>
  <c r="C187" i="231"/>
  <c r="C186" i="231"/>
  <c r="C185" i="231"/>
  <c r="C184" i="231"/>
  <c r="C183" i="231"/>
  <c r="C182" i="231"/>
  <c r="C181" i="231"/>
  <c r="C180" i="231"/>
  <c r="C179" i="231"/>
  <c r="C178" i="231"/>
  <c r="C177" i="231"/>
  <c r="C176" i="231"/>
  <c r="C175" i="231"/>
  <c r="C174" i="231"/>
  <c r="C173" i="231"/>
  <c r="C172" i="231"/>
  <c r="C171" i="231"/>
  <c r="C170" i="231"/>
  <c r="C169" i="231"/>
  <c r="C168" i="231"/>
  <c r="C167" i="231"/>
  <c r="C166" i="231"/>
  <c r="C165" i="231"/>
  <c r="C164" i="231"/>
  <c r="C163" i="231"/>
  <c r="C162" i="231"/>
  <c r="C161" i="231"/>
  <c r="C160" i="231"/>
  <c r="C159" i="231"/>
  <c r="C158" i="231"/>
  <c r="C157" i="231"/>
  <c r="C156" i="231"/>
  <c r="C155" i="231"/>
  <c r="C154" i="231"/>
  <c r="C153" i="231"/>
  <c r="C152" i="231"/>
  <c r="C151" i="231"/>
  <c r="C150" i="231"/>
  <c r="C149" i="231"/>
  <c r="C148" i="231"/>
  <c r="C147" i="231"/>
  <c r="C146" i="231"/>
  <c r="C145" i="231"/>
  <c r="C144" i="231"/>
  <c r="C143" i="231"/>
  <c r="C142" i="231"/>
  <c r="C141" i="231"/>
  <c r="C140" i="231"/>
  <c r="C139" i="231"/>
  <c r="C138" i="231"/>
  <c r="C137" i="231"/>
  <c r="C136" i="231"/>
  <c r="C135" i="231"/>
  <c r="C134" i="231"/>
  <c r="C133" i="231"/>
  <c r="C132" i="231"/>
  <c r="C131" i="231"/>
  <c r="C130" i="231"/>
  <c r="C129" i="231"/>
  <c r="C128" i="231"/>
  <c r="C127" i="231"/>
  <c r="C126" i="231"/>
  <c r="C125" i="231"/>
  <c r="C124" i="231"/>
  <c r="C123" i="231"/>
  <c r="C122" i="231"/>
  <c r="C121" i="231"/>
  <c r="C120" i="231"/>
  <c r="C119" i="231"/>
  <c r="C118" i="231"/>
  <c r="C117" i="231"/>
  <c r="C116" i="231"/>
  <c r="C115" i="231"/>
  <c r="C114" i="231"/>
  <c r="C113" i="231"/>
  <c r="C112" i="231"/>
  <c r="C111" i="231"/>
  <c r="C110" i="231"/>
  <c r="C109" i="231"/>
  <c r="C108" i="231"/>
  <c r="C107" i="231"/>
  <c r="C106" i="231"/>
  <c r="C105" i="231"/>
  <c r="C104" i="231"/>
  <c r="C103" i="231"/>
  <c r="C102" i="231"/>
  <c r="C101" i="231"/>
  <c r="C100" i="231"/>
  <c r="C99" i="231"/>
  <c r="C98" i="231"/>
  <c r="C97" i="231"/>
  <c r="C96" i="231"/>
  <c r="C95" i="231"/>
  <c r="C94" i="231"/>
  <c r="C93" i="231"/>
  <c r="C92" i="231"/>
  <c r="C91" i="231"/>
  <c r="C90" i="231"/>
  <c r="C89" i="231"/>
  <c r="C88" i="231"/>
  <c r="C87" i="231"/>
  <c r="C86" i="231"/>
  <c r="C85" i="231"/>
  <c r="C84" i="231"/>
  <c r="C83" i="231"/>
  <c r="C82" i="231"/>
  <c r="C81" i="231"/>
  <c r="C80" i="231"/>
  <c r="C79" i="231"/>
  <c r="C78" i="231"/>
  <c r="C77" i="231"/>
  <c r="C76" i="231"/>
  <c r="C75" i="231"/>
  <c r="C74" i="231"/>
  <c r="C73" i="231"/>
  <c r="C72" i="231"/>
  <c r="C71" i="231"/>
  <c r="C70" i="231"/>
  <c r="C69" i="231"/>
  <c r="C68" i="231"/>
  <c r="C67" i="231"/>
  <c r="C66" i="231"/>
  <c r="C65" i="231"/>
  <c r="C64" i="231"/>
  <c r="C63" i="231"/>
  <c r="C62" i="231"/>
  <c r="C61" i="231"/>
  <c r="C60" i="231"/>
  <c r="C59" i="231"/>
  <c r="C58" i="231"/>
  <c r="C57" i="231"/>
  <c r="C56" i="231"/>
  <c r="C55" i="231"/>
  <c r="C54" i="231"/>
  <c r="C53" i="231"/>
  <c r="C52" i="231"/>
  <c r="C51" i="231"/>
  <c r="C50" i="231"/>
  <c r="C49" i="231"/>
  <c r="C48" i="231"/>
  <c r="C47" i="231"/>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B18" i="231"/>
  <c r="B19" i="231" s="1"/>
  <c r="B20" i="231" s="1"/>
  <c r="B21" i="231" s="1"/>
  <c r="B22" i="231" s="1"/>
  <c r="B23" i="231" s="1"/>
  <c r="B24" i="231" s="1"/>
  <c r="B25" i="231" s="1"/>
  <c r="B26" i="231" s="1"/>
  <c r="B27" i="231" s="1"/>
  <c r="B28" i="231" s="1"/>
  <c r="B29" i="231" s="1"/>
  <c r="B30" i="231" s="1"/>
  <c r="B31" i="231" s="1"/>
  <c r="B32" i="231" s="1"/>
  <c r="B33" i="231" s="1"/>
  <c r="B34" i="231" s="1"/>
  <c r="B35" i="231" s="1"/>
  <c r="B36" i="231" s="1"/>
  <c r="B37" i="231" s="1"/>
  <c r="B38" i="231" s="1"/>
  <c r="B39" i="231" s="1"/>
  <c r="B40" i="231" s="1"/>
  <c r="B41" i="231" s="1"/>
  <c r="B42" i="231" s="1"/>
  <c r="B43" i="231" s="1"/>
  <c r="B44" i="231" s="1"/>
  <c r="B45" i="231" s="1"/>
  <c r="B46" i="231" s="1"/>
  <c r="B47" i="231" s="1"/>
  <c r="B48" i="231" s="1"/>
  <c r="B49" i="231" s="1"/>
  <c r="B50" i="231" s="1"/>
  <c r="B51" i="231" s="1"/>
  <c r="B52" i="231" s="1"/>
  <c r="B53" i="231" s="1"/>
  <c r="B54" i="231" s="1"/>
  <c r="B55" i="231" s="1"/>
  <c r="B56" i="231" s="1"/>
  <c r="B57" i="231" s="1"/>
  <c r="B58" i="231" s="1"/>
  <c r="B59" i="231" s="1"/>
  <c r="B60" i="231" s="1"/>
  <c r="B61" i="231" s="1"/>
  <c r="B62" i="231" s="1"/>
  <c r="B63" i="231" s="1"/>
  <c r="B64" i="231" s="1"/>
  <c r="B65" i="231" s="1"/>
  <c r="B66" i="231" s="1"/>
  <c r="B67" i="231" s="1"/>
  <c r="B68" i="231" s="1"/>
  <c r="B69" i="231" s="1"/>
  <c r="B70" i="231" s="1"/>
  <c r="B71" i="231" s="1"/>
  <c r="B72" i="231" s="1"/>
  <c r="B73" i="231" s="1"/>
  <c r="B74" i="231" s="1"/>
  <c r="B75" i="231" s="1"/>
  <c r="B76" i="231" s="1"/>
  <c r="B77" i="231" s="1"/>
  <c r="B78" i="231" s="1"/>
  <c r="B79" i="231" s="1"/>
  <c r="B80" i="231" s="1"/>
  <c r="B81" i="231" s="1"/>
  <c r="B82" i="231" s="1"/>
  <c r="B83" i="231" s="1"/>
  <c r="B84" i="231" s="1"/>
  <c r="B85" i="231" s="1"/>
  <c r="B86" i="231" s="1"/>
  <c r="B87" i="231" s="1"/>
  <c r="B88" i="231" s="1"/>
  <c r="B89" i="231" s="1"/>
  <c r="B90" i="231" s="1"/>
  <c r="B91" i="231" s="1"/>
  <c r="B92" i="231" s="1"/>
  <c r="B93" i="231" s="1"/>
  <c r="B94" i="231" s="1"/>
  <c r="B95" i="231" s="1"/>
  <c r="B96" i="231" s="1"/>
  <c r="B97" i="231" s="1"/>
  <c r="B98" i="231" s="1"/>
  <c r="B99" i="231" s="1"/>
  <c r="B100" i="231" s="1"/>
  <c r="B101" i="231" s="1"/>
  <c r="B102" i="231" s="1"/>
  <c r="B103" i="231" s="1"/>
  <c r="B104" i="231" s="1"/>
  <c r="B105" i="231" s="1"/>
  <c r="B106" i="231" s="1"/>
  <c r="B107" i="231" s="1"/>
  <c r="B108" i="231" s="1"/>
  <c r="B109" i="231" s="1"/>
  <c r="B110" i="231" s="1"/>
  <c r="B111" i="231" s="1"/>
  <c r="B112" i="231" s="1"/>
  <c r="B113" i="231" s="1"/>
  <c r="B114" i="231" s="1"/>
  <c r="B115" i="231" s="1"/>
  <c r="B116" i="231" s="1"/>
  <c r="B117" i="231" s="1"/>
  <c r="B118" i="231" s="1"/>
  <c r="B119" i="231" s="1"/>
  <c r="B120" i="231" s="1"/>
  <c r="B121" i="231" s="1"/>
  <c r="B122" i="231" s="1"/>
  <c r="B123" i="231" s="1"/>
  <c r="B124" i="231" s="1"/>
  <c r="B125" i="231" s="1"/>
  <c r="B126" i="231" s="1"/>
  <c r="B127" i="231" s="1"/>
  <c r="B128" i="231" s="1"/>
  <c r="B129" i="231" s="1"/>
  <c r="B130" i="231" s="1"/>
  <c r="B131" i="231" s="1"/>
  <c r="B132" i="231" s="1"/>
  <c r="B133" i="231" s="1"/>
  <c r="B134" i="231" s="1"/>
  <c r="B135" i="231" s="1"/>
  <c r="B136" i="231" s="1"/>
  <c r="B137" i="231" s="1"/>
  <c r="B138" i="231" s="1"/>
  <c r="B139" i="231" s="1"/>
  <c r="B140" i="231" s="1"/>
  <c r="B141" i="231" s="1"/>
  <c r="B142" i="231" s="1"/>
  <c r="B143" i="231" s="1"/>
  <c r="B144" i="231" s="1"/>
  <c r="B145" i="231" s="1"/>
  <c r="B146" i="231" s="1"/>
  <c r="B147" i="231" s="1"/>
  <c r="B148" i="231" s="1"/>
  <c r="B149" i="231" s="1"/>
  <c r="B150" i="231" s="1"/>
  <c r="B151" i="231" s="1"/>
  <c r="B152" i="231" s="1"/>
  <c r="B153" i="231" s="1"/>
  <c r="B154" i="231" s="1"/>
  <c r="B155" i="231" s="1"/>
  <c r="B156" i="231" s="1"/>
  <c r="B157" i="231" s="1"/>
  <c r="B158" i="231" s="1"/>
  <c r="B159" i="231" s="1"/>
  <c r="B160" i="231" s="1"/>
  <c r="B161" i="231" s="1"/>
  <c r="B162" i="231" s="1"/>
  <c r="B163" i="231" s="1"/>
  <c r="B164" i="231" s="1"/>
  <c r="B165" i="231" s="1"/>
  <c r="B166" i="231" s="1"/>
  <c r="B167" i="231" s="1"/>
  <c r="B168" i="231" s="1"/>
  <c r="B169" i="231" s="1"/>
  <c r="B170" i="231" s="1"/>
  <c r="B171" i="231" s="1"/>
  <c r="B172" i="231" s="1"/>
  <c r="B173" i="231" s="1"/>
  <c r="B174" i="231" s="1"/>
  <c r="B175" i="231" s="1"/>
  <c r="B176" i="231" s="1"/>
  <c r="B177" i="231" s="1"/>
  <c r="B178" i="231" s="1"/>
  <c r="B179" i="231" s="1"/>
  <c r="B180" i="231" s="1"/>
  <c r="B181" i="231" s="1"/>
  <c r="B182" i="231" s="1"/>
  <c r="B183" i="231" s="1"/>
  <c r="B184" i="231" s="1"/>
  <c r="B185" i="231" s="1"/>
  <c r="B186" i="231" s="1"/>
  <c r="B187" i="231" s="1"/>
  <c r="B188" i="231" s="1"/>
  <c r="B189" i="231" s="1"/>
  <c r="B190" i="231" s="1"/>
  <c r="B191" i="231" s="1"/>
  <c r="B192" i="231" s="1"/>
  <c r="B193" i="231" s="1"/>
  <c r="B194" i="231" s="1"/>
  <c r="B195" i="231" s="1"/>
  <c r="B196" i="231" s="1"/>
  <c r="B197" i="231" s="1"/>
  <c r="B198" i="231" s="1"/>
  <c r="B199" i="231" s="1"/>
  <c r="B200" i="231" s="1"/>
  <c r="B201" i="231" s="1"/>
  <c r="B202" i="231" s="1"/>
  <c r="B203" i="231" s="1"/>
  <c r="B204" i="231" s="1"/>
  <c r="B205" i="231" s="1"/>
  <c r="B206" i="231" s="1"/>
  <c r="B207" i="231" s="1"/>
  <c r="B208" i="231" s="1"/>
  <c r="B209" i="231" s="1"/>
  <c r="B210" i="231" s="1"/>
  <c r="B211" i="231" s="1"/>
  <c r="B212" i="231" s="1"/>
  <c r="B213" i="231" s="1"/>
  <c r="B214" i="231" s="1"/>
  <c r="B215" i="231" s="1"/>
  <c r="B216" i="231" s="1"/>
  <c r="B217" i="231" s="1"/>
  <c r="B218" i="231" s="1"/>
  <c r="B219" i="231" s="1"/>
  <c r="B220" i="231" s="1"/>
  <c r="B221" i="231" s="1"/>
  <c r="B222" i="231" s="1"/>
  <c r="B223" i="231" s="1"/>
  <c r="B224" i="231" s="1"/>
  <c r="B225" i="231" s="1"/>
  <c r="B226" i="231" s="1"/>
  <c r="B227" i="231" s="1"/>
  <c r="B228" i="231" s="1"/>
  <c r="B229" i="231" s="1"/>
  <c r="B230" i="231" s="1"/>
  <c r="B231" i="231" s="1"/>
  <c r="B232" i="231" s="1"/>
  <c r="B233" i="231" s="1"/>
  <c r="B234" i="231" s="1"/>
  <c r="B235" i="231" s="1"/>
  <c r="B236" i="231" s="1"/>
  <c r="B237" i="231" s="1"/>
  <c r="B238" i="231" s="1"/>
  <c r="B239" i="231" s="1"/>
  <c r="B240" i="231" s="1"/>
  <c r="B241" i="231" s="1"/>
  <c r="B242" i="231" s="1"/>
  <c r="B243" i="231" s="1"/>
  <c r="B244" i="231" s="1"/>
  <c r="B245" i="231" s="1"/>
  <c r="B246" i="231" s="1"/>
  <c r="B247" i="231" s="1"/>
  <c r="B248" i="231" s="1"/>
  <c r="B249" i="231" s="1"/>
  <c r="B250" i="231" s="1"/>
  <c r="B251" i="231" s="1"/>
  <c r="B252" i="231" s="1"/>
  <c r="B253" i="231" s="1"/>
  <c r="B254" i="231" s="1"/>
  <c r="B255" i="231" s="1"/>
  <c r="B256" i="231" s="1"/>
  <c r="G16" i="231"/>
  <c r="E17" i="231" s="1"/>
  <c r="E3" i="231"/>
  <c r="C2" i="231"/>
  <c r="F18" i="230"/>
  <c r="G8" i="230"/>
  <c r="G6" i="230"/>
  <c r="E3" i="230"/>
  <c r="C2" i="230"/>
  <c r="H89" i="167"/>
  <c r="G89" i="167"/>
  <c r="H72" i="167"/>
  <c r="G72" i="167"/>
  <c r="H52" i="167"/>
  <c r="G52" i="167"/>
  <c r="H35" i="167"/>
  <c r="G35" i="167"/>
  <c r="H18" i="167"/>
  <c r="G18" i="167"/>
  <c r="G37" i="178"/>
  <c r="H37" i="178"/>
  <c r="H22" i="187"/>
  <c r="G22" i="187"/>
  <c r="C258" i="231" l="1"/>
  <c r="G21" i="230"/>
  <c r="G6" i="229"/>
  <c r="E3" i="229"/>
  <c r="C2" i="229"/>
  <c r="H17" i="124"/>
  <c r="G17" i="124"/>
  <c r="G60" i="187"/>
  <c r="H60" i="187"/>
  <c r="H43" i="187"/>
  <c r="G43" i="187"/>
  <c r="G17" i="206"/>
  <c r="F17" i="231" l="1"/>
  <c r="G17" i="231" l="1"/>
  <c r="E18" i="231" s="1"/>
  <c r="F18" i="231" s="1"/>
  <c r="G18" i="231" s="1"/>
  <c r="E19" i="231" s="1"/>
  <c r="F19" i="231" s="1"/>
  <c r="G19" i="231" s="1"/>
  <c r="E20" i="231" l="1"/>
  <c r="F20" i="231" s="1"/>
  <c r="G20" i="231" s="1"/>
  <c r="E21" i="231" l="1"/>
  <c r="F21" i="231" s="1"/>
  <c r="G21" i="231" s="1"/>
  <c r="H91" i="187"/>
  <c r="G91" i="187"/>
  <c r="H74" i="187"/>
  <c r="G74" i="187"/>
  <c r="H17" i="206"/>
  <c r="E22" i="231" l="1"/>
  <c r="F22" i="231" s="1"/>
  <c r="G22" i="231" s="1"/>
  <c r="E23" i="231" l="1"/>
  <c r="F23" i="231" s="1"/>
  <c r="G23" i="231" s="1"/>
  <c r="E24" i="231" l="1"/>
  <c r="F24" i="231" s="1"/>
  <c r="G24" i="231" s="1"/>
  <c r="E25" i="231" l="1"/>
  <c r="F25" i="231" s="1"/>
  <c r="G25" i="231" s="1"/>
  <c r="E26" i="231" l="1"/>
  <c r="F26" i="231" s="1"/>
  <c r="G26" i="231" s="1"/>
  <c r="E27" i="231" l="1"/>
  <c r="F27" i="231" s="1"/>
  <c r="G27" i="231" s="1"/>
  <c r="E28" i="231" l="1"/>
  <c r="F28" i="231" s="1"/>
  <c r="G28" i="231" s="1"/>
  <c r="E29" i="231" l="1"/>
  <c r="F29" i="231" s="1"/>
  <c r="G29" i="231" s="1"/>
  <c r="E30" i="231" s="1"/>
  <c r="F30" i="231" s="1"/>
  <c r="G30" i="231" s="1"/>
  <c r="E31" i="231" l="1"/>
  <c r="F31" i="231" s="1"/>
  <c r="G31" i="231" s="1"/>
  <c r="E32" i="231" l="1"/>
  <c r="F32" i="231" s="1"/>
  <c r="G32" i="231" s="1"/>
  <c r="E33" i="231" s="1"/>
  <c r="F33" i="231" s="1"/>
  <c r="G33" i="231" s="1"/>
  <c r="E34" i="231" l="1"/>
  <c r="F34" i="231" s="1"/>
  <c r="G34" i="231" s="1"/>
  <c r="E35" i="231" l="1"/>
  <c r="F35" i="231" s="1"/>
  <c r="G35" i="231" s="1"/>
  <c r="E36" i="231" l="1"/>
  <c r="F36" i="231" s="1"/>
  <c r="G36" i="231" s="1"/>
  <c r="E37" i="231" l="1"/>
  <c r="F37" i="231" s="1"/>
  <c r="G37" i="231" s="1"/>
  <c r="E38" i="231" l="1"/>
  <c r="F38" i="231" s="1"/>
  <c r="G38" i="231" s="1"/>
  <c r="E39" i="231" l="1"/>
  <c r="F39" i="231" s="1"/>
  <c r="G39" i="231" s="1"/>
  <c r="E40" i="231" l="1"/>
  <c r="F40" i="231" s="1"/>
  <c r="G40" i="231" s="1"/>
  <c r="E41" i="231" l="1"/>
  <c r="F41" i="231" s="1"/>
  <c r="G41" i="231" s="1"/>
  <c r="E42" i="231" l="1"/>
  <c r="F42" i="231" s="1"/>
  <c r="G42" i="231" s="1"/>
  <c r="E43" i="231" l="1"/>
  <c r="F43" i="231" s="1"/>
  <c r="G43" i="231" s="1"/>
  <c r="E44" i="231" l="1"/>
  <c r="F44" i="231" s="1"/>
  <c r="G44" i="231" s="1"/>
  <c r="E45" i="231" l="1"/>
  <c r="F45" i="231" s="1"/>
  <c r="G45" i="231" s="1"/>
  <c r="E46" i="231" l="1"/>
  <c r="F46" i="231" s="1"/>
  <c r="G46" i="231" s="1"/>
  <c r="E47" i="231" l="1"/>
  <c r="F47" i="231" s="1"/>
  <c r="G47" i="231" s="1"/>
  <c r="E48" i="231" l="1"/>
  <c r="F48" i="231" s="1"/>
  <c r="G48" i="231" s="1"/>
  <c r="E49" i="231" l="1"/>
  <c r="F49" i="231" s="1"/>
  <c r="G49" i="231" s="1"/>
  <c r="E50" i="231" l="1"/>
  <c r="F50" i="231" s="1"/>
  <c r="G50" i="231" s="1"/>
  <c r="E51" i="231" l="1"/>
  <c r="F51" i="231" s="1"/>
  <c r="G51" i="231" s="1"/>
  <c r="E52" i="231" l="1"/>
  <c r="F52" i="231" s="1"/>
  <c r="G52" i="231" s="1"/>
  <c r="E53" i="231" l="1"/>
  <c r="F53" i="231" s="1"/>
  <c r="G53" i="231" s="1"/>
  <c r="E54" i="231" l="1"/>
  <c r="F54" i="231" s="1"/>
  <c r="G54" i="231" s="1"/>
  <c r="E55" i="231" l="1"/>
  <c r="F55" i="231" s="1"/>
  <c r="G55" i="231" s="1"/>
  <c r="E56" i="231" l="1"/>
  <c r="F56" i="231" s="1"/>
  <c r="G56" i="231" s="1"/>
  <c r="E57" i="231" l="1"/>
  <c r="F57" i="231" s="1"/>
  <c r="G57" i="231" s="1"/>
  <c r="E58" i="231" l="1"/>
  <c r="F58" i="231" s="1"/>
  <c r="G58" i="231" s="1"/>
  <c r="E59" i="231" l="1"/>
  <c r="F59" i="231" s="1"/>
  <c r="G59" i="231" s="1"/>
  <c r="R2233" i="1"/>
  <c r="R2150" i="1"/>
  <c r="D2233" i="1"/>
  <c r="D2150" i="1"/>
  <c r="E60" i="231" l="1"/>
  <c r="F60" i="231" s="1"/>
  <c r="G60" i="231" s="1"/>
  <c r="C22" i="168"/>
  <c r="C21" i="168"/>
  <c r="C20" i="168"/>
  <c r="C19" i="168"/>
  <c r="G6" i="206"/>
  <c r="E3" i="206"/>
  <c r="C2" i="206"/>
  <c r="E61" i="231" l="1"/>
  <c r="F61" i="231" s="1"/>
  <c r="G61" i="231" s="1"/>
  <c r="M198" i="192"/>
  <c r="G198" i="192" s="1"/>
  <c r="K198" i="192"/>
  <c r="F198" i="192" s="1"/>
  <c r="M197" i="192"/>
  <c r="G197" i="192" s="1"/>
  <c r="K197" i="192"/>
  <c r="F197" i="192" s="1"/>
  <c r="M198" i="190"/>
  <c r="G198" i="190" s="1"/>
  <c r="K198" i="190"/>
  <c r="F198" i="190" s="1"/>
  <c r="M197" i="190"/>
  <c r="G197" i="190" s="1"/>
  <c r="K197" i="190"/>
  <c r="F197" i="190" s="1"/>
  <c r="M198" i="136"/>
  <c r="G198" i="136" s="1"/>
  <c r="K198" i="136"/>
  <c r="F198" i="136" s="1"/>
  <c r="M197" i="136"/>
  <c r="G197" i="136" s="1"/>
  <c r="K197" i="136"/>
  <c r="F197" i="136" s="1"/>
  <c r="E62" i="231" l="1"/>
  <c r="F62" i="231" s="1"/>
  <c r="G62" i="231" s="1"/>
  <c r="I197" i="136"/>
  <c r="F197" i="5" s="1"/>
  <c r="I198" i="136"/>
  <c r="F198" i="5" s="1"/>
  <c r="I197" i="192"/>
  <c r="H197" i="5" s="1"/>
  <c r="I198" i="192"/>
  <c r="H198" i="5" s="1"/>
  <c r="I198" i="190"/>
  <c r="G198" i="5" s="1"/>
  <c r="I197" i="190"/>
  <c r="G197" i="5" s="1"/>
  <c r="D1066" i="1"/>
  <c r="D1065" i="1"/>
  <c r="D1064" i="1"/>
  <c r="D1055" i="1"/>
  <c r="D1054" i="1"/>
  <c r="D1053" i="1"/>
  <c r="D1044" i="1"/>
  <c r="D1043" i="1"/>
  <c r="D1042" i="1"/>
  <c r="M150" i="192"/>
  <c r="G150" i="192" s="1"/>
  <c r="I150" i="192" s="1"/>
  <c r="O1066" i="246" s="1"/>
  <c r="R1066" i="246" s="1"/>
  <c r="K150" i="192"/>
  <c r="O1066" i="1" s="1"/>
  <c r="M149" i="192"/>
  <c r="G149" i="192" s="1"/>
  <c r="I149" i="192" s="1"/>
  <c r="O1065" i="246" s="1"/>
  <c r="R1065" i="246" s="1"/>
  <c r="K149" i="192"/>
  <c r="O1065" i="1" s="1"/>
  <c r="M148" i="192"/>
  <c r="G148" i="192" s="1"/>
  <c r="I148" i="192" s="1"/>
  <c r="O1064" i="246" s="1"/>
  <c r="R1064" i="246" s="1"/>
  <c r="K148" i="192"/>
  <c r="O1064" i="1" s="1"/>
  <c r="M150" i="136"/>
  <c r="G150" i="136" s="1"/>
  <c r="I150" i="136" s="1"/>
  <c r="O1044" i="246" s="1"/>
  <c r="R1044" i="246" s="1"/>
  <c r="O1044" i="1"/>
  <c r="M149" i="136"/>
  <c r="G149" i="136" s="1"/>
  <c r="I149" i="136" s="1"/>
  <c r="O1043" i="246" s="1"/>
  <c r="R1043" i="246" s="1"/>
  <c r="O1043" i="1"/>
  <c r="M148" i="136"/>
  <c r="G148" i="136" s="1"/>
  <c r="I148" i="136" s="1"/>
  <c r="O1042" i="246" s="1"/>
  <c r="R1042" i="246" s="1"/>
  <c r="O1042" i="1"/>
  <c r="M150" i="190"/>
  <c r="G150" i="190" s="1"/>
  <c r="I150" i="190" s="1"/>
  <c r="O1055" i="246" s="1"/>
  <c r="R1055" i="246" s="1"/>
  <c r="O1055" i="1"/>
  <c r="M149" i="190"/>
  <c r="G149" i="190" s="1"/>
  <c r="I149" i="190" s="1"/>
  <c r="O1054" i="246" s="1"/>
  <c r="R1054" i="246" s="1"/>
  <c r="O1054" i="1"/>
  <c r="M148" i="190"/>
  <c r="G148" i="190" s="1"/>
  <c r="I148" i="190" s="1"/>
  <c r="O1053" i="246" s="1"/>
  <c r="R1053" i="246" s="1"/>
  <c r="O1053" i="1"/>
  <c r="M1053" i="1" l="1"/>
  <c r="R1053" i="1" s="1"/>
  <c r="M1055" i="1"/>
  <c r="R1055" i="1" s="1"/>
  <c r="M1064" i="1"/>
  <c r="R1064" i="1" s="1"/>
  <c r="M1066" i="1"/>
  <c r="R1066" i="1" s="1"/>
  <c r="M1054" i="1"/>
  <c r="R1054" i="1" s="1"/>
  <c r="M1065" i="1"/>
  <c r="R1065" i="1" s="1"/>
  <c r="E63" i="231"/>
  <c r="F63" i="231" s="1"/>
  <c r="G63" i="231" s="1"/>
  <c r="M1043" i="1"/>
  <c r="R1043" i="1" s="1"/>
  <c r="M1042" i="1"/>
  <c r="R1042" i="1" s="1"/>
  <c r="M1044" i="1"/>
  <c r="R1044" i="1" s="1"/>
  <c r="E64" i="231" l="1"/>
  <c r="F64" i="231" s="1"/>
  <c r="G64" i="231" s="1"/>
  <c r="E65" i="231" l="1"/>
  <c r="F65" i="231" s="1"/>
  <c r="G65" i="231" s="1"/>
  <c r="E66" i="231" l="1"/>
  <c r="F66" i="231" s="1"/>
  <c r="G66" i="231" s="1"/>
  <c r="K386" i="89"/>
  <c r="K385" i="89"/>
  <c r="K384" i="89"/>
  <c r="K383" i="89"/>
  <c r="K382" i="89"/>
  <c r="K381" i="89"/>
  <c r="K380" i="89"/>
  <c r="K379" i="89"/>
  <c r="K378" i="89"/>
  <c r="K377" i="89"/>
  <c r="K376" i="89"/>
  <c r="K375" i="89"/>
  <c r="K374" i="89"/>
  <c r="K373" i="89"/>
  <c r="K372" i="89"/>
  <c r="K371" i="89"/>
  <c r="K370" i="89"/>
  <c r="K369" i="89"/>
  <c r="K368" i="89"/>
  <c r="K367" i="89"/>
  <c r="K366" i="89"/>
  <c r="K365" i="89"/>
  <c r="K364" i="89"/>
  <c r="K363" i="89"/>
  <c r="K362" i="89"/>
  <c r="K361" i="89"/>
  <c r="K360" i="89"/>
  <c r="K359" i="89"/>
  <c r="K358" i="89"/>
  <c r="K357" i="89"/>
  <c r="K356" i="89"/>
  <c r="K355" i="89"/>
  <c r="K354" i="89"/>
  <c r="K353" i="89"/>
  <c r="K352" i="89"/>
  <c r="K351" i="89"/>
  <c r="K350" i="89"/>
  <c r="K349" i="89"/>
  <c r="K348" i="89"/>
  <c r="K347" i="89"/>
  <c r="K346" i="89"/>
  <c r="K345" i="89"/>
  <c r="K344" i="89"/>
  <c r="K343" i="89"/>
  <c r="K342" i="89"/>
  <c r="K341" i="89"/>
  <c r="K340" i="89"/>
  <c r="K339" i="89"/>
  <c r="K338" i="89"/>
  <c r="K337" i="89"/>
  <c r="K336" i="89"/>
  <c r="K335" i="89"/>
  <c r="K334" i="89"/>
  <c r="K333" i="89"/>
  <c r="K332" i="89"/>
  <c r="K331" i="89"/>
  <c r="K330" i="89"/>
  <c r="K329" i="89"/>
  <c r="K328" i="89"/>
  <c r="K327" i="89"/>
  <c r="K326" i="89"/>
  <c r="K325" i="89"/>
  <c r="K324" i="89"/>
  <c r="K323" i="89"/>
  <c r="K322" i="89"/>
  <c r="K321" i="89"/>
  <c r="K320" i="89"/>
  <c r="K319" i="89"/>
  <c r="K318" i="89"/>
  <c r="K317" i="89"/>
  <c r="K316" i="89"/>
  <c r="K315" i="89"/>
  <c r="K314" i="89"/>
  <c r="K166" i="89"/>
  <c r="K165" i="89"/>
  <c r="K164" i="89"/>
  <c r="K163" i="89"/>
  <c r="K162" i="89"/>
  <c r="K161" i="89"/>
  <c r="K160" i="89"/>
  <c r="K159" i="89"/>
  <c r="K158" i="89"/>
  <c r="K157" i="89"/>
  <c r="K156" i="89"/>
  <c r="K155" i="89"/>
  <c r="K154" i="89"/>
  <c r="K153" i="89"/>
  <c r="K152" i="89"/>
  <c r="K151" i="89"/>
  <c r="K150" i="89"/>
  <c r="K149" i="89"/>
  <c r="K138" i="89"/>
  <c r="K137" i="89"/>
  <c r="K136" i="89"/>
  <c r="K133" i="89"/>
  <c r="K132" i="89"/>
  <c r="K131" i="89"/>
  <c r="K129" i="89"/>
  <c r="C335" i="4"/>
  <c r="C330" i="4"/>
  <c r="P197" i="5"/>
  <c r="N197" i="5"/>
  <c r="O1810" i="1" s="1"/>
  <c r="P196" i="5"/>
  <c r="N196" i="5"/>
  <c r="O1809" i="1" s="1"/>
  <c r="E67" i="231" l="1"/>
  <c r="F67" i="231" s="1"/>
  <c r="G67" i="231" s="1"/>
  <c r="I196" i="5"/>
  <c r="H19" i="168"/>
  <c r="I197" i="5"/>
  <c r="H20" i="168"/>
  <c r="E68" i="231" l="1"/>
  <c r="F68" i="231" s="1"/>
  <c r="G68" i="231" s="1"/>
  <c r="D1030" i="1"/>
  <c r="D1029" i="1"/>
  <c r="D1028" i="1"/>
  <c r="P147" i="5"/>
  <c r="N147" i="5"/>
  <c r="P146" i="5"/>
  <c r="N146" i="5"/>
  <c r="P145" i="5"/>
  <c r="J145" i="5" s="1"/>
  <c r="L145" i="5" s="1"/>
  <c r="O1028" i="246" s="1"/>
  <c r="R1028" i="246" s="1"/>
  <c r="N145" i="5"/>
  <c r="E69" i="231" l="1"/>
  <c r="F69" i="231" s="1"/>
  <c r="G69" i="231" s="1"/>
  <c r="M1028" i="1"/>
  <c r="O1029" i="1"/>
  <c r="O1028" i="1"/>
  <c r="O1030" i="1"/>
  <c r="E70" i="231" l="1"/>
  <c r="F70" i="231" s="1"/>
  <c r="G70" i="231" s="1"/>
  <c r="R1028" i="1"/>
  <c r="N385" i="5"/>
  <c r="O2039" i="1" s="1"/>
  <c r="E71" i="231" l="1"/>
  <c r="F71" i="231" s="1"/>
  <c r="G71" i="231" s="1"/>
  <c r="E72" i="231" l="1"/>
  <c r="F72" i="231" s="1"/>
  <c r="G72" i="231" s="1"/>
  <c r="E73" i="231" l="1"/>
  <c r="F73" i="231" s="1"/>
  <c r="G73" i="231" s="1"/>
  <c r="E74" i="231" l="1"/>
  <c r="F74" i="231" s="1"/>
  <c r="G74" i="231" s="1"/>
  <c r="E75" i="231" l="1"/>
  <c r="F75" i="231" s="1"/>
  <c r="G75" i="231" s="1"/>
  <c r="K128" i="89"/>
  <c r="K127" i="89"/>
  <c r="K126" i="89"/>
  <c r="K125" i="89"/>
  <c r="K124" i="89"/>
  <c r="K123" i="89"/>
  <c r="K122" i="89"/>
  <c r="K121" i="89"/>
  <c r="K120" i="89"/>
  <c r="K119" i="89"/>
  <c r="K118" i="89"/>
  <c r="K117" i="89"/>
  <c r="K116" i="89"/>
  <c r="K115" i="89"/>
  <c r="K114" i="89"/>
  <c r="K113" i="89"/>
  <c r="K112" i="89"/>
  <c r="K111" i="89"/>
  <c r="K110" i="89"/>
  <c r="K109" i="89"/>
  <c r="K108" i="89"/>
  <c r="K107" i="89"/>
  <c r="K106" i="89"/>
  <c r="K105" i="89"/>
  <c r="K104" i="89"/>
  <c r="K103" i="89"/>
  <c r="K102" i="89"/>
  <c r="E76" i="231" l="1"/>
  <c r="F76" i="231" s="1"/>
  <c r="G76" i="231" s="1"/>
  <c r="D1970" i="1"/>
  <c r="D1969" i="1"/>
  <c r="E77" i="231" l="1"/>
  <c r="F77" i="231" s="1"/>
  <c r="G77" i="231" s="1"/>
  <c r="E78" i="231" l="1"/>
  <c r="F78" i="231" s="1"/>
  <c r="G78" i="231" s="1"/>
  <c r="K141" i="89"/>
  <c r="E79" i="231" l="1"/>
  <c r="F79" i="231" s="1"/>
  <c r="G79" i="231" s="1"/>
  <c r="E80" i="231" l="1"/>
  <c r="F80" i="231" s="1"/>
  <c r="G80" i="231" s="1"/>
  <c r="E81" i="231" l="1"/>
  <c r="F81" i="231" s="1"/>
  <c r="G81" i="231" s="1"/>
  <c r="G24" i="4"/>
  <c r="D187" i="246" l="1"/>
  <c r="D185" i="1"/>
  <c r="D235" i="246"/>
  <c r="D235" i="1"/>
  <c r="I8" i="89"/>
  <c r="E82" i="231"/>
  <c r="F82" i="231" s="1"/>
  <c r="G82" i="231" s="1"/>
  <c r="E83" i="231" l="1"/>
  <c r="F83" i="231" s="1"/>
  <c r="G83" i="231" s="1"/>
  <c r="E84" i="231" l="1"/>
  <c r="F84" i="231" s="1"/>
  <c r="G84" i="231" s="1"/>
  <c r="K140" i="89"/>
  <c r="K139" i="89"/>
  <c r="K101" i="89"/>
  <c r="K100" i="89"/>
  <c r="K99" i="89"/>
  <c r="E85" i="231" l="1"/>
  <c r="F85" i="231" s="1"/>
  <c r="G85" i="231" s="1"/>
  <c r="E86" i="231" l="1"/>
  <c r="F86" i="231" s="1"/>
  <c r="G86" i="231" s="1"/>
  <c r="E87" i="231" l="1"/>
  <c r="F87" i="231" s="1"/>
  <c r="G87" i="231" s="1"/>
  <c r="E88" i="231" l="1"/>
  <c r="F88" i="231" s="1"/>
  <c r="G88" i="231" s="1"/>
  <c r="E89" i="231" l="1"/>
  <c r="F89" i="231" s="1"/>
  <c r="G89" i="231" s="1"/>
  <c r="E90" i="231" l="1"/>
  <c r="F90" i="231" s="1"/>
  <c r="G90" i="231" s="1"/>
  <c r="R88" i="1"/>
  <c r="R89" i="1"/>
  <c r="R90" i="1"/>
  <c r="R91" i="1"/>
  <c r="F91" i="1"/>
  <c r="E91" i="231" l="1"/>
  <c r="F91" i="231" s="1"/>
  <c r="G91" i="231" s="1"/>
  <c r="K148" i="89"/>
  <c r="K147" i="89"/>
  <c r="K146" i="89"/>
  <c r="K145" i="89"/>
  <c r="K144" i="89"/>
  <c r="K143" i="89"/>
  <c r="K142" i="89"/>
  <c r="K98" i="89"/>
  <c r="K97" i="89"/>
  <c r="K96" i="89"/>
  <c r="K95" i="89"/>
  <c r="K94" i="89"/>
  <c r="K93" i="89"/>
  <c r="K92" i="89"/>
  <c r="K91" i="89"/>
  <c r="K90" i="89"/>
  <c r="K89" i="89"/>
  <c r="K88" i="89"/>
  <c r="K293" i="89"/>
  <c r="K292" i="89"/>
  <c r="E92" i="231" l="1"/>
  <c r="F92" i="231" s="1"/>
  <c r="G92" i="231" s="1"/>
  <c r="E93" i="231" l="1"/>
  <c r="F93" i="231" s="1"/>
  <c r="G93" i="231" s="1"/>
  <c r="E94" i="231" l="1"/>
  <c r="F94" i="231" s="1"/>
  <c r="G94" i="231" s="1"/>
  <c r="E95" i="231" l="1"/>
  <c r="F95" i="231" s="1"/>
  <c r="G95" i="231" s="1"/>
  <c r="E96" i="231" l="1"/>
  <c r="F96" i="231" s="1"/>
  <c r="G96" i="231" s="1"/>
  <c r="M1543" i="1"/>
  <c r="D1540" i="1"/>
  <c r="D1537" i="1"/>
  <c r="D1536" i="1"/>
  <c r="M1512" i="1"/>
  <c r="D1509" i="1"/>
  <c r="D1506" i="1"/>
  <c r="D1505" i="1"/>
  <c r="E97" i="231" l="1"/>
  <c r="F97" i="231" s="1"/>
  <c r="G97" i="231" s="1"/>
  <c r="D1068" i="1"/>
  <c r="D1067" i="1"/>
  <c r="D1063" i="1"/>
  <c r="D1062" i="1"/>
  <c r="D1061" i="1"/>
  <c r="D1060" i="1"/>
  <c r="D1059" i="1"/>
  <c r="D1058" i="1"/>
  <c r="D993" i="1"/>
  <c r="D992" i="1"/>
  <c r="D991" i="1"/>
  <c r="D990" i="1"/>
  <c r="D920" i="1"/>
  <c r="D919" i="1"/>
  <c r="D918" i="1"/>
  <c r="D857" i="1"/>
  <c r="D856" i="1"/>
  <c r="D855" i="1"/>
  <c r="D854"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L22" i="193"/>
  <c r="M21" i="193"/>
  <c r="L21" i="193"/>
  <c r="M20" i="193"/>
  <c r="L20" i="193"/>
  <c r="M19" i="193"/>
  <c r="L19" i="193"/>
  <c r="M18" i="193"/>
  <c r="L18" i="193"/>
  <c r="M17" i="193"/>
  <c r="L17" i="193"/>
  <c r="M16" i="193"/>
  <c r="L16" i="193"/>
  <c r="M15"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K15" i="193"/>
  <c r="J15" i="193"/>
  <c r="D4" i="193"/>
  <c r="C2" i="193"/>
  <c r="C1" i="192"/>
  <c r="C1" i="190"/>
  <c r="E403" i="192"/>
  <c r="D403" i="192"/>
  <c r="A403" i="192"/>
  <c r="M400" i="192"/>
  <c r="G400" i="192" s="1"/>
  <c r="I400" i="192" s="1"/>
  <c r="K400" i="192"/>
  <c r="M399" i="192"/>
  <c r="G399" i="192" s="1"/>
  <c r="I399" i="192" s="1"/>
  <c r="K399" i="192"/>
  <c r="M398" i="192"/>
  <c r="G398" i="192" s="1"/>
  <c r="K398" i="192"/>
  <c r="F398" i="192" s="1"/>
  <c r="M397" i="192"/>
  <c r="G397" i="192" s="1"/>
  <c r="I397" i="192" s="1"/>
  <c r="K397" i="192"/>
  <c r="M396" i="192"/>
  <c r="G396" i="192" s="1"/>
  <c r="K396" i="192"/>
  <c r="F396" i="192" s="1"/>
  <c r="M395" i="192"/>
  <c r="G395" i="192" s="1"/>
  <c r="K395" i="192"/>
  <c r="F395" i="192" s="1"/>
  <c r="M394" i="192"/>
  <c r="G394" i="192" s="1"/>
  <c r="K394" i="192"/>
  <c r="F394" i="192" s="1"/>
  <c r="M393" i="192"/>
  <c r="G393" i="192" s="1"/>
  <c r="K393" i="192"/>
  <c r="F393" i="192" s="1"/>
  <c r="M392" i="192"/>
  <c r="G392" i="192" s="1"/>
  <c r="I392" i="192" s="1"/>
  <c r="K392" i="192"/>
  <c r="M391" i="192"/>
  <c r="G391" i="192" s="1"/>
  <c r="I391" i="192" s="1"/>
  <c r="H391" i="5" s="1"/>
  <c r="K391" i="192"/>
  <c r="M390" i="192"/>
  <c r="G390" i="192" s="1"/>
  <c r="I390" i="192" s="1"/>
  <c r="H390" i="5" s="1"/>
  <c r="K390" i="192"/>
  <c r="M389" i="192"/>
  <c r="G389" i="192" s="1"/>
  <c r="I389" i="192" s="1"/>
  <c r="H389" i="5" s="1"/>
  <c r="K389" i="192"/>
  <c r="M388" i="192"/>
  <c r="G388" i="192" s="1"/>
  <c r="I388" i="192" s="1"/>
  <c r="H388" i="5" s="1"/>
  <c r="K388" i="192"/>
  <c r="M387" i="192"/>
  <c r="G387" i="192" s="1"/>
  <c r="I387" i="192" s="1"/>
  <c r="H387" i="5" s="1"/>
  <c r="K387" i="192"/>
  <c r="M386" i="192"/>
  <c r="G386" i="192" s="1"/>
  <c r="I386" i="192" s="1"/>
  <c r="H386" i="5" s="1"/>
  <c r="K386" i="192"/>
  <c r="M385" i="192"/>
  <c r="G385" i="192" s="1"/>
  <c r="K385" i="192"/>
  <c r="M384" i="192"/>
  <c r="G384" i="192" s="1"/>
  <c r="I384" i="192" s="1"/>
  <c r="K384" i="192"/>
  <c r="M383" i="192"/>
  <c r="G383" i="192" s="1"/>
  <c r="K383" i="192"/>
  <c r="F383" i="192" s="1"/>
  <c r="M382" i="192"/>
  <c r="G382" i="192" s="1"/>
  <c r="K382" i="192"/>
  <c r="F382" i="192" s="1"/>
  <c r="M381" i="192"/>
  <c r="G381" i="192" s="1"/>
  <c r="K381" i="192"/>
  <c r="F381" i="192" s="1"/>
  <c r="M380" i="192"/>
  <c r="G380" i="192" s="1"/>
  <c r="K380" i="192"/>
  <c r="F380" i="192" s="1"/>
  <c r="M379" i="192"/>
  <c r="G379" i="192" s="1"/>
  <c r="K379" i="192"/>
  <c r="F379" i="192" s="1"/>
  <c r="M378" i="192"/>
  <c r="G378" i="192" s="1"/>
  <c r="K378" i="192"/>
  <c r="M377" i="192"/>
  <c r="G377" i="192" s="1"/>
  <c r="K377" i="192"/>
  <c r="M376" i="192"/>
  <c r="G376" i="192" s="1"/>
  <c r="K376" i="192"/>
  <c r="F376" i="192" s="1"/>
  <c r="M375" i="192"/>
  <c r="G375" i="192" s="1"/>
  <c r="K375" i="192"/>
  <c r="F375" i="192" s="1"/>
  <c r="M374" i="192"/>
  <c r="G374" i="192" s="1"/>
  <c r="K374" i="192"/>
  <c r="F374" i="192" s="1"/>
  <c r="M373" i="192"/>
  <c r="G373" i="192" s="1"/>
  <c r="I373" i="192" s="1"/>
  <c r="K373" i="192"/>
  <c r="M372" i="192"/>
  <c r="G372" i="192" s="1"/>
  <c r="K372" i="192"/>
  <c r="F372" i="192" s="1"/>
  <c r="M371" i="192"/>
  <c r="G371" i="192" s="1"/>
  <c r="K371" i="192"/>
  <c r="F371" i="192" s="1"/>
  <c r="M370" i="192"/>
  <c r="G370" i="192" s="1"/>
  <c r="K370" i="192"/>
  <c r="F370" i="192" s="1"/>
  <c r="M369" i="192"/>
  <c r="G369" i="192" s="1"/>
  <c r="K369" i="192"/>
  <c r="F369" i="192" s="1"/>
  <c r="M368" i="192"/>
  <c r="G368" i="192" s="1"/>
  <c r="K368" i="192"/>
  <c r="F368" i="192" s="1"/>
  <c r="M367" i="192"/>
  <c r="G367" i="192" s="1"/>
  <c r="K367" i="192"/>
  <c r="F367" i="192" s="1"/>
  <c r="M366" i="192"/>
  <c r="G366" i="192" s="1"/>
  <c r="K366" i="192"/>
  <c r="F366" i="192" s="1"/>
  <c r="M365" i="192"/>
  <c r="G365" i="192" s="1"/>
  <c r="I365" i="192" s="1"/>
  <c r="K365" i="192"/>
  <c r="M364" i="192"/>
  <c r="G364" i="192" s="1"/>
  <c r="K364" i="192"/>
  <c r="F364" i="192" s="1"/>
  <c r="M363" i="192"/>
  <c r="G363" i="192" s="1"/>
  <c r="K363" i="192"/>
  <c r="F363" i="192" s="1"/>
  <c r="M362" i="192"/>
  <c r="G362" i="192" s="1"/>
  <c r="K362" i="192"/>
  <c r="F362" i="192" s="1"/>
  <c r="M361" i="192"/>
  <c r="G361" i="192" s="1"/>
  <c r="K361" i="192"/>
  <c r="F361" i="192" s="1"/>
  <c r="M360" i="192"/>
  <c r="G360" i="192" s="1"/>
  <c r="K360" i="192"/>
  <c r="F360" i="192" s="1"/>
  <c r="M359" i="192"/>
  <c r="G359" i="192" s="1"/>
  <c r="K359" i="192"/>
  <c r="F359" i="192" s="1"/>
  <c r="M358" i="192"/>
  <c r="G358" i="192" s="1"/>
  <c r="I358" i="192" s="1"/>
  <c r="K358" i="192"/>
  <c r="M357" i="192"/>
  <c r="G357" i="192" s="1"/>
  <c r="K357" i="192"/>
  <c r="F357" i="192" s="1"/>
  <c r="M356" i="192"/>
  <c r="G356" i="192" s="1"/>
  <c r="K356" i="192"/>
  <c r="F356" i="192" s="1"/>
  <c r="M355" i="192"/>
  <c r="G355" i="192" s="1"/>
  <c r="K355" i="192"/>
  <c r="F355" i="192" s="1"/>
  <c r="M354" i="192"/>
  <c r="K354" i="192"/>
  <c r="F354" i="192" s="1"/>
  <c r="M353" i="192"/>
  <c r="G353" i="192" s="1"/>
  <c r="I353" i="192" s="1"/>
  <c r="K353" i="192"/>
  <c r="M352" i="192"/>
  <c r="G352" i="192" s="1"/>
  <c r="K352" i="192"/>
  <c r="F352" i="192" s="1"/>
  <c r="M351" i="192"/>
  <c r="G351" i="192" s="1"/>
  <c r="K351" i="192"/>
  <c r="F351" i="192" s="1"/>
  <c r="M350" i="192"/>
  <c r="G350" i="192" s="1"/>
  <c r="K350" i="192"/>
  <c r="F350" i="192" s="1"/>
  <c r="M349" i="192"/>
  <c r="G349" i="192" s="1"/>
  <c r="K349" i="192"/>
  <c r="F349" i="192" s="1"/>
  <c r="M348" i="192"/>
  <c r="G348" i="192" s="1"/>
  <c r="K348" i="192"/>
  <c r="F348" i="192" s="1"/>
  <c r="M346" i="192"/>
  <c r="G346" i="192" s="1"/>
  <c r="K346" i="192"/>
  <c r="F346" i="192" s="1"/>
  <c r="M345" i="192"/>
  <c r="G345" i="192" s="1"/>
  <c r="K345" i="192"/>
  <c r="F345" i="192" s="1"/>
  <c r="M343" i="192"/>
  <c r="G343" i="192" s="1"/>
  <c r="K343" i="192"/>
  <c r="F343" i="192" s="1"/>
  <c r="M341" i="192"/>
  <c r="G341" i="192" s="1"/>
  <c r="K341" i="192"/>
  <c r="M340" i="192"/>
  <c r="G340" i="192" s="1"/>
  <c r="K340" i="192"/>
  <c r="F340" i="192" s="1"/>
  <c r="M333" i="192"/>
  <c r="G333" i="192" s="1"/>
  <c r="K333" i="192"/>
  <c r="F333" i="192" s="1"/>
  <c r="M331" i="192"/>
  <c r="G331" i="192" s="1"/>
  <c r="K331" i="192"/>
  <c r="F331" i="192" s="1"/>
  <c r="M329" i="192"/>
  <c r="G329" i="192" s="1"/>
  <c r="K329" i="192"/>
  <c r="F329" i="192" s="1"/>
  <c r="M320" i="192"/>
  <c r="G320" i="192" s="1"/>
  <c r="K320" i="192"/>
  <c r="F320" i="192" s="1"/>
  <c r="M318" i="192"/>
  <c r="G318" i="192" s="1"/>
  <c r="K318" i="192"/>
  <c r="M317" i="192"/>
  <c r="G317" i="192" s="1"/>
  <c r="K317" i="192"/>
  <c r="F317" i="192" s="1"/>
  <c r="M316" i="192"/>
  <c r="G316" i="192" s="1"/>
  <c r="K316" i="192"/>
  <c r="F316" i="192" s="1"/>
  <c r="M315" i="192"/>
  <c r="G315" i="192" s="1"/>
  <c r="K315" i="192"/>
  <c r="F315" i="192" s="1"/>
  <c r="M314" i="192"/>
  <c r="G314" i="192" s="1"/>
  <c r="K314" i="192"/>
  <c r="F314" i="192" s="1"/>
  <c r="M313" i="192"/>
  <c r="G313" i="192" s="1"/>
  <c r="K313" i="192"/>
  <c r="F313" i="192" s="1"/>
  <c r="M312" i="192"/>
  <c r="G312" i="192" s="1"/>
  <c r="K312" i="192"/>
  <c r="M311" i="192"/>
  <c r="G311" i="192" s="1"/>
  <c r="K311" i="192"/>
  <c r="F311" i="192" s="1"/>
  <c r="M310" i="192"/>
  <c r="G310" i="192" s="1"/>
  <c r="K310" i="192"/>
  <c r="F310" i="192" s="1"/>
  <c r="M309" i="192"/>
  <c r="G309" i="192" s="1"/>
  <c r="K309" i="192"/>
  <c r="F309" i="192" s="1"/>
  <c r="M308" i="192"/>
  <c r="G308" i="192" s="1"/>
  <c r="K308" i="192"/>
  <c r="F308" i="192" s="1"/>
  <c r="M307" i="192"/>
  <c r="G307" i="192" s="1"/>
  <c r="K307" i="192"/>
  <c r="F307" i="192" s="1"/>
  <c r="M306" i="192"/>
  <c r="G306" i="192" s="1"/>
  <c r="I306" i="192" s="1"/>
  <c r="K306" i="192"/>
  <c r="M301" i="192"/>
  <c r="G301" i="192" s="1"/>
  <c r="I301" i="192" s="1"/>
  <c r="K301" i="192"/>
  <c r="M282" i="192"/>
  <c r="G282" i="192" s="1"/>
  <c r="I282" i="192" s="1"/>
  <c r="K282" i="192"/>
  <c r="M281" i="192"/>
  <c r="G281" i="192" s="1"/>
  <c r="I281" i="192" s="1"/>
  <c r="H281" i="5" s="1"/>
  <c r="K281" i="192"/>
  <c r="M280" i="192"/>
  <c r="G280" i="192" s="1"/>
  <c r="I280" i="192" s="1"/>
  <c r="H280" i="5" s="1"/>
  <c r="K280" i="192"/>
  <c r="M279" i="192"/>
  <c r="G279" i="192" s="1"/>
  <c r="K279" i="192"/>
  <c r="M278" i="192"/>
  <c r="G278" i="192" s="1"/>
  <c r="I278" i="192" s="1"/>
  <c r="K278" i="192"/>
  <c r="M277" i="192"/>
  <c r="G277" i="192" s="1"/>
  <c r="I277" i="192" s="1"/>
  <c r="H277" i="5" s="1"/>
  <c r="K277" i="192"/>
  <c r="M276" i="192"/>
  <c r="G276" i="192" s="1"/>
  <c r="I276" i="192" s="1"/>
  <c r="H276" i="5" s="1"/>
  <c r="K276" i="192"/>
  <c r="M275" i="192"/>
  <c r="G275" i="192" s="1"/>
  <c r="K275" i="192"/>
  <c r="M274" i="192"/>
  <c r="G274" i="192" s="1"/>
  <c r="I274" i="192" s="1"/>
  <c r="K274" i="192"/>
  <c r="M273" i="192"/>
  <c r="G273" i="192" s="1"/>
  <c r="K273" i="192"/>
  <c r="M272" i="192"/>
  <c r="G272" i="192" s="1"/>
  <c r="K272" i="192"/>
  <c r="M271" i="192"/>
  <c r="G271" i="192" s="1"/>
  <c r="K271" i="192"/>
  <c r="M270" i="192"/>
  <c r="G270" i="192" s="1"/>
  <c r="I270" i="192" s="1"/>
  <c r="K270" i="192"/>
  <c r="M269" i="192"/>
  <c r="G269" i="192" s="1"/>
  <c r="I269" i="192" s="1"/>
  <c r="H269" i="5" s="1"/>
  <c r="K269" i="192"/>
  <c r="M268" i="192"/>
  <c r="G268" i="192" s="1"/>
  <c r="K268" i="192"/>
  <c r="M267" i="192"/>
  <c r="G267" i="192" s="1"/>
  <c r="K267" i="192"/>
  <c r="M266" i="192"/>
  <c r="G266" i="192" s="1"/>
  <c r="K266" i="192"/>
  <c r="M265" i="192"/>
  <c r="G265" i="192" s="1"/>
  <c r="K265" i="192"/>
  <c r="M264" i="192"/>
  <c r="G264" i="192" s="1"/>
  <c r="K264" i="192"/>
  <c r="M263" i="192"/>
  <c r="G263" i="192" s="1"/>
  <c r="K263" i="192"/>
  <c r="M262" i="192"/>
  <c r="G262" i="192" s="1"/>
  <c r="I262" i="192" s="1"/>
  <c r="K262" i="192"/>
  <c r="M261" i="192"/>
  <c r="G261" i="192" s="1"/>
  <c r="I261" i="192" s="1"/>
  <c r="H261" i="5" s="1"/>
  <c r="K261" i="192"/>
  <c r="M260" i="192"/>
  <c r="G260" i="192" s="1"/>
  <c r="I260" i="192" s="1"/>
  <c r="H260" i="5" s="1"/>
  <c r="K260" i="192"/>
  <c r="M259" i="192"/>
  <c r="G259" i="192" s="1"/>
  <c r="K259" i="192"/>
  <c r="M258" i="192"/>
  <c r="G258" i="192" s="1"/>
  <c r="K258" i="192"/>
  <c r="M257" i="192"/>
  <c r="G257" i="192" s="1"/>
  <c r="K257" i="192"/>
  <c r="M256" i="192"/>
  <c r="G256" i="192" s="1"/>
  <c r="I256" i="192" s="1"/>
  <c r="H256" i="5" s="1"/>
  <c r="K256" i="192"/>
  <c r="M255" i="192"/>
  <c r="G255" i="192" s="1"/>
  <c r="K255" i="192"/>
  <c r="M254" i="192"/>
  <c r="G254" i="192" s="1"/>
  <c r="I254" i="192" s="1"/>
  <c r="K254" i="192"/>
  <c r="M253" i="192"/>
  <c r="G253" i="192" s="1"/>
  <c r="K253" i="192"/>
  <c r="M252" i="192"/>
  <c r="G252" i="192" s="1"/>
  <c r="K252" i="192"/>
  <c r="M251" i="192"/>
  <c r="G251" i="192" s="1"/>
  <c r="K251" i="192"/>
  <c r="M250" i="192"/>
  <c r="G250" i="192" s="1"/>
  <c r="I250" i="192" s="1"/>
  <c r="K250" i="192"/>
  <c r="M237" i="192"/>
  <c r="G237" i="192" s="1"/>
  <c r="I237" i="192" s="1"/>
  <c r="H237" i="5" s="1"/>
  <c r="K237" i="192"/>
  <c r="M236" i="192"/>
  <c r="G236" i="192" s="1"/>
  <c r="I236" i="192" s="1"/>
  <c r="H236" i="5" s="1"/>
  <c r="K236" i="192"/>
  <c r="M235" i="192"/>
  <c r="G235" i="192" s="1"/>
  <c r="K235" i="192"/>
  <c r="M234" i="192"/>
  <c r="G234" i="192" s="1"/>
  <c r="I234" i="192" s="1"/>
  <c r="K234" i="192"/>
  <c r="M231" i="192"/>
  <c r="G231" i="192" s="1"/>
  <c r="I231" i="192" s="1"/>
  <c r="H231" i="5" s="1"/>
  <c r="K231" i="192"/>
  <c r="M230" i="192"/>
  <c r="G230" i="192" s="1"/>
  <c r="I230" i="192" s="1"/>
  <c r="H230" i="5" s="1"/>
  <c r="K230" i="192"/>
  <c r="M229" i="192"/>
  <c r="G229" i="192" s="1"/>
  <c r="K229" i="192"/>
  <c r="M228" i="192"/>
  <c r="G228" i="192" s="1"/>
  <c r="I228" i="192" s="1"/>
  <c r="K228" i="192"/>
  <c r="M227" i="192"/>
  <c r="G227" i="192" s="1"/>
  <c r="I227" i="192" s="1"/>
  <c r="H227" i="5" s="1"/>
  <c r="K227" i="192"/>
  <c r="M226" i="192"/>
  <c r="G226" i="192" s="1"/>
  <c r="K226" i="192"/>
  <c r="M225" i="192"/>
  <c r="G225" i="192" s="1"/>
  <c r="K225" i="192"/>
  <c r="M224" i="192"/>
  <c r="G224" i="192" s="1"/>
  <c r="K224" i="192"/>
  <c r="M221" i="192"/>
  <c r="G221" i="192" s="1"/>
  <c r="K221" i="192"/>
  <c r="F221" i="192" s="1"/>
  <c r="M220" i="192"/>
  <c r="G220" i="192" s="1"/>
  <c r="K220" i="192"/>
  <c r="F220" i="192" s="1"/>
  <c r="M219" i="192"/>
  <c r="G219" i="192" s="1"/>
  <c r="I219" i="192" s="1"/>
  <c r="K219" i="192"/>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9" i="192"/>
  <c r="G209" i="192" s="1"/>
  <c r="K209" i="192"/>
  <c r="F209" i="192" s="1"/>
  <c r="M208" i="192"/>
  <c r="G208" i="192" s="1"/>
  <c r="K208" i="192"/>
  <c r="F208" i="192" s="1"/>
  <c r="M207" i="192"/>
  <c r="G207" i="192" s="1"/>
  <c r="K207" i="192"/>
  <c r="F207" i="192" s="1"/>
  <c r="M206" i="192"/>
  <c r="G206" i="192" s="1"/>
  <c r="K206" i="192"/>
  <c r="F206" i="192" s="1"/>
  <c r="M205" i="192"/>
  <c r="G205" i="192" s="1"/>
  <c r="K205" i="192"/>
  <c r="F205" i="192" s="1"/>
  <c r="M204" i="192"/>
  <c r="G204" i="192" s="1"/>
  <c r="K204" i="192"/>
  <c r="F204" i="192" s="1"/>
  <c r="M203" i="192"/>
  <c r="G203" i="192" s="1"/>
  <c r="K203" i="192"/>
  <c r="F203" i="192" s="1"/>
  <c r="M202" i="192"/>
  <c r="G202" i="192" s="1"/>
  <c r="K202" i="192"/>
  <c r="F202" i="192" s="1"/>
  <c r="M201" i="192"/>
  <c r="G201" i="192" s="1"/>
  <c r="K201" i="192"/>
  <c r="F201" i="192" s="1"/>
  <c r="M200" i="192"/>
  <c r="G200" i="192" s="1"/>
  <c r="K200" i="192"/>
  <c r="F200" i="192" s="1"/>
  <c r="M199" i="192"/>
  <c r="G199" i="192" s="1"/>
  <c r="K199" i="192"/>
  <c r="F199"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K191" i="192"/>
  <c r="F191" i="192" s="1"/>
  <c r="M190" i="192"/>
  <c r="G190" i="192" s="1"/>
  <c r="K190" i="192"/>
  <c r="F190" i="192" s="1"/>
  <c r="M189" i="192"/>
  <c r="G189" i="192" s="1"/>
  <c r="K189" i="192"/>
  <c r="F189" i="192" s="1"/>
  <c r="M188" i="192"/>
  <c r="G188" i="192" s="1"/>
  <c r="K188" i="192"/>
  <c r="F188" i="192" s="1"/>
  <c r="M187" i="192"/>
  <c r="G187" i="192" s="1"/>
  <c r="K187" i="192"/>
  <c r="F187" i="192" s="1"/>
  <c r="M186" i="192"/>
  <c r="G186" i="192" s="1"/>
  <c r="K186" i="192"/>
  <c r="F186" i="192" s="1"/>
  <c r="M185" i="192"/>
  <c r="G185" i="192" s="1"/>
  <c r="K185" i="192"/>
  <c r="F185" i="192" s="1"/>
  <c r="M184" i="192"/>
  <c r="G184" i="192" s="1"/>
  <c r="I184" i="192" s="1"/>
  <c r="K184" i="192"/>
  <c r="M183" i="192"/>
  <c r="G183" i="192" s="1"/>
  <c r="K183" i="192"/>
  <c r="M182" i="192"/>
  <c r="G182" i="192" s="1"/>
  <c r="I182" i="192" s="1"/>
  <c r="H182" i="5" s="1"/>
  <c r="K182" i="192"/>
  <c r="M181" i="192"/>
  <c r="G181" i="192" s="1"/>
  <c r="I181" i="192" s="1"/>
  <c r="H181" i="5" s="1"/>
  <c r="K181" i="192"/>
  <c r="M180" i="192"/>
  <c r="G180" i="192" s="1"/>
  <c r="K180" i="192"/>
  <c r="M179" i="192"/>
  <c r="G179" i="192" s="1"/>
  <c r="I179" i="192" s="1"/>
  <c r="K179" i="192"/>
  <c r="M178" i="192"/>
  <c r="G178" i="192" s="1"/>
  <c r="I178" i="192" s="1"/>
  <c r="H178" i="5" s="1"/>
  <c r="K178" i="192"/>
  <c r="M177" i="192"/>
  <c r="G177" i="192" s="1"/>
  <c r="I177" i="192" s="1"/>
  <c r="H177" i="5" s="1"/>
  <c r="K177" i="192"/>
  <c r="M176" i="192"/>
  <c r="G176" i="192" s="1"/>
  <c r="K176" i="192"/>
  <c r="M175" i="192"/>
  <c r="G175" i="192" s="1"/>
  <c r="K175" i="192"/>
  <c r="M174" i="192"/>
  <c r="G174" i="192" s="1"/>
  <c r="K174" i="192"/>
  <c r="M173" i="192"/>
  <c r="G173" i="192" s="1"/>
  <c r="I173" i="192" s="1"/>
  <c r="H173" i="5" s="1"/>
  <c r="K173" i="192"/>
  <c r="M172" i="192"/>
  <c r="G172" i="192" s="1"/>
  <c r="K172" i="192"/>
  <c r="M171" i="192"/>
  <c r="G171" i="192" s="1"/>
  <c r="I171" i="192" s="1"/>
  <c r="K171" i="192"/>
  <c r="M170" i="192"/>
  <c r="G170" i="192" s="1"/>
  <c r="I170" i="192" s="1"/>
  <c r="H170" i="5" s="1"/>
  <c r="K170" i="192"/>
  <c r="M169" i="192"/>
  <c r="G169" i="192" s="1"/>
  <c r="K169" i="192"/>
  <c r="M168" i="192"/>
  <c r="G168" i="192" s="1"/>
  <c r="I168" i="192" s="1"/>
  <c r="K168" i="192"/>
  <c r="M167" i="192"/>
  <c r="K167" i="192"/>
  <c r="M166" i="192"/>
  <c r="K166" i="192"/>
  <c r="M165" i="192"/>
  <c r="K165" i="192"/>
  <c r="M164" i="192"/>
  <c r="G164" i="192" s="1"/>
  <c r="I164" i="192" s="1"/>
  <c r="H164" i="5" s="1"/>
  <c r="K164" i="192"/>
  <c r="M163" i="192"/>
  <c r="G163" i="192" s="1"/>
  <c r="I163" i="192" s="1"/>
  <c r="H163" i="5" s="1"/>
  <c r="K163" i="192"/>
  <c r="M162" i="192"/>
  <c r="G162" i="192" s="1"/>
  <c r="K162" i="192"/>
  <c r="M160" i="192"/>
  <c r="G160" i="192" s="1"/>
  <c r="K160" i="192"/>
  <c r="M159" i="192"/>
  <c r="G159" i="192" s="1"/>
  <c r="I159" i="192" s="1"/>
  <c r="K159" i="192"/>
  <c r="M158" i="192"/>
  <c r="G158" i="192" s="1"/>
  <c r="K158" i="192"/>
  <c r="M157" i="192"/>
  <c r="G157" i="192" s="1"/>
  <c r="K157" i="192"/>
  <c r="M156" i="192"/>
  <c r="G156" i="192" s="1"/>
  <c r="I156" i="192" s="1"/>
  <c r="K156" i="192"/>
  <c r="M154" i="192"/>
  <c r="G154" i="192" s="1"/>
  <c r="I154" i="192" s="1"/>
  <c r="K154" i="192"/>
  <c r="O3092" i="1" s="1"/>
  <c r="M153" i="192"/>
  <c r="G153" i="192" s="1"/>
  <c r="K153" i="192"/>
  <c r="M152" i="192"/>
  <c r="G152" i="192" s="1"/>
  <c r="K152" i="192"/>
  <c r="O1068" i="1" s="1"/>
  <c r="M151" i="192"/>
  <c r="G151" i="192" s="1"/>
  <c r="I151" i="192" s="1"/>
  <c r="O1067" i="246" s="1"/>
  <c r="R1067" i="246" s="1"/>
  <c r="K151" i="192"/>
  <c r="O1067" i="1" s="1"/>
  <c r="M147" i="192"/>
  <c r="G147" i="192" s="1"/>
  <c r="I147" i="192" s="1"/>
  <c r="O1063" i="246" s="1"/>
  <c r="R1063" i="246" s="1"/>
  <c r="K147" i="192"/>
  <c r="O1063" i="1" s="1"/>
  <c r="M146" i="192"/>
  <c r="G146" i="192" s="1"/>
  <c r="K146" i="192"/>
  <c r="O1062" i="1" s="1"/>
  <c r="M145" i="192"/>
  <c r="G145" i="192" s="1"/>
  <c r="K145" i="192"/>
  <c r="O1061" i="1" s="1"/>
  <c r="M144" i="192"/>
  <c r="G144" i="192" s="1"/>
  <c r="I144" i="192" s="1"/>
  <c r="O1060" i="246" s="1"/>
  <c r="R1060" i="246" s="1"/>
  <c r="K144" i="192"/>
  <c r="O1060" i="1" s="1"/>
  <c r="M143" i="192"/>
  <c r="G143" i="192" s="1"/>
  <c r="I143" i="192" s="1"/>
  <c r="O1059" i="246" s="1"/>
  <c r="R1059" i="246" s="1"/>
  <c r="K143" i="192"/>
  <c r="O1059" i="1" s="1"/>
  <c r="M142" i="192"/>
  <c r="G142" i="192" s="1"/>
  <c r="K142" i="192"/>
  <c r="M141" i="192"/>
  <c r="G141" i="192" s="1"/>
  <c r="K141" i="192"/>
  <c r="M140" i="192"/>
  <c r="G140" i="192" s="1"/>
  <c r="I140" i="192" s="1"/>
  <c r="K140" i="192"/>
  <c r="M138" i="192"/>
  <c r="G138" i="192" s="1"/>
  <c r="K138" i="192"/>
  <c r="O3111" i="1" s="1"/>
  <c r="M137" i="192"/>
  <c r="G137" i="192" s="1"/>
  <c r="K137" i="192"/>
  <c r="O3110" i="1" s="1"/>
  <c r="M136" i="192"/>
  <c r="G136" i="192" s="1"/>
  <c r="I136" i="192" s="1"/>
  <c r="O2751" i="246" s="1"/>
  <c r="K136" i="192"/>
  <c r="O3109" i="1" s="1"/>
  <c r="M135" i="192"/>
  <c r="G135" i="192" s="1"/>
  <c r="I135" i="192" s="1"/>
  <c r="O2750" i="246" s="1"/>
  <c r="K135" i="192"/>
  <c r="O3108" i="1" s="1"/>
  <c r="M134" i="192"/>
  <c r="G134" i="192" s="1"/>
  <c r="I134" i="192" s="1"/>
  <c r="O2749" i="246" s="1"/>
  <c r="K134" i="192"/>
  <c r="O3107" i="1" s="1"/>
  <c r="M133" i="192"/>
  <c r="G133" i="192" s="1"/>
  <c r="I133" i="192" s="1"/>
  <c r="O2748" i="246" s="1"/>
  <c r="K133" i="192"/>
  <c r="O3106" i="1" s="1"/>
  <c r="M132" i="192"/>
  <c r="G132" i="192" s="1"/>
  <c r="I132" i="192" s="1"/>
  <c r="O2747" i="246" s="1"/>
  <c r="K132" i="192"/>
  <c r="O3105" i="1" s="1"/>
  <c r="M131" i="192"/>
  <c r="G131" i="192" s="1"/>
  <c r="I131" i="192" s="1"/>
  <c r="O2746" i="246" s="1"/>
  <c r="K131" i="192"/>
  <c r="O3104" i="1" s="1"/>
  <c r="M130" i="192"/>
  <c r="G130" i="192" s="1"/>
  <c r="I130" i="192" s="1"/>
  <c r="O2745" i="246" s="1"/>
  <c r="K130" i="192"/>
  <c r="O3103" i="1" s="1"/>
  <c r="M129" i="192"/>
  <c r="G129" i="192" s="1"/>
  <c r="I129" i="192" s="1"/>
  <c r="O2744" i="246" s="1"/>
  <c r="K129" i="192"/>
  <c r="O3102" i="1" s="1"/>
  <c r="M128" i="192"/>
  <c r="G128" i="192" s="1"/>
  <c r="I128" i="192" s="1"/>
  <c r="O2743" i="246" s="1"/>
  <c r="K128" i="192"/>
  <c r="O3101" i="1" s="1"/>
  <c r="M127" i="192"/>
  <c r="G127" i="192" s="1"/>
  <c r="I127" i="192" s="1"/>
  <c r="O2742" i="246" s="1"/>
  <c r="K127" i="192"/>
  <c r="O3100" i="1" s="1"/>
  <c r="M126" i="192"/>
  <c r="G126" i="192" s="1"/>
  <c r="I126" i="192" s="1"/>
  <c r="O2741" i="246" s="1"/>
  <c r="K126" i="192"/>
  <c r="O3099" i="1" s="1"/>
  <c r="M125" i="192"/>
  <c r="G125" i="192" s="1"/>
  <c r="I125" i="192" s="1"/>
  <c r="K125" i="192"/>
  <c r="M124" i="192"/>
  <c r="G124" i="192" s="1"/>
  <c r="I124" i="192" s="1"/>
  <c r="K124" i="192"/>
  <c r="M123" i="192"/>
  <c r="G123" i="192" s="1"/>
  <c r="I123" i="192" s="1"/>
  <c r="O2738" i="246" s="1"/>
  <c r="K123" i="192"/>
  <c r="O3096" i="1" s="1"/>
  <c r="M122" i="192"/>
  <c r="G122" i="192" s="1"/>
  <c r="I122" i="192" s="1"/>
  <c r="O2737" i="246" s="1"/>
  <c r="K122" i="192"/>
  <c r="O3095" i="1" s="1"/>
  <c r="M121" i="192"/>
  <c r="G121" i="192" s="1"/>
  <c r="I121" i="192" s="1"/>
  <c r="K121" i="192"/>
  <c r="M120" i="192"/>
  <c r="G120" i="192" s="1"/>
  <c r="I120" i="192" s="1"/>
  <c r="K120" i="192"/>
  <c r="M119" i="192"/>
  <c r="G119" i="192" s="1"/>
  <c r="I119" i="192" s="1"/>
  <c r="O2733" i="246" s="1"/>
  <c r="K119" i="192"/>
  <c r="O3091" i="1" s="1"/>
  <c r="M118" i="192"/>
  <c r="G118" i="192" s="1"/>
  <c r="I118" i="192" s="1"/>
  <c r="O2732" i="246" s="1"/>
  <c r="K118" i="192"/>
  <c r="O3090" i="1" s="1"/>
  <c r="M117" i="192"/>
  <c r="G117" i="192" s="1"/>
  <c r="I117" i="192" s="1"/>
  <c r="O2731" i="246" s="1"/>
  <c r="K117" i="192"/>
  <c r="O3089" i="1" s="1"/>
  <c r="M116" i="192"/>
  <c r="G116" i="192" s="1"/>
  <c r="I116" i="192" s="1"/>
  <c r="O2730" i="246" s="1"/>
  <c r="K116" i="192"/>
  <c r="O3088" i="1" s="1"/>
  <c r="M115" i="192"/>
  <c r="G115" i="192" s="1"/>
  <c r="I115" i="192" s="1"/>
  <c r="K115" i="192"/>
  <c r="M114" i="192"/>
  <c r="G114" i="192" s="1"/>
  <c r="I114" i="192" s="1"/>
  <c r="K114" i="192"/>
  <c r="M113" i="192"/>
  <c r="G113" i="192" s="1"/>
  <c r="I113" i="192" s="1"/>
  <c r="K113" i="192"/>
  <c r="M112" i="192"/>
  <c r="G112" i="192" s="1"/>
  <c r="I112" i="192" s="1"/>
  <c r="K112" i="192"/>
  <c r="M111" i="192"/>
  <c r="G111" i="192" s="1"/>
  <c r="I111" i="192" s="1"/>
  <c r="K111" i="192"/>
  <c r="M110" i="192"/>
  <c r="G110" i="192" s="1"/>
  <c r="I110" i="192" s="1"/>
  <c r="K110" i="192"/>
  <c r="M109" i="192"/>
  <c r="G109" i="192" s="1"/>
  <c r="I109" i="192" s="1"/>
  <c r="K109" i="192"/>
  <c r="M108" i="192"/>
  <c r="G108" i="192" s="1"/>
  <c r="I108" i="192" s="1"/>
  <c r="K108" i="192"/>
  <c r="M107" i="192"/>
  <c r="G107" i="192" s="1"/>
  <c r="I107" i="192" s="1"/>
  <c r="K107" i="192"/>
  <c r="M105" i="192"/>
  <c r="G105" i="192" s="1"/>
  <c r="I105" i="192" s="1"/>
  <c r="O2726" i="246" s="1"/>
  <c r="K105" i="192"/>
  <c r="O3084" i="1" s="1"/>
  <c r="M104" i="192"/>
  <c r="G104" i="192" s="1"/>
  <c r="I104" i="192" s="1"/>
  <c r="O2725" i="246" s="1"/>
  <c r="K104" i="192"/>
  <c r="O3083" i="1" s="1"/>
  <c r="M103" i="192"/>
  <c r="G103" i="192" s="1"/>
  <c r="I103" i="192" s="1"/>
  <c r="O2724" i="246" s="1"/>
  <c r="K103" i="192"/>
  <c r="O3081" i="1" s="1"/>
  <c r="M102" i="192"/>
  <c r="G102" i="192" s="1"/>
  <c r="I102" i="192" s="1"/>
  <c r="O2723" i="246" s="1"/>
  <c r="K102" i="192"/>
  <c r="O3082" i="1" s="1"/>
  <c r="M101" i="192"/>
  <c r="G101" i="192" s="1"/>
  <c r="I101" i="192" s="1"/>
  <c r="K101" i="192"/>
  <c r="M100" i="192"/>
  <c r="G100" i="192" s="1"/>
  <c r="I100" i="192" s="1"/>
  <c r="K100" i="192"/>
  <c r="M99" i="192"/>
  <c r="G99" i="192" s="1"/>
  <c r="I99" i="192" s="1"/>
  <c r="K99" i="192"/>
  <c r="M98" i="192"/>
  <c r="G98" i="192" s="1"/>
  <c r="I98" i="192" s="1"/>
  <c r="K98" i="192"/>
  <c r="M97" i="192"/>
  <c r="G97" i="192" s="1"/>
  <c r="I97" i="192" s="1"/>
  <c r="K97" i="192"/>
  <c r="M95" i="192"/>
  <c r="G95" i="192" s="1"/>
  <c r="I95" i="192" s="1"/>
  <c r="O2766" i="246" s="1"/>
  <c r="K95" i="192"/>
  <c r="O3124" i="1" s="1"/>
  <c r="M94" i="192"/>
  <c r="G94" i="192" s="1"/>
  <c r="I94" i="192" s="1"/>
  <c r="O2763" i="246" s="1"/>
  <c r="K94" i="192"/>
  <c r="O3121" i="1" s="1"/>
  <c r="M93" i="192"/>
  <c r="G93" i="192" s="1"/>
  <c r="I93" i="192" s="1"/>
  <c r="K93" i="192"/>
  <c r="M92" i="192"/>
  <c r="G92" i="192" s="1"/>
  <c r="I92" i="192" s="1"/>
  <c r="K92" i="192"/>
  <c r="M90" i="192"/>
  <c r="G90" i="192" s="1"/>
  <c r="I90" i="192" s="1"/>
  <c r="K90" i="192"/>
  <c r="M89" i="192"/>
  <c r="G89" i="192" s="1"/>
  <c r="I89" i="192" s="1"/>
  <c r="K89" i="192"/>
  <c r="M88" i="192"/>
  <c r="G88" i="192" s="1"/>
  <c r="I88" i="192" s="1"/>
  <c r="O993" i="246" s="1"/>
  <c r="R993" i="246" s="1"/>
  <c r="K88" i="192"/>
  <c r="O993" i="1" s="1"/>
  <c r="M87" i="192"/>
  <c r="G87" i="192" s="1"/>
  <c r="I87" i="192" s="1"/>
  <c r="O992" i="246" s="1"/>
  <c r="R992" i="246" s="1"/>
  <c r="K87" i="192"/>
  <c r="O992" i="1" s="1"/>
  <c r="M86" i="192"/>
  <c r="G86" i="192" s="1"/>
  <c r="I86" i="192" s="1"/>
  <c r="O991" i="246" s="1"/>
  <c r="R991" i="246" s="1"/>
  <c r="K86" i="192"/>
  <c r="O991" i="1" s="1"/>
  <c r="M85" i="192"/>
  <c r="G85" i="192" s="1"/>
  <c r="I85" i="192" s="1"/>
  <c r="K85" i="192"/>
  <c r="M84" i="192"/>
  <c r="G84" i="192" s="1"/>
  <c r="I84" i="192" s="1"/>
  <c r="K84" i="192"/>
  <c r="M83" i="192"/>
  <c r="G83" i="192" s="1"/>
  <c r="I83" i="192" s="1"/>
  <c r="O2768" i="246" s="1"/>
  <c r="K83" i="192"/>
  <c r="O3126" i="1" s="1"/>
  <c r="M82" i="192"/>
  <c r="G82" i="192" s="1"/>
  <c r="I82" i="192" s="1"/>
  <c r="K82" i="192"/>
  <c r="M81" i="192"/>
  <c r="G81" i="192" s="1"/>
  <c r="I81" i="192" s="1"/>
  <c r="O2696" i="246" s="1"/>
  <c r="K81" i="192"/>
  <c r="O3054" i="1" s="1"/>
  <c r="M80" i="192"/>
  <c r="G80" i="192" s="1"/>
  <c r="I80" i="192" s="1"/>
  <c r="O2695" i="246" s="1"/>
  <c r="K80" i="192"/>
  <c r="O3053" i="1" s="1"/>
  <c r="M79" i="192"/>
  <c r="G79" i="192" s="1"/>
  <c r="I79" i="192" s="1"/>
  <c r="O2694" i="246" s="1"/>
  <c r="K79" i="192"/>
  <c r="O3052" i="1" s="1"/>
  <c r="M78" i="192"/>
  <c r="G78" i="192" s="1"/>
  <c r="I78" i="192" s="1"/>
  <c r="O2693" i="246" s="1"/>
  <c r="K78" i="192"/>
  <c r="O3051" i="1" s="1"/>
  <c r="M77" i="192"/>
  <c r="G77" i="192" s="1"/>
  <c r="I77" i="192" s="1"/>
  <c r="O2692" i="246" s="1"/>
  <c r="K77" i="192"/>
  <c r="O3050" i="1" s="1"/>
  <c r="M76" i="192"/>
  <c r="G76" i="192" s="1"/>
  <c r="I76" i="192" s="1"/>
  <c r="O2691" i="246" s="1"/>
  <c r="K76" i="192"/>
  <c r="O3049" i="1" s="1"/>
  <c r="M75" i="192"/>
  <c r="G75" i="192" s="1"/>
  <c r="I75" i="192" s="1"/>
  <c r="O2690" i="246" s="1"/>
  <c r="K75" i="192"/>
  <c r="O3048" i="1" s="1"/>
  <c r="M74" i="192"/>
  <c r="G74" i="192" s="1"/>
  <c r="I74" i="192" s="1"/>
  <c r="O2689" i="246" s="1"/>
  <c r="K74" i="192"/>
  <c r="O3047" i="1" s="1"/>
  <c r="M73" i="192"/>
  <c r="G73" i="192" s="1"/>
  <c r="I73" i="192" s="1"/>
  <c r="O2688" i="246" s="1"/>
  <c r="K73" i="192"/>
  <c r="O3046" i="1" s="1"/>
  <c r="M72" i="192"/>
  <c r="G72" i="192" s="1"/>
  <c r="I72" i="192" s="1"/>
  <c r="O2687" i="246" s="1"/>
  <c r="K72" i="192"/>
  <c r="O3045" i="1" s="1"/>
  <c r="M71" i="192"/>
  <c r="G71" i="192" s="1"/>
  <c r="I71" i="192" s="1"/>
  <c r="O2686" i="246" s="1"/>
  <c r="K71" i="192"/>
  <c r="O3044" i="1" s="1"/>
  <c r="M70" i="192"/>
  <c r="G70" i="192" s="1"/>
  <c r="I70" i="192" s="1"/>
  <c r="O2685" i="246" s="1"/>
  <c r="K70" i="192"/>
  <c r="O3043" i="1" s="1"/>
  <c r="M69" i="192"/>
  <c r="G69" i="192" s="1"/>
  <c r="I69" i="192" s="1"/>
  <c r="K69" i="192"/>
  <c r="M68" i="192"/>
  <c r="G68" i="192" s="1"/>
  <c r="I68" i="192" s="1"/>
  <c r="K68" i="192"/>
  <c r="M67" i="192"/>
  <c r="G67" i="192" s="1"/>
  <c r="I67" i="192" s="1"/>
  <c r="K67" i="192"/>
  <c r="M66" i="192"/>
  <c r="G66" i="192" s="1"/>
  <c r="I66" i="192" s="1"/>
  <c r="K66" i="192"/>
  <c r="M65" i="192"/>
  <c r="G65" i="192" s="1"/>
  <c r="I65" i="192" s="1"/>
  <c r="K65" i="192"/>
  <c r="M64" i="192"/>
  <c r="G64" i="192" s="1"/>
  <c r="I64" i="192" s="1"/>
  <c r="O2682" i="246" s="1"/>
  <c r="K64" i="192"/>
  <c r="O3040" i="1" s="1"/>
  <c r="M63" i="192"/>
  <c r="G63" i="192" s="1"/>
  <c r="I63" i="192" s="1"/>
  <c r="O920" i="246" s="1"/>
  <c r="R920" i="246" s="1"/>
  <c r="K63" i="192"/>
  <c r="O920" i="1" s="1"/>
  <c r="M62" i="192"/>
  <c r="G62" i="192" s="1"/>
  <c r="I62" i="192" s="1"/>
  <c r="O919" i="246" s="1"/>
  <c r="R919" i="246" s="1"/>
  <c r="K62" i="192"/>
  <c r="O919" i="1" s="1"/>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K54" i="192"/>
  <c r="M53" i="192"/>
  <c r="G53" i="192" s="1"/>
  <c r="I53" i="192" s="1"/>
  <c r="O2679" i="246" s="1"/>
  <c r="K53" i="192"/>
  <c r="O3037" i="1" s="1"/>
  <c r="M52" i="192"/>
  <c r="G52" i="192" s="1"/>
  <c r="I52" i="192" s="1"/>
  <c r="K52" i="192"/>
  <c r="M51" i="192"/>
  <c r="G51" i="192" s="1"/>
  <c r="I51" i="192" s="1"/>
  <c r="K51" i="192"/>
  <c r="M50" i="192"/>
  <c r="G50" i="192" s="1"/>
  <c r="I50" i="192" s="1"/>
  <c r="O2677" i="246" s="1"/>
  <c r="K50" i="192"/>
  <c r="O3035" i="1" s="1"/>
  <c r="M49" i="192"/>
  <c r="G49" i="192" s="1"/>
  <c r="I49" i="192" s="1"/>
  <c r="O2676" i="246" s="1"/>
  <c r="K49" i="192"/>
  <c r="O3034" i="1" s="1"/>
  <c r="M48" i="192"/>
  <c r="G48" i="192" s="1"/>
  <c r="I48" i="192" s="1"/>
  <c r="O2675" i="246" s="1"/>
  <c r="K48" i="192"/>
  <c r="O3033" i="1" s="1"/>
  <c r="M47" i="192"/>
  <c r="G47" i="192" s="1"/>
  <c r="I47" i="192" s="1"/>
  <c r="O2674" i="246" s="1"/>
  <c r="K47" i="192"/>
  <c r="O3032" i="1" s="1"/>
  <c r="M46" i="192"/>
  <c r="G46" i="192" s="1"/>
  <c r="I46" i="192" s="1"/>
  <c r="K46" i="192"/>
  <c r="M45" i="192"/>
  <c r="G45" i="192" s="1"/>
  <c r="I45" i="192" s="1"/>
  <c r="K45" i="192"/>
  <c r="M44" i="192"/>
  <c r="G44" i="192" s="1"/>
  <c r="I44" i="192" s="1"/>
  <c r="K44" i="192"/>
  <c r="M43" i="192"/>
  <c r="G43" i="192" s="1"/>
  <c r="I43" i="192" s="1"/>
  <c r="K43" i="192"/>
  <c r="M42" i="192"/>
  <c r="G42" i="192" s="1"/>
  <c r="I42" i="192" s="1"/>
  <c r="O2672" i="246" s="1"/>
  <c r="K42" i="192"/>
  <c r="O3030" i="1" s="1"/>
  <c r="M41" i="192"/>
  <c r="G41" i="192" s="1"/>
  <c r="I41" i="192" s="1"/>
  <c r="O2671" i="246" s="1"/>
  <c r="K41" i="192"/>
  <c r="O3029" i="1" s="1"/>
  <c r="M40" i="192"/>
  <c r="G40" i="192" s="1"/>
  <c r="I40" i="192" s="1"/>
  <c r="O2670" i="246" s="1"/>
  <c r="K40" i="192"/>
  <c r="O3028" i="1" s="1"/>
  <c r="M39" i="192"/>
  <c r="G39" i="192" s="1"/>
  <c r="I39" i="192" s="1"/>
  <c r="K39" i="192"/>
  <c r="M38" i="192"/>
  <c r="G38" i="192" s="1"/>
  <c r="I38" i="192" s="1"/>
  <c r="K38" i="192"/>
  <c r="M37" i="192"/>
  <c r="G37" i="192" s="1"/>
  <c r="I37" i="192" s="1"/>
  <c r="K37" i="192"/>
  <c r="M36" i="192"/>
  <c r="G36" i="192" s="1"/>
  <c r="I36" i="192" s="1"/>
  <c r="K36" i="192"/>
  <c r="M35" i="192"/>
  <c r="G35" i="192" s="1"/>
  <c r="I35" i="192" s="1"/>
  <c r="K35" i="192"/>
  <c r="M34" i="192"/>
  <c r="G34" i="192" s="1"/>
  <c r="I34" i="192" s="1"/>
  <c r="K34" i="192"/>
  <c r="M32" i="192"/>
  <c r="G32" i="192" s="1"/>
  <c r="I32" i="192" s="1"/>
  <c r="K32" i="192"/>
  <c r="O3018" i="1" s="1"/>
  <c r="M31" i="192"/>
  <c r="G31" i="192" s="1"/>
  <c r="I31" i="192" s="1"/>
  <c r="K31" i="192"/>
  <c r="O3017" i="1" s="1"/>
  <c r="M30" i="192"/>
  <c r="G30" i="192" s="1"/>
  <c r="I30" i="192" s="1"/>
  <c r="K30" i="192"/>
  <c r="O3016" i="1" s="1"/>
  <c r="M29" i="192"/>
  <c r="G29" i="192" s="1"/>
  <c r="I29" i="192" s="1"/>
  <c r="K29" i="192"/>
  <c r="O3015" i="1" s="1"/>
  <c r="K28" i="192"/>
  <c r="O3014" i="1" s="1"/>
  <c r="M27" i="192"/>
  <c r="G27" i="192" s="1"/>
  <c r="I27" i="192" s="1"/>
  <c r="K27" i="192"/>
  <c r="M26" i="192"/>
  <c r="G26" i="192" s="1"/>
  <c r="I26" i="192" s="1"/>
  <c r="K26" i="192"/>
  <c r="M25" i="192"/>
  <c r="G25" i="192" s="1"/>
  <c r="I25" i="192" s="1"/>
  <c r="K25" i="192"/>
  <c r="M24" i="192"/>
  <c r="G24" i="192" s="1"/>
  <c r="I24" i="192" s="1"/>
  <c r="K24" i="192"/>
  <c r="M23" i="192"/>
  <c r="K23" i="192"/>
  <c r="M22" i="192"/>
  <c r="G22" i="192" s="1"/>
  <c r="I22" i="192" s="1"/>
  <c r="O2646" i="246" s="1"/>
  <c r="K22" i="192"/>
  <c r="O3004" i="1" s="1"/>
  <c r="M21" i="192"/>
  <c r="G21" i="192" s="1"/>
  <c r="I21" i="192" s="1"/>
  <c r="O2645" i="246" s="1"/>
  <c r="K21" i="192"/>
  <c r="O3003" i="1" s="1"/>
  <c r="M20" i="192"/>
  <c r="G20" i="192" s="1"/>
  <c r="I20" i="192" s="1"/>
  <c r="O2644" i="246" s="1"/>
  <c r="K20" i="192"/>
  <c r="O3002" i="1" s="1"/>
  <c r="M19" i="192"/>
  <c r="G19" i="192" s="1"/>
  <c r="I19" i="192" s="1"/>
  <c r="O2643" i="246" s="1"/>
  <c r="K19" i="192"/>
  <c r="O3001" i="1" s="1"/>
  <c r="M18" i="192"/>
  <c r="G18" i="192" s="1"/>
  <c r="I18" i="192" s="1"/>
  <c r="O2642" i="246" s="1"/>
  <c r="K18" i="192"/>
  <c r="O3000" i="1" s="1"/>
  <c r="M17" i="192"/>
  <c r="G17" i="192" s="1"/>
  <c r="I17" i="192" s="1"/>
  <c r="O2641" i="246" s="1"/>
  <c r="K17" i="192"/>
  <c r="O2999" i="1" s="1"/>
  <c r="M16" i="192"/>
  <c r="G16" i="192" s="1"/>
  <c r="I16" i="192" s="1"/>
  <c r="K16" i="192"/>
  <c r="M15" i="192"/>
  <c r="G15" i="192" s="1"/>
  <c r="I15" i="192" s="1"/>
  <c r="K15" i="192"/>
  <c r="M14" i="192"/>
  <c r="G14" i="192" s="1"/>
  <c r="I14" i="192" s="1"/>
  <c r="K14" i="192"/>
  <c r="M13" i="192"/>
  <c r="K13" i="192"/>
  <c r="M12" i="192"/>
  <c r="G12" i="192" s="1"/>
  <c r="I12" i="192" s="1"/>
  <c r="K12" i="192"/>
  <c r="M11" i="192"/>
  <c r="G11" i="192" s="1"/>
  <c r="I11" i="192" s="1"/>
  <c r="K11" i="192"/>
  <c r="M10" i="192"/>
  <c r="G10" i="192" s="1"/>
  <c r="I10" i="192" s="1"/>
  <c r="K10" i="192"/>
  <c r="M5" i="192"/>
  <c r="G5" i="192" s="1"/>
  <c r="K5" i="192"/>
  <c r="I1" i="192"/>
  <c r="F229" i="192" l="1"/>
  <c r="F235" i="192"/>
  <c r="O3011" i="1"/>
  <c r="U3011" i="1" s="1"/>
  <c r="O3256" i="1"/>
  <c r="M3092" i="1"/>
  <c r="O2734" i="246"/>
  <c r="I229" i="192"/>
  <c r="G232" i="192"/>
  <c r="I232" i="192" s="1"/>
  <c r="H232" i="5" s="1"/>
  <c r="G6" i="192"/>
  <c r="I6" i="192" s="1"/>
  <c r="G303" i="192"/>
  <c r="I303" i="192" s="1"/>
  <c r="H303" i="5" s="1"/>
  <c r="O2309" i="1"/>
  <c r="O3031" i="1"/>
  <c r="O3042" i="1"/>
  <c r="O3122" i="1"/>
  <c r="O3080" i="1"/>
  <c r="O3087" i="1"/>
  <c r="U2991" i="1"/>
  <c r="O3005" i="1"/>
  <c r="O2684" i="246"/>
  <c r="O2998" i="1"/>
  <c r="O2995" i="1" s="1"/>
  <c r="O2993" i="1"/>
  <c r="U2993" i="1" s="1"/>
  <c r="O2635" i="246"/>
  <c r="S2635" i="246" s="1"/>
  <c r="O3157" i="1"/>
  <c r="S3157" i="1" s="1"/>
  <c r="O2673" i="246"/>
  <c r="O854" i="246"/>
  <c r="R854" i="246" s="1"/>
  <c r="O2657" i="246"/>
  <c r="O856" i="246"/>
  <c r="R856" i="246" s="1"/>
  <c r="O2659" i="246"/>
  <c r="O2767" i="246"/>
  <c r="O2736" i="246"/>
  <c r="O2660" i="246"/>
  <c r="O857" i="246"/>
  <c r="R857" i="246" s="1"/>
  <c r="O2678" i="246"/>
  <c r="O2680" i="246"/>
  <c r="O918" i="246"/>
  <c r="R918" i="246" s="1"/>
  <c r="O2681" i="246"/>
  <c r="O990" i="246"/>
  <c r="R990" i="246" s="1"/>
  <c r="O2765" i="246"/>
  <c r="O2735" i="246"/>
  <c r="O2658" i="246"/>
  <c r="O855" i="246"/>
  <c r="R855" i="246" s="1"/>
  <c r="O2683" i="246"/>
  <c r="O2722" i="246"/>
  <c r="O2728" i="246"/>
  <c r="O2740" i="246"/>
  <c r="O2764" i="246"/>
  <c r="O2729" i="246"/>
  <c r="D853" i="1"/>
  <c r="D2656" i="246"/>
  <c r="D853" i="246"/>
  <c r="D2492" i="246"/>
  <c r="D847" i="246"/>
  <c r="M28" i="192"/>
  <c r="G28" i="192" s="1"/>
  <c r="I28" i="192" s="1"/>
  <c r="D2850" i="1"/>
  <c r="D2686" i="1"/>
  <c r="D3178" i="1"/>
  <c r="D3014" i="1"/>
  <c r="M3000" i="1"/>
  <c r="O3164" i="1"/>
  <c r="M3002" i="1"/>
  <c r="O3166" i="1"/>
  <c r="M3004" i="1"/>
  <c r="O3168" i="1"/>
  <c r="M3016" i="1"/>
  <c r="O3180" i="1"/>
  <c r="M3018" i="1"/>
  <c r="O3182" i="1"/>
  <c r="M3029" i="1"/>
  <c r="O3193" i="1"/>
  <c r="M3032" i="1"/>
  <c r="O3196" i="1"/>
  <c r="O3198" i="1"/>
  <c r="M3034" i="1"/>
  <c r="M3036" i="1"/>
  <c r="O3200" i="1"/>
  <c r="M3037" i="1"/>
  <c r="O3201" i="1"/>
  <c r="O3202" i="1"/>
  <c r="M3038" i="1"/>
  <c r="M3039" i="1"/>
  <c r="O3203" i="1"/>
  <c r="O3205" i="1"/>
  <c r="M3041" i="1"/>
  <c r="M3044" i="1"/>
  <c r="O3208" i="1"/>
  <c r="M3046" i="1"/>
  <c r="O3210" i="1"/>
  <c r="M3048" i="1"/>
  <c r="O3212" i="1"/>
  <c r="M3050" i="1"/>
  <c r="O3214" i="1"/>
  <c r="M3052" i="1"/>
  <c r="O3216" i="1"/>
  <c r="M3054" i="1"/>
  <c r="O3218" i="1"/>
  <c r="O3290" i="1"/>
  <c r="M3126" i="1"/>
  <c r="O3287" i="1"/>
  <c r="M3123" i="1"/>
  <c r="O3285" i="1"/>
  <c r="M3121" i="1"/>
  <c r="O3245" i="1"/>
  <c r="M3081" i="1"/>
  <c r="O3248" i="1"/>
  <c r="M3084" i="1"/>
  <c r="O3250" i="1"/>
  <c r="M3086" i="1"/>
  <c r="O3252" i="1"/>
  <c r="M3088" i="1"/>
  <c r="O3254" i="1"/>
  <c r="M3090" i="1"/>
  <c r="O3257" i="1"/>
  <c r="M3093" i="1"/>
  <c r="O3259" i="1"/>
  <c r="M3095" i="1"/>
  <c r="O3262" i="1"/>
  <c r="M3098" i="1"/>
  <c r="O3263" i="1"/>
  <c r="M3099" i="1"/>
  <c r="O3265" i="1"/>
  <c r="M3101" i="1"/>
  <c r="O3267" i="1"/>
  <c r="M3103" i="1"/>
  <c r="O3269" i="1"/>
  <c r="M3105" i="1"/>
  <c r="O3271" i="1"/>
  <c r="M3107" i="1"/>
  <c r="O3273" i="1"/>
  <c r="M3109" i="1"/>
  <c r="O3165" i="1"/>
  <c r="M3001" i="1"/>
  <c r="M3017" i="1"/>
  <c r="O3181" i="1"/>
  <c r="O3194" i="1"/>
  <c r="M3030" i="1"/>
  <c r="M3040" i="1"/>
  <c r="O3204" i="1"/>
  <c r="M3043" i="1"/>
  <c r="O3207" i="1"/>
  <c r="M3047" i="1"/>
  <c r="O3211" i="1"/>
  <c r="M3053" i="1"/>
  <c r="O3217" i="1"/>
  <c r="O3286" i="1"/>
  <c r="M3122" i="1"/>
  <c r="O3288" i="1"/>
  <c r="M3124" i="1"/>
  <c r="O3246" i="1"/>
  <c r="M3082" i="1"/>
  <c r="O3253" i="1"/>
  <c r="M3089" i="1"/>
  <c r="O3264" i="1"/>
  <c r="M3100" i="1"/>
  <c r="O3266" i="1"/>
  <c r="M3102" i="1"/>
  <c r="O3268" i="1"/>
  <c r="M3104" i="1"/>
  <c r="O3272" i="1"/>
  <c r="M3108" i="1"/>
  <c r="M2993" i="1"/>
  <c r="S2993" i="1" s="1"/>
  <c r="O3163" i="1"/>
  <c r="M2999" i="1"/>
  <c r="O3167" i="1"/>
  <c r="M3003" i="1"/>
  <c r="M3015" i="1"/>
  <c r="O3179" i="1"/>
  <c r="M3028" i="1"/>
  <c r="O3192" i="1"/>
  <c r="M3031" i="1"/>
  <c r="O3195" i="1"/>
  <c r="M3033" i="1"/>
  <c r="O3197" i="1"/>
  <c r="M3035" i="1"/>
  <c r="O3199" i="1"/>
  <c r="M3042" i="1"/>
  <c r="O3206" i="1"/>
  <c r="M3045" i="1"/>
  <c r="O3209" i="1"/>
  <c r="M3049" i="1"/>
  <c r="O3213" i="1"/>
  <c r="M3051" i="1"/>
  <c r="O3215" i="1"/>
  <c r="O3258" i="1"/>
  <c r="M3094" i="1"/>
  <c r="O3289" i="1"/>
  <c r="M3125" i="1"/>
  <c r="O3244" i="1"/>
  <c r="M3080" i="1"/>
  <c r="O3247" i="1"/>
  <c r="M3083" i="1"/>
  <c r="O3251" i="1"/>
  <c r="M3087" i="1"/>
  <c r="O3255" i="1"/>
  <c r="M3091" i="1"/>
  <c r="O3260" i="1"/>
  <c r="M3096" i="1"/>
  <c r="O3270" i="1"/>
  <c r="M3106" i="1"/>
  <c r="O3094" i="1"/>
  <c r="O3125" i="1"/>
  <c r="O3036" i="1"/>
  <c r="O3038" i="1"/>
  <c r="O3039" i="1"/>
  <c r="O3041" i="1"/>
  <c r="O3123" i="1"/>
  <c r="O3086" i="1"/>
  <c r="O3093" i="1"/>
  <c r="O3098" i="1"/>
  <c r="O3133" i="1"/>
  <c r="U3133" i="1" s="1"/>
  <c r="M919" i="1"/>
  <c r="R919" i="1" s="1"/>
  <c r="M991" i="1"/>
  <c r="R991" i="1" s="1"/>
  <c r="M1063" i="1"/>
  <c r="R1063" i="1" s="1"/>
  <c r="M920" i="1"/>
  <c r="R920" i="1" s="1"/>
  <c r="M992" i="1"/>
  <c r="R992" i="1" s="1"/>
  <c r="M993" i="1"/>
  <c r="R993" i="1" s="1"/>
  <c r="M1059" i="1"/>
  <c r="R1059" i="1" s="1"/>
  <c r="M990" i="1"/>
  <c r="M1060" i="1"/>
  <c r="R1060" i="1" s="1"/>
  <c r="M1067" i="1"/>
  <c r="R1067" i="1" s="1"/>
  <c r="E98" i="231"/>
  <c r="F98" i="231" s="1"/>
  <c r="G98" i="231" s="1"/>
  <c r="D2" i="192"/>
  <c r="H2" i="192" s="1"/>
  <c r="I186" i="192"/>
  <c r="H186" i="5" s="1"/>
  <c r="F263" i="192"/>
  <c r="I263" i="192" s="1"/>
  <c r="F169" i="192"/>
  <c r="I169" i="192" s="1"/>
  <c r="F180" i="192"/>
  <c r="I180" i="192" s="1"/>
  <c r="I189" i="192"/>
  <c r="H189" i="5" s="1"/>
  <c r="F267" i="192"/>
  <c r="I267" i="192" s="1"/>
  <c r="F271" i="192"/>
  <c r="I271" i="192" s="1"/>
  <c r="F275" i="192"/>
  <c r="I275" i="192" s="1"/>
  <c r="I351" i="192"/>
  <c r="H351" i="5" s="1"/>
  <c r="I345" i="192"/>
  <c r="H345" i="5" s="1"/>
  <c r="I194" i="192"/>
  <c r="H194" i="5" s="1"/>
  <c r="I307" i="192"/>
  <c r="H307" i="5" s="1"/>
  <c r="I315" i="192"/>
  <c r="H315" i="5" s="1"/>
  <c r="H400" i="5"/>
  <c r="I204" i="192"/>
  <c r="H204" i="5" s="1"/>
  <c r="I207" i="192"/>
  <c r="H207" i="5" s="1"/>
  <c r="I217" i="192"/>
  <c r="H217" i="5" s="1"/>
  <c r="I235" i="192"/>
  <c r="F251" i="192"/>
  <c r="I251" i="192" s="1"/>
  <c r="F259" i="192"/>
  <c r="I259" i="192" s="1"/>
  <c r="I383" i="192"/>
  <c r="H383" i="5" s="1"/>
  <c r="I196" i="192"/>
  <c r="H196" i="5" s="1"/>
  <c r="F279" i="192"/>
  <c r="I279" i="192" s="1"/>
  <c r="I356" i="192"/>
  <c r="H356" i="5" s="1"/>
  <c r="I363" i="192"/>
  <c r="H363" i="5" s="1"/>
  <c r="I379" i="192"/>
  <c r="H379" i="5" s="1"/>
  <c r="F385" i="192"/>
  <c r="I385" i="192" s="1"/>
  <c r="G354" i="192"/>
  <c r="I354" i="192" s="1"/>
  <c r="H354" i="5" s="1"/>
  <c r="I188" i="192"/>
  <c r="H188" i="5" s="1"/>
  <c r="I206" i="192"/>
  <c r="H206" i="5" s="1"/>
  <c r="I350" i="192"/>
  <c r="H350" i="5" s="1"/>
  <c r="I368" i="192"/>
  <c r="H368" i="5" s="1"/>
  <c r="I343" i="192"/>
  <c r="H343" i="5" s="1"/>
  <c r="I372" i="192"/>
  <c r="H372" i="5" s="1"/>
  <c r="F172" i="192"/>
  <c r="I172" i="192" s="1"/>
  <c r="I192" i="192"/>
  <c r="H192" i="5" s="1"/>
  <c r="I216" i="192"/>
  <c r="H216" i="5" s="1"/>
  <c r="I310" i="192"/>
  <c r="H310" i="5" s="1"/>
  <c r="I316" i="192"/>
  <c r="H316" i="5" s="1"/>
  <c r="I329" i="192"/>
  <c r="H329" i="5" s="1"/>
  <c r="I349" i="192"/>
  <c r="H349" i="5" s="1"/>
  <c r="I359" i="192"/>
  <c r="H359" i="5" s="1"/>
  <c r="I361" i="192"/>
  <c r="H361" i="5" s="1"/>
  <c r="I393" i="192"/>
  <c r="I364" i="192"/>
  <c r="H364" i="5" s="1"/>
  <c r="I374" i="192"/>
  <c r="H374" i="5" s="1"/>
  <c r="I360" i="192"/>
  <c r="H360" i="5" s="1"/>
  <c r="I357" i="192"/>
  <c r="H357" i="5" s="1"/>
  <c r="I202" i="192"/>
  <c r="H202" i="5" s="1"/>
  <c r="I218" i="192"/>
  <c r="H218" i="5" s="1"/>
  <c r="I362" i="192"/>
  <c r="H362" i="5" s="1"/>
  <c r="I396" i="192"/>
  <c r="H396" i="5" s="1"/>
  <c r="O854" i="1"/>
  <c r="O856" i="1"/>
  <c r="O918" i="1"/>
  <c r="F183" i="192"/>
  <c r="I183" i="192" s="1"/>
  <c r="I199" i="192"/>
  <c r="H199" i="5" s="1"/>
  <c r="O853" i="1"/>
  <c r="O855" i="1"/>
  <c r="O857" i="1"/>
  <c r="O990" i="1"/>
  <c r="O1058" i="1"/>
  <c r="I352" i="192"/>
  <c r="H352" i="5" s="1"/>
  <c r="I210" i="192"/>
  <c r="H210" i="5" s="1"/>
  <c r="I331" i="192"/>
  <c r="H331" i="5" s="1"/>
  <c r="F255" i="192"/>
  <c r="I255" i="192" s="1"/>
  <c r="G23" i="192"/>
  <c r="I23" i="192" s="1"/>
  <c r="O2647" i="246" s="1"/>
  <c r="I366" i="192"/>
  <c r="H366" i="5" s="1"/>
  <c r="I378" i="192"/>
  <c r="I382" i="192"/>
  <c r="H382" i="5" s="1"/>
  <c r="M857" i="1"/>
  <c r="I264" i="192"/>
  <c r="H264" i="5" s="1"/>
  <c r="I268" i="192"/>
  <c r="H268" i="5" s="1"/>
  <c r="I272" i="192"/>
  <c r="H272" i="5" s="1"/>
  <c r="I318" i="192"/>
  <c r="M856" i="1"/>
  <c r="M855" i="1"/>
  <c r="M854" i="1"/>
  <c r="M918" i="1"/>
  <c r="A59" i="193"/>
  <c r="A145" i="193"/>
  <c r="A213" i="193"/>
  <c r="A221" i="193"/>
  <c r="A253" i="193"/>
  <c r="A228" i="193"/>
  <c r="A210" i="193"/>
  <c r="A434" i="193"/>
  <c r="A472" i="193"/>
  <c r="A333" i="193"/>
  <c r="A353" i="193"/>
  <c r="A361" i="193"/>
  <c r="A383" i="193"/>
  <c r="A385" i="193"/>
  <c r="A407" i="193"/>
  <c r="A190" i="193"/>
  <c r="A220" i="193"/>
  <c r="A232" i="193"/>
  <c r="I252" i="192"/>
  <c r="H252" i="5" s="1"/>
  <c r="I226" i="192"/>
  <c r="H226" i="5" s="1"/>
  <c r="I314" i="192"/>
  <c r="H314" i="5" s="1"/>
  <c r="F486" i="193"/>
  <c r="F9" i="193" s="1"/>
  <c r="I157" i="192"/>
  <c r="H157" i="5" s="1"/>
  <c r="I309" i="192"/>
  <c r="H309" i="5" s="1"/>
  <c r="F8" i="193"/>
  <c r="D8" i="193" s="1"/>
  <c r="I167" i="192"/>
  <c r="I165" i="192"/>
  <c r="I203" i="192"/>
  <c r="H203" i="5" s="1"/>
  <c r="I369" i="192"/>
  <c r="H369" i="5" s="1"/>
  <c r="G13" i="192"/>
  <c r="I13" i="192" s="1"/>
  <c r="O2640" i="246" s="1"/>
  <c r="I166" i="192"/>
  <c r="I193" i="192"/>
  <c r="H193" i="5" s="1"/>
  <c r="I215" i="192"/>
  <c r="H215" i="5" s="1"/>
  <c r="I313" i="192"/>
  <c r="H313" i="5" s="1"/>
  <c r="I395" i="192"/>
  <c r="H395" i="5" s="1"/>
  <c r="A391" i="193"/>
  <c r="A278" i="193"/>
  <c r="A354" i="193"/>
  <c r="A382" i="193"/>
  <c r="A384" i="193"/>
  <c r="A388" i="193"/>
  <c r="A390" i="193"/>
  <c r="A392" i="193"/>
  <c r="A406" i="193"/>
  <c r="A420" i="193"/>
  <c r="A424" i="193"/>
  <c r="I174" i="192"/>
  <c r="H174" i="5" s="1"/>
  <c r="I138" i="192"/>
  <c r="O2753" i="246" s="1"/>
  <c r="I142" i="192"/>
  <c r="O1058" i="246" s="1"/>
  <c r="R1058" i="246" s="1"/>
  <c r="I146" i="192"/>
  <c r="O1062" i="246" s="1"/>
  <c r="R1062" i="246" s="1"/>
  <c r="I153" i="192"/>
  <c r="I158" i="192"/>
  <c r="H158" i="5" s="1"/>
  <c r="I162" i="192"/>
  <c r="H162" i="5" s="1"/>
  <c r="I348" i="192"/>
  <c r="H348" i="5" s="1"/>
  <c r="A81" i="193"/>
  <c r="A102" i="193"/>
  <c r="A123" i="193"/>
  <c r="A357" i="193"/>
  <c r="A376" i="193"/>
  <c r="A397" i="193"/>
  <c r="A80" i="193"/>
  <c r="A98" i="193"/>
  <c r="A118" i="193"/>
  <c r="A120" i="193"/>
  <c r="A121" i="193"/>
  <c r="A122" i="193"/>
  <c r="A126" i="193"/>
  <c r="A364" i="193"/>
  <c r="A365" i="193"/>
  <c r="A370" i="193"/>
  <c r="A377" i="193"/>
  <c r="A381" i="193"/>
  <c r="A398" i="193"/>
  <c r="I137" i="192"/>
  <c r="O2752" i="246" s="1"/>
  <c r="I152" i="192"/>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16" i="193"/>
  <c r="A19"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A15" i="193"/>
  <c r="I141" i="192"/>
  <c r="I145" i="192"/>
  <c r="O1061" i="246" s="1"/>
  <c r="R1061" i="246"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77" i="192"/>
  <c r="A18" i="193"/>
  <c r="A22"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0"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60" i="192"/>
  <c r="H160" i="5" s="1"/>
  <c r="I185" i="192"/>
  <c r="H185" i="5" s="1"/>
  <c r="I187" i="192"/>
  <c r="H187"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195" i="192"/>
  <c r="H195" i="5" s="1"/>
  <c r="I257" i="192"/>
  <c r="H257" i="5" s="1"/>
  <c r="I205" i="192"/>
  <c r="H205" i="5" s="1"/>
  <c r="I224" i="192"/>
  <c r="H224" i="5" s="1"/>
  <c r="I312" i="192"/>
  <c r="I175" i="192"/>
  <c r="I214" i="192"/>
  <c r="H214" i="5" s="1"/>
  <c r="I266" i="192"/>
  <c r="I273" i="192"/>
  <c r="H273" i="5" s="1"/>
  <c r="I308" i="192"/>
  <c r="H308" i="5" s="1"/>
  <c r="I355" i="192"/>
  <c r="H355" i="5" s="1"/>
  <c r="I380" i="192"/>
  <c r="H380" i="5" s="1"/>
  <c r="I191" i="192"/>
  <c r="H191" i="5" s="1"/>
  <c r="I209" i="192"/>
  <c r="H209" i="5" s="1"/>
  <c r="I201" i="192"/>
  <c r="I221" i="192"/>
  <c r="I253" i="192"/>
  <c r="H253" i="5" s="1"/>
  <c r="I265" i="192"/>
  <c r="H265" i="5" s="1"/>
  <c r="I341" i="192"/>
  <c r="I376" i="192"/>
  <c r="H376" i="5" s="1"/>
  <c r="I225" i="192"/>
  <c r="H225" i="5" s="1"/>
  <c r="I258" i="192"/>
  <c r="I340" i="192"/>
  <c r="H340" i="5" s="1"/>
  <c r="I381" i="192"/>
  <c r="H381" i="5" s="1"/>
  <c r="I398" i="192"/>
  <c r="H398"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5" i="192"/>
  <c r="I190" i="192"/>
  <c r="H190" i="5" s="1"/>
  <c r="I200" i="192"/>
  <c r="I208" i="192"/>
  <c r="H208" i="5" s="1"/>
  <c r="I211" i="192"/>
  <c r="H211" i="5" s="1"/>
  <c r="I213" i="192"/>
  <c r="H213" i="5" s="1"/>
  <c r="I320" i="192"/>
  <c r="H320" i="5" s="1"/>
  <c r="I367" i="192"/>
  <c r="H367" i="5" s="1"/>
  <c r="I370" i="192"/>
  <c r="H370" i="5" s="1"/>
  <c r="I371" i="192"/>
  <c r="H371" i="5" s="1"/>
  <c r="F176" i="192"/>
  <c r="I176" i="192" s="1"/>
  <c r="I212" i="192"/>
  <c r="H212" i="5" s="1"/>
  <c r="I311" i="192"/>
  <c r="H311" i="5" s="1"/>
  <c r="I394" i="192"/>
  <c r="H394" i="5" s="1"/>
  <c r="I220" i="192"/>
  <c r="I317" i="192"/>
  <c r="H317" i="5" s="1"/>
  <c r="I333" i="192"/>
  <c r="H333" i="5" s="1"/>
  <c r="I346" i="192"/>
  <c r="H346" i="5" s="1"/>
  <c r="I375" i="192"/>
  <c r="H375" i="5" s="1"/>
  <c r="K403" i="192"/>
  <c r="K2" i="192" s="1"/>
  <c r="D917" i="1"/>
  <c r="D916" i="1"/>
  <c r="D915" i="1"/>
  <c r="D1057" i="1"/>
  <c r="D1056" i="1"/>
  <c r="D1052" i="1"/>
  <c r="D1051" i="1"/>
  <c r="D1050" i="1"/>
  <c r="D1049" i="1"/>
  <c r="D1048" i="1"/>
  <c r="D1047" i="1"/>
  <c r="D989" i="1"/>
  <c r="D988" i="1"/>
  <c r="D987" i="1"/>
  <c r="D986" i="1"/>
  <c r="D851" i="1"/>
  <c r="D850" i="1"/>
  <c r="D849" i="1"/>
  <c r="D848" i="1"/>
  <c r="D847" i="1"/>
  <c r="F90" i="1"/>
  <c r="N2" i="192" l="1"/>
  <c r="H37" i="5" s="1"/>
  <c r="O2760" i="246"/>
  <c r="S2760" i="246" s="1"/>
  <c r="O3118" i="1"/>
  <c r="U3118" i="1" s="1"/>
  <c r="O3282" i="1"/>
  <c r="S3282" i="1" s="1"/>
  <c r="M3118" i="1"/>
  <c r="S3118" i="1" s="1"/>
  <c r="O2633" i="246"/>
  <c r="S2633" i="246" s="1"/>
  <c r="O2279" i="246"/>
  <c r="M2309" i="1"/>
  <c r="U2995" i="1"/>
  <c r="O3009" i="1" s="1"/>
  <c r="O2637" i="246"/>
  <c r="S2637" i="246" s="1"/>
  <c r="O2667" i="246"/>
  <c r="S2667" i="246" s="1"/>
  <c r="O1068" i="246"/>
  <c r="R1068" i="246" s="1"/>
  <c r="O2775" i="246"/>
  <c r="S2775" i="246" s="1"/>
  <c r="O2719" i="246"/>
  <c r="S2719" i="246" s="1"/>
  <c r="O2656" i="246"/>
  <c r="O853" i="246"/>
  <c r="R853" i="246" s="1"/>
  <c r="O3178" i="1"/>
  <c r="M3014" i="1"/>
  <c r="M853" i="1"/>
  <c r="R853" i="1" s="1"/>
  <c r="M3025" i="1"/>
  <c r="S3025" i="1" s="1"/>
  <c r="O3077" i="1"/>
  <c r="U3077" i="1" s="1"/>
  <c r="O3025" i="1"/>
  <c r="U3025" i="1" s="1"/>
  <c r="O3155" i="1"/>
  <c r="S3155" i="1" s="1"/>
  <c r="S2991" i="1"/>
  <c r="O3297" i="1"/>
  <c r="S3297" i="1" s="1"/>
  <c r="M3133" i="1"/>
  <c r="S3133" i="1" s="1"/>
  <c r="O3189" i="1"/>
  <c r="S3189" i="1" s="1"/>
  <c r="M3005" i="1"/>
  <c r="O3169" i="1"/>
  <c r="O3275" i="1"/>
  <c r="M3111" i="1"/>
  <c r="O3274" i="1"/>
  <c r="M3110" i="1"/>
  <c r="M2998" i="1"/>
  <c r="O3162" i="1"/>
  <c r="R990" i="1"/>
  <c r="M1061" i="1"/>
  <c r="R1061" i="1" s="1"/>
  <c r="M1068" i="1"/>
  <c r="R1068" i="1" s="1"/>
  <c r="M1062" i="1"/>
  <c r="R1062" i="1" s="1"/>
  <c r="E99" i="231"/>
  <c r="F99" i="231" s="1"/>
  <c r="G99" i="231" s="1"/>
  <c r="R918" i="1"/>
  <c r="R855" i="1"/>
  <c r="R856" i="1"/>
  <c r="R854" i="1"/>
  <c r="R857" i="1"/>
  <c r="M1058" i="1"/>
  <c r="R1058" i="1" s="1"/>
  <c r="G403" i="192"/>
  <c r="G2" i="192" s="1"/>
  <c r="I403" i="192"/>
  <c r="I2" i="192" s="1"/>
  <c r="F403"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M18" i="189"/>
  <c r="M16" i="189"/>
  <c r="M15"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1" i="189"/>
  <c r="L20" i="189"/>
  <c r="L19" i="189"/>
  <c r="L17" i="189"/>
  <c r="A403" i="190"/>
  <c r="M400" i="190"/>
  <c r="G400" i="190" s="1"/>
  <c r="I400" i="190" s="1"/>
  <c r="K400" i="190"/>
  <c r="M399" i="190"/>
  <c r="G399" i="190" s="1"/>
  <c r="K399" i="190"/>
  <c r="M398" i="190"/>
  <c r="K398" i="190"/>
  <c r="F398" i="190" s="1"/>
  <c r="M397" i="190"/>
  <c r="G397" i="190" s="1"/>
  <c r="I397" i="190" s="1"/>
  <c r="K397" i="190"/>
  <c r="M396" i="190"/>
  <c r="G396" i="190" s="1"/>
  <c r="K396" i="190"/>
  <c r="F396" i="190" s="1"/>
  <c r="M395" i="190"/>
  <c r="G395" i="190" s="1"/>
  <c r="K395" i="190"/>
  <c r="F395" i="190" s="1"/>
  <c r="M394" i="190"/>
  <c r="G394" i="190" s="1"/>
  <c r="K394" i="190"/>
  <c r="F394" i="190" s="1"/>
  <c r="M393" i="190"/>
  <c r="G393" i="190" s="1"/>
  <c r="K393" i="190"/>
  <c r="F393" i="190" s="1"/>
  <c r="M392" i="190"/>
  <c r="G392" i="190" s="1"/>
  <c r="K392" i="190"/>
  <c r="M391" i="190"/>
  <c r="G391" i="190" s="1"/>
  <c r="I391" i="190" s="1"/>
  <c r="G391" i="5" s="1"/>
  <c r="K391" i="190"/>
  <c r="M390" i="190"/>
  <c r="G390" i="190" s="1"/>
  <c r="I390" i="190" s="1"/>
  <c r="G390" i="5" s="1"/>
  <c r="K390" i="190"/>
  <c r="M389" i="190"/>
  <c r="G389" i="190" s="1"/>
  <c r="K389" i="190"/>
  <c r="M388" i="190"/>
  <c r="G388" i="190" s="1"/>
  <c r="K388" i="190"/>
  <c r="M387" i="190"/>
  <c r="G387" i="190" s="1"/>
  <c r="I387" i="190" s="1"/>
  <c r="G387" i="5" s="1"/>
  <c r="K387" i="190"/>
  <c r="M386" i="190"/>
  <c r="G386" i="190" s="1"/>
  <c r="I386" i="190" s="1"/>
  <c r="G386" i="5" s="1"/>
  <c r="K386" i="190"/>
  <c r="M385" i="190"/>
  <c r="G385" i="190" s="1"/>
  <c r="K385" i="190"/>
  <c r="M384" i="190"/>
  <c r="G384" i="190" s="1"/>
  <c r="K384" i="190"/>
  <c r="M383" i="190"/>
  <c r="G383" i="190" s="1"/>
  <c r="K383" i="190"/>
  <c r="F383" i="190" s="1"/>
  <c r="M382" i="190"/>
  <c r="G382" i="190" s="1"/>
  <c r="K382" i="190"/>
  <c r="F382" i="190" s="1"/>
  <c r="M381" i="190"/>
  <c r="G381" i="190" s="1"/>
  <c r="K381" i="190"/>
  <c r="F381" i="190" s="1"/>
  <c r="M380" i="190"/>
  <c r="G380" i="190" s="1"/>
  <c r="K380" i="190"/>
  <c r="F380" i="190" s="1"/>
  <c r="M379" i="190"/>
  <c r="G379" i="190" s="1"/>
  <c r="K379" i="190"/>
  <c r="F379" i="190" s="1"/>
  <c r="M378" i="190"/>
  <c r="G378" i="190" s="1"/>
  <c r="K378" i="190"/>
  <c r="M377" i="190"/>
  <c r="G377" i="190" s="1"/>
  <c r="I377" i="190" s="1"/>
  <c r="K377" i="190"/>
  <c r="M376" i="190"/>
  <c r="G376" i="190" s="1"/>
  <c r="K376" i="190"/>
  <c r="F376" i="190" s="1"/>
  <c r="M375" i="190"/>
  <c r="G375" i="190" s="1"/>
  <c r="K375" i="190"/>
  <c r="F375" i="190" s="1"/>
  <c r="M374" i="190"/>
  <c r="G374" i="190" s="1"/>
  <c r="K374" i="190"/>
  <c r="F374" i="190" s="1"/>
  <c r="M373" i="190"/>
  <c r="G373" i="190" s="1"/>
  <c r="I373" i="190" s="1"/>
  <c r="K373" i="190"/>
  <c r="M372" i="190"/>
  <c r="G372" i="190" s="1"/>
  <c r="K372" i="190"/>
  <c r="F372" i="190" s="1"/>
  <c r="M371" i="190"/>
  <c r="G371" i="190" s="1"/>
  <c r="K371" i="190"/>
  <c r="F371" i="190" s="1"/>
  <c r="M370" i="190"/>
  <c r="G370" i="190" s="1"/>
  <c r="K370" i="190"/>
  <c r="F370" i="190" s="1"/>
  <c r="M369" i="190"/>
  <c r="G369" i="190" s="1"/>
  <c r="K369" i="190"/>
  <c r="F369" i="190" s="1"/>
  <c r="M368" i="190"/>
  <c r="G368" i="190" s="1"/>
  <c r="K368" i="190"/>
  <c r="F368" i="190" s="1"/>
  <c r="M367" i="190"/>
  <c r="K367" i="190"/>
  <c r="F367" i="190" s="1"/>
  <c r="M366" i="190"/>
  <c r="G366" i="190" s="1"/>
  <c r="K366" i="190"/>
  <c r="F366" i="190" s="1"/>
  <c r="M365" i="190"/>
  <c r="G365" i="190" s="1"/>
  <c r="I365" i="190" s="1"/>
  <c r="K365" i="190"/>
  <c r="M364" i="190"/>
  <c r="G364" i="190" s="1"/>
  <c r="K364" i="190"/>
  <c r="F364" i="190" s="1"/>
  <c r="M363" i="190"/>
  <c r="G363" i="190" s="1"/>
  <c r="K363" i="190"/>
  <c r="F363" i="190" s="1"/>
  <c r="M362" i="190"/>
  <c r="K362" i="190"/>
  <c r="F362" i="190" s="1"/>
  <c r="M361" i="190"/>
  <c r="G361" i="190" s="1"/>
  <c r="K361" i="190"/>
  <c r="F361" i="190" s="1"/>
  <c r="M360" i="190"/>
  <c r="G360" i="190" s="1"/>
  <c r="K360" i="190"/>
  <c r="F360" i="190" s="1"/>
  <c r="M359" i="190"/>
  <c r="G359" i="190" s="1"/>
  <c r="K359" i="190"/>
  <c r="F359" i="190" s="1"/>
  <c r="M358" i="190"/>
  <c r="G358" i="190" s="1"/>
  <c r="I358" i="190" s="1"/>
  <c r="K358" i="190"/>
  <c r="M357" i="190"/>
  <c r="G357" i="190" s="1"/>
  <c r="K357" i="190"/>
  <c r="F357" i="190" s="1"/>
  <c r="M356" i="190"/>
  <c r="G356" i="190" s="1"/>
  <c r="K356" i="190"/>
  <c r="F356" i="190" s="1"/>
  <c r="M355" i="190"/>
  <c r="G355" i="190" s="1"/>
  <c r="K355" i="190"/>
  <c r="F355" i="190" s="1"/>
  <c r="M354" i="190"/>
  <c r="K354" i="190"/>
  <c r="F354" i="190" s="1"/>
  <c r="M353" i="190"/>
  <c r="G353" i="190" s="1"/>
  <c r="I353" i="190" s="1"/>
  <c r="K353" i="190"/>
  <c r="M352" i="190"/>
  <c r="G352" i="190" s="1"/>
  <c r="K352" i="190"/>
  <c r="F352" i="190" s="1"/>
  <c r="M351" i="190"/>
  <c r="G351" i="190" s="1"/>
  <c r="K351" i="190"/>
  <c r="F351" i="190" s="1"/>
  <c r="M350" i="190"/>
  <c r="G350" i="190" s="1"/>
  <c r="K350" i="190"/>
  <c r="F350" i="190" s="1"/>
  <c r="M349" i="190"/>
  <c r="G349" i="190" s="1"/>
  <c r="K349" i="190"/>
  <c r="F349" i="190" s="1"/>
  <c r="M348" i="190"/>
  <c r="G348" i="190" s="1"/>
  <c r="K348" i="190"/>
  <c r="F348" i="190" s="1"/>
  <c r="M346" i="190"/>
  <c r="G346" i="190" s="1"/>
  <c r="K346" i="190"/>
  <c r="F346" i="190" s="1"/>
  <c r="M345" i="190"/>
  <c r="G345" i="190" s="1"/>
  <c r="K345" i="190"/>
  <c r="F345" i="190" s="1"/>
  <c r="M343" i="190"/>
  <c r="G343" i="190" s="1"/>
  <c r="K343" i="190"/>
  <c r="F343" i="190" s="1"/>
  <c r="M341" i="190"/>
  <c r="G341" i="190" s="1"/>
  <c r="K341" i="190"/>
  <c r="M340" i="190"/>
  <c r="G340" i="190" s="1"/>
  <c r="K340" i="190"/>
  <c r="F340" i="190" s="1"/>
  <c r="M333" i="190"/>
  <c r="G333" i="190" s="1"/>
  <c r="K333" i="190"/>
  <c r="F333" i="190" s="1"/>
  <c r="M331" i="190"/>
  <c r="G331" i="190" s="1"/>
  <c r="K331" i="190"/>
  <c r="F331" i="190" s="1"/>
  <c r="M329" i="190"/>
  <c r="G329" i="190" s="1"/>
  <c r="K329" i="190"/>
  <c r="F329" i="190" s="1"/>
  <c r="M320" i="190"/>
  <c r="G320" i="190" s="1"/>
  <c r="K320" i="190"/>
  <c r="F320" i="190" s="1"/>
  <c r="M318" i="190"/>
  <c r="G318" i="190" s="1"/>
  <c r="I318" i="190" s="1"/>
  <c r="K318" i="190"/>
  <c r="M317" i="190"/>
  <c r="G317" i="190" s="1"/>
  <c r="K317" i="190"/>
  <c r="F317" i="190" s="1"/>
  <c r="M316" i="190"/>
  <c r="G316" i="190" s="1"/>
  <c r="K316" i="190"/>
  <c r="F316" i="190" s="1"/>
  <c r="M315" i="190"/>
  <c r="G315" i="190" s="1"/>
  <c r="K315" i="190"/>
  <c r="F315" i="190" s="1"/>
  <c r="M314" i="190"/>
  <c r="G314" i="190" s="1"/>
  <c r="K314" i="190"/>
  <c r="F314" i="190" s="1"/>
  <c r="M313" i="190"/>
  <c r="G313" i="190" s="1"/>
  <c r="K313" i="190"/>
  <c r="F313" i="190" s="1"/>
  <c r="M312" i="190"/>
  <c r="G312" i="190" s="1"/>
  <c r="K312" i="190"/>
  <c r="M311" i="190"/>
  <c r="G311" i="190" s="1"/>
  <c r="K311" i="190"/>
  <c r="F311" i="190" s="1"/>
  <c r="M310" i="190"/>
  <c r="G310" i="190" s="1"/>
  <c r="K310" i="190"/>
  <c r="F310" i="190" s="1"/>
  <c r="M309" i="190"/>
  <c r="G309" i="190" s="1"/>
  <c r="K309" i="190"/>
  <c r="F309" i="190" s="1"/>
  <c r="M308" i="190"/>
  <c r="G308" i="190" s="1"/>
  <c r="K308" i="190"/>
  <c r="F308" i="190" s="1"/>
  <c r="M307" i="190"/>
  <c r="G307" i="190" s="1"/>
  <c r="K307" i="190"/>
  <c r="F307" i="190" s="1"/>
  <c r="M306" i="190"/>
  <c r="G306" i="190" s="1"/>
  <c r="K306" i="190"/>
  <c r="M301" i="190"/>
  <c r="G301" i="190" s="1"/>
  <c r="I301" i="190" s="1"/>
  <c r="K301" i="190"/>
  <c r="M282" i="190"/>
  <c r="G282" i="190" s="1"/>
  <c r="I282" i="190" s="1"/>
  <c r="K282" i="190"/>
  <c r="M281" i="190"/>
  <c r="G281" i="190" s="1"/>
  <c r="I281" i="190" s="1"/>
  <c r="G281" i="5" s="1"/>
  <c r="K281" i="190"/>
  <c r="M280" i="190"/>
  <c r="G280" i="190" s="1"/>
  <c r="K280" i="190"/>
  <c r="M279" i="190"/>
  <c r="G279" i="190" s="1"/>
  <c r="K279" i="190"/>
  <c r="M278" i="190"/>
  <c r="G278" i="190" s="1"/>
  <c r="I278" i="190" s="1"/>
  <c r="K278" i="190"/>
  <c r="M277" i="190"/>
  <c r="G277" i="190" s="1"/>
  <c r="I277" i="190" s="1"/>
  <c r="G277" i="5" s="1"/>
  <c r="K277" i="190"/>
  <c r="M276" i="190"/>
  <c r="G276" i="190" s="1"/>
  <c r="K276" i="190"/>
  <c r="M275" i="190"/>
  <c r="G275" i="190" s="1"/>
  <c r="K275" i="190"/>
  <c r="M274" i="190"/>
  <c r="G274" i="190" s="1"/>
  <c r="I274" i="190" s="1"/>
  <c r="K274" i="190"/>
  <c r="M273" i="190"/>
  <c r="G273" i="190" s="1"/>
  <c r="K273" i="190"/>
  <c r="M272" i="190"/>
  <c r="G272" i="190" s="1"/>
  <c r="K272" i="190"/>
  <c r="M271" i="190"/>
  <c r="G271" i="190" s="1"/>
  <c r="K271" i="190"/>
  <c r="M270" i="190"/>
  <c r="G270" i="190" s="1"/>
  <c r="I270" i="190" s="1"/>
  <c r="K270" i="190"/>
  <c r="M269" i="190"/>
  <c r="G269" i="190" s="1"/>
  <c r="I269" i="190" s="1"/>
  <c r="G269" i="5" s="1"/>
  <c r="K269" i="190"/>
  <c r="M268" i="190"/>
  <c r="G268" i="190" s="1"/>
  <c r="I268" i="190" s="1"/>
  <c r="G268" i="5" s="1"/>
  <c r="K268" i="190"/>
  <c r="M267" i="190"/>
  <c r="G267" i="190" s="1"/>
  <c r="K267" i="190"/>
  <c r="M266" i="190"/>
  <c r="G266" i="190" s="1"/>
  <c r="I266" i="190" s="1"/>
  <c r="K266" i="190"/>
  <c r="M265" i="190"/>
  <c r="G265" i="190" s="1"/>
  <c r="K265" i="190"/>
  <c r="M264" i="190"/>
  <c r="G264" i="190" s="1"/>
  <c r="K264" i="190"/>
  <c r="M263" i="190"/>
  <c r="G263" i="190" s="1"/>
  <c r="K263" i="190"/>
  <c r="M262" i="190"/>
  <c r="G262" i="190" s="1"/>
  <c r="I262" i="190" s="1"/>
  <c r="K262" i="190"/>
  <c r="M261" i="190"/>
  <c r="G261" i="190" s="1"/>
  <c r="I261" i="190" s="1"/>
  <c r="G261" i="5" s="1"/>
  <c r="K261" i="190"/>
  <c r="M260" i="190"/>
  <c r="G260" i="190" s="1"/>
  <c r="K260" i="190"/>
  <c r="M259" i="190"/>
  <c r="G259" i="190" s="1"/>
  <c r="K259" i="190"/>
  <c r="M258" i="190"/>
  <c r="G258" i="190" s="1"/>
  <c r="I258" i="190" s="1"/>
  <c r="K258" i="190"/>
  <c r="M257" i="190"/>
  <c r="G257" i="190" s="1"/>
  <c r="K257" i="190"/>
  <c r="M256" i="190"/>
  <c r="G256" i="190" s="1"/>
  <c r="K256" i="190"/>
  <c r="M255" i="190"/>
  <c r="G255" i="190" s="1"/>
  <c r="K255" i="190"/>
  <c r="M254" i="190"/>
  <c r="G254" i="190" s="1"/>
  <c r="I254" i="190" s="1"/>
  <c r="K254" i="190"/>
  <c r="M253" i="190"/>
  <c r="G253" i="190" s="1"/>
  <c r="I253" i="190" s="1"/>
  <c r="G253" i="5" s="1"/>
  <c r="K253" i="190"/>
  <c r="M252" i="190"/>
  <c r="G252" i="190" s="1"/>
  <c r="I252" i="190" s="1"/>
  <c r="G252" i="5" s="1"/>
  <c r="K252" i="190"/>
  <c r="M251" i="190"/>
  <c r="G251" i="190" s="1"/>
  <c r="K251" i="190"/>
  <c r="M250" i="190"/>
  <c r="G250" i="190" s="1"/>
  <c r="K250" i="190"/>
  <c r="M237" i="190"/>
  <c r="G237" i="190" s="1"/>
  <c r="K237" i="190"/>
  <c r="M236" i="190"/>
  <c r="G236" i="190" s="1"/>
  <c r="I236" i="190" s="1"/>
  <c r="G236" i="5" s="1"/>
  <c r="K236" i="190"/>
  <c r="M235" i="190"/>
  <c r="G235" i="190" s="1"/>
  <c r="K235" i="190"/>
  <c r="M234" i="190"/>
  <c r="G234" i="190" s="1"/>
  <c r="I234" i="190" s="1"/>
  <c r="K234" i="190"/>
  <c r="M231" i="190"/>
  <c r="G231" i="190" s="1"/>
  <c r="I231" i="190" s="1"/>
  <c r="G231" i="5" s="1"/>
  <c r="K231" i="190"/>
  <c r="M230" i="190"/>
  <c r="G230" i="190" s="1"/>
  <c r="K230" i="190"/>
  <c r="M229" i="190"/>
  <c r="G229" i="190" s="1"/>
  <c r="K229" i="190"/>
  <c r="M228" i="190"/>
  <c r="G228" i="190" s="1"/>
  <c r="K228" i="190"/>
  <c r="M227" i="190"/>
  <c r="G227" i="190" s="1"/>
  <c r="K227" i="190"/>
  <c r="M226" i="190"/>
  <c r="G226" i="190" s="1"/>
  <c r="K226" i="190"/>
  <c r="M225" i="190"/>
  <c r="G225" i="190" s="1"/>
  <c r="K225" i="190"/>
  <c r="M224" i="190"/>
  <c r="G224" i="190" s="1"/>
  <c r="K224" i="190"/>
  <c r="M221" i="190"/>
  <c r="G221" i="190" s="1"/>
  <c r="K221" i="190"/>
  <c r="F221" i="190" s="1"/>
  <c r="M220" i="190"/>
  <c r="G220" i="190" s="1"/>
  <c r="K220" i="190"/>
  <c r="F220" i="190" s="1"/>
  <c r="M219" i="190"/>
  <c r="G219" i="190" s="1"/>
  <c r="K219" i="190"/>
  <c r="M218" i="190"/>
  <c r="G218" i="190" s="1"/>
  <c r="K218" i="190"/>
  <c r="F218" i="190" s="1"/>
  <c r="M217" i="190"/>
  <c r="G217" i="190" s="1"/>
  <c r="K217" i="190"/>
  <c r="F217" i="190" s="1"/>
  <c r="M216" i="190"/>
  <c r="G216" i="190" s="1"/>
  <c r="K216" i="190"/>
  <c r="F216" i="190" s="1"/>
  <c r="M215" i="190"/>
  <c r="G215" i="190" s="1"/>
  <c r="K215" i="190"/>
  <c r="F215" i="190" s="1"/>
  <c r="M214" i="190"/>
  <c r="G214" i="190" s="1"/>
  <c r="K214" i="190"/>
  <c r="F214" i="190" s="1"/>
  <c r="M213" i="190"/>
  <c r="G213" i="190" s="1"/>
  <c r="K213" i="190"/>
  <c r="F213" i="190" s="1"/>
  <c r="M212" i="190"/>
  <c r="G212" i="190" s="1"/>
  <c r="K212" i="190"/>
  <c r="F212" i="190" s="1"/>
  <c r="M211" i="190"/>
  <c r="G211" i="190" s="1"/>
  <c r="K211" i="190"/>
  <c r="F211" i="190" s="1"/>
  <c r="M210" i="190"/>
  <c r="G210" i="190" s="1"/>
  <c r="K210" i="190"/>
  <c r="F210" i="190" s="1"/>
  <c r="M209" i="190"/>
  <c r="K209" i="190"/>
  <c r="F209" i="190" s="1"/>
  <c r="M208" i="190"/>
  <c r="G208" i="190" s="1"/>
  <c r="K208" i="190"/>
  <c r="F208" i="190" s="1"/>
  <c r="M207" i="190"/>
  <c r="G207" i="190" s="1"/>
  <c r="K207" i="190"/>
  <c r="F207" i="190" s="1"/>
  <c r="M206" i="190"/>
  <c r="K206" i="190"/>
  <c r="F206" i="190" s="1"/>
  <c r="M205" i="190"/>
  <c r="G205" i="190" s="1"/>
  <c r="K205" i="190"/>
  <c r="F205" i="190" s="1"/>
  <c r="M204" i="190"/>
  <c r="G204" i="190" s="1"/>
  <c r="K204" i="190"/>
  <c r="F204" i="190" s="1"/>
  <c r="M203" i="190"/>
  <c r="G203" i="190" s="1"/>
  <c r="K203" i="190"/>
  <c r="F203" i="190" s="1"/>
  <c r="M202" i="190"/>
  <c r="G202" i="190" s="1"/>
  <c r="K202" i="190"/>
  <c r="F202" i="190" s="1"/>
  <c r="M201" i="190"/>
  <c r="G201" i="190" s="1"/>
  <c r="K201" i="190"/>
  <c r="F201" i="190" s="1"/>
  <c r="M200" i="190"/>
  <c r="G200" i="190" s="1"/>
  <c r="K200" i="190"/>
  <c r="F200" i="190" s="1"/>
  <c r="M199" i="190"/>
  <c r="G199" i="190" s="1"/>
  <c r="K199" i="190"/>
  <c r="F199"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F191" i="190" s="1"/>
  <c r="M190" i="190"/>
  <c r="G190" i="190" s="1"/>
  <c r="K190" i="190"/>
  <c r="F190" i="190" s="1"/>
  <c r="M189" i="190"/>
  <c r="G189" i="190" s="1"/>
  <c r="K189" i="190"/>
  <c r="F189" i="190" s="1"/>
  <c r="M188" i="190"/>
  <c r="G188" i="190" s="1"/>
  <c r="K188" i="190"/>
  <c r="F188" i="190" s="1"/>
  <c r="M187" i="190"/>
  <c r="G187" i="190" s="1"/>
  <c r="K187" i="190"/>
  <c r="F187" i="190" s="1"/>
  <c r="M186" i="190"/>
  <c r="G186" i="190" s="1"/>
  <c r="K186" i="190"/>
  <c r="F186" i="190" s="1"/>
  <c r="M185" i="190"/>
  <c r="G185" i="190" s="1"/>
  <c r="K185" i="190"/>
  <c r="F185" i="190" s="1"/>
  <c r="M184" i="190"/>
  <c r="G184" i="190" s="1"/>
  <c r="K184" i="190"/>
  <c r="M183" i="190"/>
  <c r="G183" i="190" s="1"/>
  <c r="K183" i="190"/>
  <c r="M182" i="190"/>
  <c r="G182" i="190" s="1"/>
  <c r="I182" i="190" s="1"/>
  <c r="G182" i="5" s="1"/>
  <c r="K182" i="190"/>
  <c r="M181" i="190"/>
  <c r="G181" i="190" s="1"/>
  <c r="I181" i="190" s="1"/>
  <c r="G181" i="5" s="1"/>
  <c r="K181" i="190"/>
  <c r="M180" i="190"/>
  <c r="G180" i="190" s="1"/>
  <c r="K180" i="190"/>
  <c r="M179" i="190"/>
  <c r="G179" i="190" s="1"/>
  <c r="I179" i="190" s="1"/>
  <c r="K179" i="190"/>
  <c r="M178" i="190"/>
  <c r="G178" i="190" s="1"/>
  <c r="I178" i="190" s="1"/>
  <c r="G178" i="5" s="1"/>
  <c r="K178" i="190"/>
  <c r="M177" i="190"/>
  <c r="G177" i="190" s="1"/>
  <c r="K177" i="190"/>
  <c r="M176" i="190"/>
  <c r="G176" i="190" s="1"/>
  <c r="K176" i="190"/>
  <c r="M175" i="190"/>
  <c r="G175" i="190" s="1"/>
  <c r="I175" i="190" s="1"/>
  <c r="K175" i="190"/>
  <c r="M174" i="190"/>
  <c r="G174" i="190" s="1"/>
  <c r="I174" i="190" s="1"/>
  <c r="G174" i="5" s="1"/>
  <c r="K174" i="190"/>
  <c r="M173" i="190"/>
  <c r="G173" i="190" s="1"/>
  <c r="I173" i="190" s="1"/>
  <c r="G173" i="5" s="1"/>
  <c r="K173" i="190"/>
  <c r="M172" i="190"/>
  <c r="G172" i="190" s="1"/>
  <c r="K172" i="190"/>
  <c r="M171" i="190"/>
  <c r="G171" i="190" s="1"/>
  <c r="K171" i="190"/>
  <c r="M170" i="190"/>
  <c r="G170" i="190" s="1"/>
  <c r="I170" i="190" s="1"/>
  <c r="G170" i="5" s="1"/>
  <c r="K170" i="190"/>
  <c r="M169" i="190"/>
  <c r="G169" i="190" s="1"/>
  <c r="K169" i="190"/>
  <c r="M168" i="190"/>
  <c r="G168" i="190" s="1"/>
  <c r="K168" i="190"/>
  <c r="M167" i="190"/>
  <c r="K167" i="190"/>
  <c r="M166" i="190"/>
  <c r="K166" i="190"/>
  <c r="M165" i="190"/>
  <c r="K165" i="190"/>
  <c r="M164" i="190"/>
  <c r="G164" i="190" s="1"/>
  <c r="I164" i="190" s="1"/>
  <c r="G164" i="5" s="1"/>
  <c r="M163" i="190"/>
  <c r="G163" i="190" s="1"/>
  <c r="I163" i="190" s="1"/>
  <c r="G163" i="5" s="1"/>
  <c r="M162" i="190"/>
  <c r="G162" i="190" s="1"/>
  <c r="I162" i="190" s="1"/>
  <c r="G162" i="5" s="1"/>
  <c r="M160" i="190"/>
  <c r="G160" i="190" s="1"/>
  <c r="I160" i="190" s="1"/>
  <c r="G160" i="5" s="1"/>
  <c r="M159" i="190"/>
  <c r="G159" i="190" s="1"/>
  <c r="I159" i="190" s="1"/>
  <c r="M158" i="190"/>
  <c r="G158" i="190" s="1"/>
  <c r="I158" i="190" s="1"/>
  <c r="G158" i="5" s="1"/>
  <c r="M157" i="190"/>
  <c r="G157" i="190" s="1"/>
  <c r="I157" i="190" s="1"/>
  <c r="G157" i="5" s="1"/>
  <c r="M156" i="190"/>
  <c r="G156" i="190" s="1"/>
  <c r="I156" i="190" s="1"/>
  <c r="M154" i="190"/>
  <c r="G154" i="190" s="1"/>
  <c r="I154" i="190" s="1"/>
  <c r="M153" i="190"/>
  <c r="G153" i="190" s="1"/>
  <c r="I153" i="190" s="1"/>
  <c r="M152" i="190"/>
  <c r="G152" i="190" s="1"/>
  <c r="I152" i="190" s="1"/>
  <c r="O1057" i="246" s="1"/>
  <c r="R1057" i="246" s="1"/>
  <c r="O1057" i="1"/>
  <c r="M151" i="190"/>
  <c r="G151" i="190" s="1"/>
  <c r="I151" i="190" s="1"/>
  <c r="O1056" i="246" s="1"/>
  <c r="R1056" i="246" s="1"/>
  <c r="O1056" i="1"/>
  <c r="M147" i="190"/>
  <c r="G147" i="190" s="1"/>
  <c r="I147" i="190" s="1"/>
  <c r="O1052" i="246" s="1"/>
  <c r="R1052" i="246" s="1"/>
  <c r="O1052" i="1"/>
  <c r="M146" i="190"/>
  <c r="G146" i="190" s="1"/>
  <c r="I146" i="190" s="1"/>
  <c r="O1051" i="246" s="1"/>
  <c r="R1051" i="246" s="1"/>
  <c r="O1051" i="1"/>
  <c r="M145" i="190"/>
  <c r="G145" i="190" s="1"/>
  <c r="I145" i="190" s="1"/>
  <c r="O1050" i="246" s="1"/>
  <c r="R1050" i="246" s="1"/>
  <c r="O1050" i="1"/>
  <c r="M144" i="190"/>
  <c r="G144" i="190" s="1"/>
  <c r="I144" i="190" s="1"/>
  <c r="O1049" i="246" s="1"/>
  <c r="R1049" i="246" s="1"/>
  <c r="O1049" i="1"/>
  <c r="M143" i="190"/>
  <c r="G143" i="190" s="1"/>
  <c r="I143" i="190" s="1"/>
  <c r="O1048" i="246" s="1"/>
  <c r="R1048" i="246" s="1"/>
  <c r="O1048" i="1"/>
  <c r="M142" i="190"/>
  <c r="G142" i="190" s="1"/>
  <c r="I142" i="190" s="1"/>
  <c r="M141" i="190"/>
  <c r="G141" i="190" s="1"/>
  <c r="I141" i="190" s="1"/>
  <c r="M140" i="190"/>
  <c r="G140" i="190" s="1"/>
  <c r="I140" i="190" s="1"/>
  <c r="M138" i="190"/>
  <c r="G138" i="190" s="1"/>
  <c r="I138" i="190" s="1"/>
  <c r="O2589" i="246" s="1"/>
  <c r="M137" i="190"/>
  <c r="G137" i="190" s="1"/>
  <c r="I137" i="190" s="1"/>
  <c r="O2588" i="246" s="1"/>
  <c r="M136" i="190"/>
  <c r="G136" i="190" s="1"/>
  <c r="I136" i="190" s="1"/>
  <c r="O2587" i="246" s="1"/>
  <c r="M135" i="190"/>
  <c r="G135" i="190" s="1"/>
  <c r="I135" i="190" s="1"/>
  <c r="O2586" i="246" s="1"/>
  <c r="M134" i="190"/>
  <c r="G134" i="190" s="1"/>
  <c r="I134" i="190" s="1"/>
  <c r="O2585" i="246" s="1"/>
  <c r="M133" i="190"/>
  <c r="G133" i="190" s="1"/>
  <c r="I133" i="190" s="1"/>
  <c r="O2584" i="246" s="1"/>
  <c r="M132" i="190"/>
  <c r="G132" i="190" s="1"/>
  <c r="I132" i="190" s="1"/>
  <c r="O2583" i="246" s="1"/>
  <c r="M131" i="190"/>
  <c r="G131" i="190" s="1"/>
  <c r="I131" i="190" s="1"/>
  <c r="O2582" i="246" s="1"/>
  <c r="M130" i="190"/>
  <c r="G130" i="190" s="1"/>
  <c r="I130" i="190" s="1"/>
  <c r="O2581" i="246" s="1"/>
  <c r="M129" i="190"/>
  <c r="G129" i="190" s="1"/>
  <c r="I129" i="190" s="1"/>
  <c r="O2580" i="246" s="1"/>
  <c r="M128" i="190"/>
  <c r="G128" i="190" s="1"/>
  <c r="I128" i="190" s="1"/>
  <c r="O2579" i="246" s="1"/>
  <c r="M127" i="190"/>
  <c r="G127" i="190" s="1"/>
  <c r="I127" i="190" s="1"/>
  <c r="O2578" i="246" s="1"/>
  <c r="M126" i="190"/>
  <c r="G126" i="190" s="1"/>
  <c r="I126" i="190" s="1"/>
  <c r="O2577" i="246" s="1"/>
  <c r="M125" i="190"/>
  <c r="G125" i="190" s="1"/>
  <c r="I125" i="190" s="1"/>
  <c r="M124" i="190"/>
  <c r="G124" i="190" s="1"/>
  <c r="I124" i="190" s="1"/>
  <c r="M123" i="190"/>
  <c r="G123" i="190" s="1"/>
  <c r="I123" i="190" s="1"/>
  <c r="O2574" i="246" s="1"/>
  <c r="M122" i="190"/>
  <c r="G122" i="190" s="1"/>
  <c r="I122" i="190" s="1"/>
  <c r="O2573" i="246" s="1"/>
  <c r="M121" i="190"/>
  <c r="G121" i="190" s="1"/>
  <c r="I121" i="190" s="1"/>
  <c r="M120" i="190"/>
  <c r="G120" i="190" s="1"/>
  <c r="I120" i="190" s="1"/>
  <c r="M119" i="190"/>
  <c r="G119" i="190" s="1"/>
  <c r="I119" i="190" s="1"/>
  <c r="O2569" i="246" s="1"/>
  <c r="M118" i="190"/>
  <c r="G118" i="190" s="1"/>
  <c r="I118" i="190" s="1"/>
  <c r="O2568" i="246" s="1"/>
  <c r="M117" i="190"/>
  <c r="G117" i="190" s="1"/>
  <c r="I117" i="190" s="1"/>
  <c r="O2567" i="246" s="1"/>
  <c r="M116" i="190"/>
  <c r="G116" i="190" s="1"/>
  <c r="I116" i="190" s="1"/>
  <c r="O2566" i="246" s="1"/>
  <c r="M115" i="190"/>
  <c r="G115" i="190" s="1"/>
  <c r="I115" i="190" s="1"/>
  <c r="M114" i="190"/>
  <c r="G114" i="190" s="1"/>
  <c r="I114" i="190" s="1"/>
  <c r="M113" i="190"/>
  <c r="G113" i="190" s="1"/>
  <c r="I113" i="190" s="1"/>
  <c r="M112" i="190"/>
  <c r="G112" i="190" s="1"/>
  <c r="I112" i="190" s="1"/>
  <c r="M111" i="190"/>
  <c r="G111" i="190" s="1"/>
  <c r="I111" i="190" s="1"/>
  <c r="M110" i="190"/>
  <c r="G110" i="190" s="1"/>
  <c r="I110" i="190" s="1"/>
  <c r="M109" i="190"/>
  <c r="G109" i="190" s="1"/>
  <c r="I109" i="190" s="1"/>
  <c r="M108" i="190"/>
  <c r="G108" i="190" s="1"/>
  <c r="I108" i="190" s="1"/>
  <c r="M107" i="190"/>
  <c r="G107" i="190" s="1"/>
  <c r="I107" i="190" s="1"/>
  <c r="M105" i="190"/>
  <c r="G105" i="190" s="1"/>
  <c r="I105" i="190" s="1"/>
  <c r="O2562" i="246" s="1"/>
  <c r="M104" i="190"/>
  <c r="G104" i="190" s="1"/>
  <c r="I104" i="190" s="1"/>
  <c r="O2561" i="246" s="1"/>
  <c r="M103" i="190"/>
  <c r="G103" i="190" s="1"/>
  <c r="I103" i="190" s="1"/>
  <c r="O2560" i="246" s="1"/>
  <c r="M102" i="190"/>
  <c r="G102" i="190" s="1"/>
  <c r="I102" i="190" s="1"/>
  <c r="O2559" i="246" s="1"/>
  <c r="M101" i="190"/>
  <c r="G101" i="190" s="1"/>
  <c r="I101" i="190" s="1"/>
  <c r="M100" i="190"/>
  <c r="G100" i="190" s="1"/>
  <c r="I100" i="190" s="1"/>
  <c r="M99" i="190"/>
  <c r="G99" i="190" s="1"/>
  <c r="I99" i="190" s="1"/>
  <c r="M98" i="190"/>
  <c r="G98" i="190" s="1"/>
  <c r="I98" i="190" s="1"/>
  <c r="M97" i="190"/>
  <c r="G97" i="190" s="1"/>
  <c r="I97" i="190" s="1"/>
  <c r="M95" i="190"/>
  <c r="G95" i="190" s="1"/>
  <c r="I95" i="190" s="1"/>
  <c r="O2602" i="246" s="1"/>
  <c r="M94" i="190"/>
  <c r="G94" i="190" s="1"/>
  <c r="I94" i="190" s="1"/>
  <c r="O2599" i="246" s="1"/>
  <c r="M93" i="190"/>
  <c r="G93" i="190" s="1"/>
  <c r="I93" i="190" s="1"/>
  <c r="M92" i="190"/>
  <c r="G92" i="190" s="1"/>
  <c r="I92" i="190" s="1"/>
  <c r="M90" i="190"/>
  <c r="G90" i="190" s="1"/>
  <c r="I90" i="190" s="1"/>
  <c r="M89" i="190"/>
  <c r="G89" i="190" s="1"/>
  <c r="I89" i="190" s="1"/>
  <c r="M88" i="190"/>
  <c r="G88" i="190" s="1"/>
  <c r="I88" i="190" s="1"/>
  <c r="O989" i="246" s="1"/>
  <c r="R989" i="246" s="1"/>
  <c r="O989" i="1"/>
  <c r="M87" i="190"/>
  <c r="G87" i="190" s="1"/>
  <c r="I87" i="190" s="1"/>
  <c r="O988" i="246" s="1"/>
  <c r="R988" i="246" s="1"/>
  <c r="O988" i="1"/>
  <c r="M86" i="190"/>
  <c r="G86" i="190" s="1"/>
  <c r="I86" i="190" s="1"/>
  <c r="O987" i="246" s="1"/>
  <c r="R987" i="246" s="1"/>
  <c r="O987" i="1"/>
  <c r="M85" i="190"/>
  <c r="G85" i="190" s="1"/>
  <c r="I85" i="190" s="1"/>
  <c r="M84" i="190"/>
  <c r="G84" i="190" s="1"/>
  <c r="I84" i="190" s="1"/>
  <c r="M83" i="190"/>
  <c r="G83" i="190" s="1"/>
  <c r="I83" i="190" s="1"/>
  <c r="O2604" i="246" s="1"/>
  <c r="M82" i="190"/>
  <c r="G82" i="190" s="1"/>
  <c r="I82" i="190" s="1"/>
  <c r="M81" i="190"/>
  <c r="G81" i="190" s="1"/>
  <c r="I81" i="190" s="1"/>
  <c r="O2532" i="246" s="1"/>
  <c r="M80" i="190"/>
  <c r="G80" i="190" s="1"/>
  <c r="I80" i="190" s="1"/>
  <c r="O2531" i="246" s="1"/>
  <c r="M79" i="190"/>
  <c r="G79" i="190" s="1"/>
  <c r="I79" i="190" s="1"/>
  <c r="O2530" i="246" s="1"/>
  <c r="M78" i="190"/>
  <c r="G78" i="190" s="1"/>
  <c r="I78" i="190" s="1"/>
  <c r="O2529" i="246" s="1"/>
  <c r="M77" i="190"/>
  <c r="G77" i="190" s="1"/>
  <c r="I77" i="190" s="1"/>
  <c r="O2528" i="246" s="1"/>
  <c r="M76" i="190"/>
  <c r="G76" i="190" s="1"/>
  <c r="I76" i="190" s="1"/>
  <c r="O2527" i="246" s="1"/>
  <c r="M75" i="190"/>
  <c r="G75" i="190" s="1"/>
  <c r="I75" i="190" s="1"/>
  <c r="O2526" i="246" s="1"/>
  <c r="M74" i="190"/>
  <c r="G74" i="190" s="1"/>
  <c r="I74" i="190" s="1"/>
  <c r="O2525" i="246" s="1"/>
  <c r="M73" i="190"/>
  <c r="G73" i="190" s="1"/>
  <c r="I73" i="190" s="1"/>
  <c r="O2524" i="246" s="1"/>
  <c r="M72" i="190"/>
  <c r="G72" i="190" s="1"/>
  <c r="I72" i="190" s="1"/>
  <c r="O2523" i="246" s="1"/>
  <c r="M71" i="190"/>
  <c r="G71" i="190" s="1"/>
  <c r="I71" i="190" s="1"/>
  <c r="O2522" i="246" s="1"/>
  <c r="M70" i="190"/>
  <c r="G70" i="190" s="1"/>
  <c r="I70" i="190" s="1"/>
  <c r="O2521" i="246" s="1"/>
  <c r="M69" i="190"/>
  <c r="G69" i="190" s="1"/>
  <c r="I69" i="190" s="1"/>
  <c r="M68" i="190"/>
  <c r="G68" i="190" s="1"/>
  <c r="I68" i="190" s="1"/>
  <c r="M67" i="190"/>
  <c r="G67" i="190" s="1"/>
  <c r="I67" i="190" s="1"/>
  <c r="M66" i="190"/>
  <c r="G66" i="190" s="1"/>
  <c r="I66" i="190" s="1"/>
  <c r="M65" i="190"/>
  <c r="G65" i="190" s="1"/>
  <c r="I65" i="190" s="1"/>
  <c r="M64" i="190"/>
  <c r="G64" i="190" s="1"/>
  <c r="I64" i="190" s="1"/>
  <c r="O2518" i="246" s="1"/>
  <c r="M63" i="190"/>
  <c r="G63" i="190" s="1"/>
  <c r="I63" i="190" s="1"/>
  <c r="O917" i="246" s="1"/>
  <c r="R917" i="246" s="1"/>
  <c r="O917" i="1"/>
  <c r="M62" i="190"/>
  <c r="G62" i="190" s="1"/>
  <c r="I62" i="190" s="1"/>
  <c r="O916" i="246" s="1"/>
  <c r="R916" i="246" s="1"/>
  <c r="O916" i="1"/>
  <c r="M61" i="190"/>
  <c r="G61" i="190" s="1"/>
  <c r="I61" i="190" s="1"/>
  <c r="M60" i="190"/>
  <c r="G60" i="190" s="1"/>
  <c r="I60" i="190" s="1"/>
  <c r="M59" i="190"/>
  <c r="G59" i="190" s="1"/>
  <c r="I59" i="190" s="1"/>
  <c r="M58" i="190"/>
  <c r="G58" i="190" s="1"/>
  <c r="I58" i="190" s="1"/>
  <c r="M57" i="190"/>
  <c r="G57" i="190" s="1"/>
  <c r="I57" i="190" s="1"/>
  <c r="M56" i="190"/>
  <c r="G56" i="190" s="1"/>
  <c r="I56" i="190" s="1"/>
  <c r="M55" i="190"/>
  <c r="G55" i="190" s="1"/>
  <c r="I55" i="190" s="1"/>
  <c r="M54" i="190"/>
  <c r="G54" i="190" s="1"/>
  <c r="I54" i="190" s="1"/>
  <c r="M53" i="190"/>
  <c r="G53" i="190" s="1"/>
  <c r="I53" i="190" s="1"/>
  <c r="O2515" i="246" s="1"/>
  <c r="M52" i="190"/>
  <c r="G52" i="190" s="1"/>
  <c r="I52" i="190" s="1"/>
  <c r="M51" i="190"/>
  <c r="G51" i="190" s="1"/>
  <c r="I51" i="190" s="1"/>
  <c r="M50" i="190"/>
  <c r="G50" i="190" s="1"/>
  <c r="I50" i="190" s="1"/>
  <c r="O2513" i="246" s="1"/>
  <c r="M49" i="190"/>
  <c r="G49" i="190" s="1"/>
  <c r="I49" i="190" s="1"/>
  <c r="O2512" i="246" s="1"/>
  <c r="M48" i="190"/>
  <c r="G48" i="190" s="1"/>
  <c r="I48" i="190" s="1"/>
  <c r="O2511" i="246" s="1"/>
  <c r="M47" i="190"/>
  <c r="G47" i="190" s="1"/>
  <c r="I47" i="190" s="1"/>
  <c r="O2510" i="246" s="1"/>
  <c r="M46" i="190"/>
  <c r="G46" i="190" s="1"/>
  <c r="I46" i="190" s="1"/>
  <c r="M45" i="190"/>
  <c r="G45" i="190" s="1"/>
  <c r="I45" i="190" s="1"/>
  <c r="M44" i="190"/>
  <c r="G44" i="190" s="1"/>
  <c r="I44" i="190" s="1"/>
  <c r="M43" i="190"/>
  <c r="G43" i="190" s="1"/>
  <c r="I43" i="190" s="1"/>
  <c r="M42" i="190"/>
  <c r="G42" i="190" s="1"/>
  <c r="I42" i="190" s="1"/>
  <c r="O2508" i="246" s="1"/>
  <c r="M41" i="190"/>
  <c r="G41" i="190" s="1"/>
  <c r="I41" i="190" s="1"/>
  <c r="O2507" i="246" s="1"/>
  <c r="M40" i="190"/>
  <c r="G40" i="190" s="1"/>
  <c r="I40" i="190" s="1"/>
  <c r="O2506" i="246" s="1"/>
  <c r="M39" i="190"/>
  <c r="G39" i="190" s="1"/>
  <c r="I39" i="190" s="1"/>
  <c r="M38" i="190"/>
  <c r="G38" i="190" s="1"/>
  <c r="I38" i="190" s="1"/>
  <c r="M37" i="190"/>
  <c r="G37" i="190" s="1"/>
  <c r="I37" i="190" s="1"/>
  <c r="M36" i="190"/>
  <c r="G36" i="190" s="1"/>
  <c r="I36" i="190" s="1"/>
  <c r="M35" i="190"/>
  <c r="G35" i="190" s="1"/>
  <c r="I35" i="190" s="1"/>
  <c r="M34" i="190"/>
  <c r="G34" i="190" s="1"/>
  <c r="I34" i="190" s="1"/>
  <c r="M32" i="190"/>
  <c r="G32" i="190" s="1"/>
  <c r="I32" i="190" s="1"/>
  <c r="M31" i="190"/>
  <c r="G31" i="190" s="1"/>
  <c r="I31" i="190" s="1"/>
  <c r="M30" i="190"/>
  <c r="G30" i="190" s="1"/>
  <c r="I30" i="190" s="1"/>
  <c r="M29" i="190"/>
  <c r="G29" i="190" s="1"/>
  <c r="I29" i="190" s="1"/>
  <c r="M28" i="190"/>
  <c r="G28" i="190" s="1"/>
  <c r="I28" i="190" s="1"/>
  <c r="M27" i="190"/>
  <c r="G27" i="190" s="1"/>
  <c r="I27" i="190" s="1"/>
  <c r="M26" i="190"/>
  <c r="G26" i="190" s="1"/>
  <c r="I26" i="190" s="1"/>
  <c r="M25" i="190"/>
  <c r="G25" i="190" s="1"/>
  <c r="I25" i="190" s="1"/>
  <c r="M24" i="190"/>
  <c r="G24" i="190" s="1"/>
  <c r="I24" i="190" s="1"/>
  <c r="M23" i="190"/>
  <c r="M22" i="190"/>
  <c r="G22" i="190" s="1"/>
  <c r="I22" i="190" s="1"/>
  <c r="O2482" i="246" s="1"/>
  <c r="M21" i="190"/>
  <c r="G21" i="190" s="1"/>
  <c r="I21" i="190" s="1"/>
  <c r="O2481" i="246" s="1"/>
  <c r="M20" i="190"/>
  <c r="G20" i="190" s="1"/>
  <c r="I20" i="190" s="1"/>
  <c r="O2480" i="246" s="1"/>
  <c r="M19" i="190"/>
  <c r="G19" i="190" s="1"/>
  <c r="I19" i="190" s="1"/>
  <c r="O2479" i="246" s="1"/>
  <c r="M18" i="190"/>
  <c r="G18" i="190" s="1"/>
  <c r="I18" i="190" s="1"/>
  <c r="O2478" i="246" s="1"/>
  <c r="M17" i="190"/>
  <c r="M16" i="190"/>
  <c r="G16" i="190" s="1"/>
  <c r="I16" i="190" s="1"/>
  <c r="M15" i="190"/>
  <c r="G15" i="190" s="1"/>
  <c r="I15" i="190" s="1"/>
  <c r="M14" i="190"/>
  <c r="G14" i="190" s="1"/>
  <c r="I14" i="190" s="1"/>
  <c r="M13" i="190"/>
  <c r="M12" i="190"/>
  <c r="G12" i="190" s="1"/>
  <c r="I12" i="190" s="1"/>
  <c r="M11" i="190"/>
  <c r="G11" i="190" s="1"/>
  <c r="I11" i="190" s="1"/>
  <c r="M10" i="190"/>
  <c r="G10" i="190" s="1"/>
  <c r="I10" i="190" s="1"/>
  <c r="M5" i="190"/>
  <c r="G5" i="190" s="1"/>
  <c r="I5" i="190" s="1"/>
  <c r="E403"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K18" i="189"/>
  <c r="J18" i="189"/>
  <c r="K17" i="189"/>
  <c r="J17" i="189"/>
  <c r="K16" i="189"/>
  <c r="J16" i="189"/>
  <c r="K15" i="189"/>
  <c r="J15" i="189"/>
  <c r="D4" i="189"/>
  <c r="C2" i="189"/>
  <c r="M2995" i="1" l="1"/>
  <c r="N2" i="190"/>
  <c r="F229" i="190"/>
  <c r="I229" i="190" s="1"/>
  <c r="F235" i="190"/>
  <c r="I235" i="190" s="1"/>
  <c r="O2653" i="246"/>
  <c r="S2653" i="246" s="1"/>
  <c r="O3175" i="1"/>
  <c r="S3175" i="1" s="1"/>
  <c r="M3011" i="1"/>
  <c r="S3011" i="1" s="1"/>
  <c r="M2764" i="1"/>
  <c r="O2570" i="246"/>
  <c r="O2928" i="1"/>
  <c r="O2651" i="246"/>
  <c r="C2651" i="246" s="1"/>
  <c r="G232" i="190"/>
  <c r="I232" i="190" s="1"/>
  <c r="G232" i="5" s="1"/>
  <c r="G6" i="190"/>
  <c r="I6" i="190" s="1"/>
  <c r="O2827" i="1" s="1"/>
  <c r="S2827" i="1" s="1"/>
  <c r="G303" i="190"/>
  <c r="I303" i="190" s="1"/>
  <c r="G303" i="5" s="1"/>
  <c r="O3023" i="1"/>
  <c r="O3058" i="1"/>
  <c r="O2514" i="246"/>
  <c r="O2829" i="1"/>
  <c r="S2829" i="1" s="1"/>
  <c r="O2471" i="246"/>
  <c r="S2471" i="246" s="1"/>
  <c r="O2520" i="246"/>
  <c r="O2564" i="246"/>
  <c r="O2576" i="246"/>
  <c r="O2558" i="246"/>
  <c r="O2603" i="246"/>
  <c r="O2572" i="246"/>
  <c r="O848" i="246"/>
  <c r="R848" i="246" s="1"/>
  <c r="O2493" i="246"/>
  <c r="O2495" i="246"/>
  <c r="O850" i="246"/>
  <c r="R850" i="246" s="1"/>
  <c r="O2509" i="246"/>
  <c r="O1047" i="246"/>
  <c r="R1047" i="246" s="1"/>
  <c r="O2611" i="246"/>
  <c r="S2611" i="246" s="1"/>
  <c r="O2496" i="246"/>
  <c r="O851" i="246"/>
  <c r="R851" i="246" s="1"/>
  <c r="O2517" i="246"/>
  <c r="O915" i="246"/>
  <c r="R915" i="246" s="1"/>
  <c r="M2765" i="1"/>
  <c r="O2571" i="246"/>
  <c r="O2494" i="246"/>
  <c r="O849" i="246"/>
  <c r="R849" i="246" s="1"/>
  <c r="O2516" i="246"/>
  <c r="O2519" i="246"/>
  <c r="O986" i="246"/>
  <c r="R986" i="246" s="1"/>
  <c r="O2601" i="246"/>
  <c r="O2600" i="246"/>
  <c r="O847" i="246"/>
  <c r="R847" i="246" s="1"/>
  <c r="O2492" i="246"/>
  <c r="O2565" i="246"/>
  <c r="O3159" i="1"/>
  <c r="S3159" i="1" s="1"/>
  <c r="M2703" i="1"/>
  <c r="O2969" i="1"/>
  <c r="S2969" i="1" s="1"/>
  <c r="M2690" i="1"/>
  <c r="O2854" i="1"/>
  <c r="M2701" i="1"/>
  <c r="O2865" i="1"/>
  <c r="O2870" i="1"/>
  <c r="M2706" i="1"/>
  <c r="M2716" i="1"/>
  <c r="O2880" i="1"/>
  <c r="M2724" i="1"/>
  <c r="O2888" i="1"/>
  <c r="O2961" i="1"/>
  <c r="M2797" i="1"/>
  <c r="O2930" i="1"/>
  <c r="M2766" i="1"/>
  <c r="O2918" i="1"/>
  <c r="M2754" i="1"/>
  <c r="M2763" i="1"/>
  <c r="O2927" i="1"/>
  <c r="M2776" i="1"/>
  <c r="O2940" i="1"/>
  <c r="M2702" i="1"/>
  <c r="O2866" i="1"/>
  <c r="O2871" i="1"/>
  <c r="M2707" i="1"/>
  <c r="O2878" i="1"/>
  <c r="M2714" i="1"/>
  <c r="M2721" i="1"/>
  <c r="O2885" i="1"/>
  <c r="M2758" i="1"/>
  <c r="O2922" i="1"/>
  <c r="M2773" i="1"/>
  <c r="O2937" i="1"/>
  <c r="O2945" i="1"/>
  <c r="M2781" i="1"/>
  <c r="M2665" i="1"/>
  <c r="S2665" i="1" s="1"/>
  <c r="O2837" i="1"/>
  <c r="M2673" i="1"/>
  <c r="M2689" i="1"/>
  <c r="O2853" i="1"/>
  <c r="O2864" i="1"/>
  <c r="M2700" i="1"/>
  <c r="O2869" i="1"/>
  <c r="M2705" i="1"/>
  <c r="O2879" i="1"/>
  <c r="M2715" i="1"/>
  <c r="O2883" i="1"/>
  <c r="M2719" i="1"/>
  <c r="O2887" i="1"/>
  <c r="M2723" i="1"/>
  <c r="M2752" i="1"/>
  <c r="O2920" i="1"/>
  <c r="M2756" i="1"/>
  <c r="M2762" i="1"/>
  <c r="O2926" i="1"/>
  <c r="M2767" i="1"/>
  <c r="O2931" i="1"/>
  <c r="M2771" i="1"/>
  <c r="O2935" i="1"/>
  <c r="M2775" i="1"/>
  <c r="O2939" i="1"/>
  <c r="O2943" i="1"/>
  <c r="M2779" i="1"/>
  <c r="M2783" i="1"/>
  <c r="O2947" i="1"/>
  <c r="M2805" i="1"/>
  <c r="S2805" i="1" s="1"/>
  <c r="O2838" i="1"/>
  <c r="M2674" i="1"/>
  <c r="O2873" i="1"/>
  <c r="M2709" i="1"/>
  <c r="O2875" i="1"/>
  <c r="M2711" i="1"/>
  <c r="M2720" i="1"/>
  <c r="O2884" i="1"/>
  <c r="O2962" i="1"/>
  <c r="M2798" i="1"/>
  <c r="M2768" i="1"/>
  <c r="O2932" i="1"/>
  <c r="O2936" i="1"/>
  <c r="M2772" i="1"/>
  <c r="M2780" i="1"/>
  <c r="O2944" i="1"/>
  <c r="O2839" i="1"/>
  <c r="M2675" i="1"/>
  <c r="O2851" i="1"/>
  <c r="M2687" i="1"/>
  <c r="O2867" i="1"/>
  <c r="O2876" i="1"/>
  <c r="M2712" i="1"/>
  <c r="O2881" i="1"/>
  <c r="M2717" i="1"/>
  <c r="O2889" i="1"/>
  <c r="M2725" i="1"/>
  <c r="M2793" i="1"/>
  <c r="O2957" i="1"/>
  <c r="O2917" i="1"/>
  <c r="M2753" i="1"/>
  <c r="O2924" i="1"/>
  <c r="M2760" i="1"/>
  <c r="M2770" i="1"/>
  <c r="O2934" i="1"/>
  <c r="O2941" i="1"/>
  <c r="M2777" i="1"/>
  <c r="M2672" i="1"/>
  <c r="O2836" i="1"/>
  <c r="M2676" i="1"/>
  <c r="O2840" i="1"/>
  <c r="O2852" i="1"/>
  <c r="M2688" i="1"/>
  <c r="O2868" i="1"/>
  <c r="M2704" i="1"/>
  <c r="M2708" i="1"/>
  <c r="O2872" i="1"/>
  <c r="O2874" i="1"/>
  <c r="M2710" i="1"/>
  <c r="O2877" i="1"/>
  <c r="M2713" i="1"/>
  <c r="M2718" i="1"/>
  <c r="O2882" i="1"/>
  <c r="M2722" i="1"/>
  <c r="O2886" i="1"/>
  <c r="M2726" i="1"/>
  <c r="O2890" i="1"/>
  <c r="M2795" i="1"/>
  <c r="O2959" i="1"/>
  <c r="M2794" i="1"/>
  <c r="O2958" i="1"/>
  <c r="M2796" i="1"/>
  <c r="O2960" i="1"/>
  <c r="O2916" i="1"/>
  <c r="O2919" i="1"/>
  <c r="M2755" i="1"/>
  <c r="O2925" i="1"/>
  <c r="M2761" i="1"/>
  <c r="O2929" i="1"/>
  <c r="O2938" i="1"/>
  <c r="M2774" i="1"/>
  <c r="O2942" i="1"/>
  <c r="M2778" i="1"/>
  <c r="M2782" i="1"/>
  <c r="O2946" i="1"/>
  <c r="O2850" i="1"/>
  <c r="M2686" i="1"/>
  <c r="M2759" i="1"/>
  <c r="O2923" i="1"/>
  <c r="S2995" i="1"/>
  <c r="M3077" i="1"/>
  <c r="S3077" i="1" s="1"/>
  <c r="O3241" i="1"/>
  <c r="S3241" i="1" s="1"/>
  <c r="O3136" i="1"/>
  <c r="O3131" i="1"/>
  <c r="O3116" i="1"/>
  <c r="O3074" i="1"/>
  <c r="M916" i="1"/>
  <c r="R916" i="1" s="1"/>
  <c r="M989" i="1"/>
  <c r="R989" i="1" s="1"/>
  <c r="M917" i="1"/>
  <c r="R917" i="1" s="1"/>
  <c r="E100" i="231"/>
  <c r="F100" i="231" s="1"/>
  <c r="G100" i="231" s="1"/>
  <c r="I193" i="190"/>
  <c r="G193" i="5" s="1"/>
  <c r="G400" i="5"/>
  <c r="I356" i="190"/>
  <c r="G356" i="5" s="1"/>
  <c r="G354" i="190"/>
  <c r="I354" i="190" s="1"/>
  <c r="G354" i="5" s="1"/>
  <c r="G398" i="190"/>
  <c r="I398" i="190" s="1"/>
  <c r="G398" i="5" s="1"/>
  <c r="I188" i="190"/>
  <c r="G188" i="5" s="1"/>
  <c r="F263" i="190"/>
  <c r="I263" i="190" s="1"/>
  <c r="F271" i="190"/>
  <c r="I271" i="190" s="1"/>
  <c r="I313" i="190"/>
  <c r="G313" i="5" s="1"/>
  <c r="G23" i="190"/>
  <c r="I23" i="190" s="1"/>
  <c r="I366" i="190"/>
  <c r="G366" i="5" s="1"/>
  <c r="I381" i="190"/>
  <c r="G381" i="5" s="1"/>
  <c r="I308" i="190"/>
  <c r="G308" i="5" s="1"/>
  <c r="O848" i="1"/>
  <c r="O850" i="1"/>
  <c r="O915" i="1"/>
  <c r="I215" i="190"/>
  <c r="G215" i="5" s="1"/>
  <c r="I189" i="190"/>
  <c r="G189" i="5" s="1"/>
  <c r="I199" i="190"/>
  <c r="G199" i="5" s="1"/>
  <c r="I211" i="190"/>
  <c r="G211" i="5" s="1"/>
  <c r="G206" i="190"/>
  <c r="I206" i="190" s="1"/>
  <c r="G206" i="5" s="1"/>
  <c r="O847" i="1"/>
  <c r="O849" i="1"/>
  <c r="O851" i="1"/>
  <c r="O986" i="1"/>
  <c r="O1047" i="1"/>
  <c r="F176" i="190"/>
  <c r="I176" i="190" s="1"/>
  <c r="F255" i="190"/>
  <c r="I255" i="190" s="1"/>
  <c r="L18" i="189"/>
  <c r="A18" i="189" s="1"/>
  <c r="L22" i="189"/>
  <c r="A22" i="189" s="1"/>
  <c r="L24" i="189"/>
  <c r="A24" i="189" s="1"/>
  <c r="G17" i="190"/>
  <c r="I17" i="190" s="1"/>
  <c r="O2477" i="246" s="1"/>
  <c r="G209" i="190"/>
  <c r="I209" i="190" s="1"/>
  <c r="G209" i="5" s="1"/>
  <c r="I370" i="190"/>
  <c r="G370" i="5" s="1"/>
  <c r="G362" i="190"/>
  <c r="I362" i="190" s="1"/>
  <c r="G362" i="5" s="1"/>
  <c r="I376" i="190"/>
  <c r="G376" i="5" s="1"/>
  <c r="I186" i="190"/>
  <c r="G186" i="5" s="1"/>
  <c r="I333" i="190"/>
  <c r="G333" i="5" s="1"/>
  <c r="M851" i="1"/>
  <c r="I220" i="190"/>
  <c r="M848" i="1"/>
  <c r="I260" i="190"/>
  <c r="G260" i="5" s="1"/>
  <c r="I272" i="190"/>
  <c r="G272" i="5" s="1"/>
  <c r="I280" i="190"/>
  <c r="G280" i="5" s="1"/>
  <c r="M17" i="189"/>
  <c r="A17" i="189" s="1"/>
  <c r="G367" i="190"/>
  <c r="I367" i="190" s="1"/>
  <c r="G367" i="5" s="1"/>
  <c r="M847" i="1"/>
  <c r="L16" i="189"/>
  <c r="A16" i="189" s="1"/>
  <c r="L15" i="189"/>
  <c r="A15" i="189" s="1"/>
  <c r="I374" i="190"/>
  <c r="G374" i="5" s="1"/>
  <c r="I165" i="190"/>
  <c r="F8" i="189"/>
  <c r="D8" i="189" s="1"/>
  <c r="I166" i="190"/>
  <c r="I167" i="190"/>
  <c r="G13" i="190"/>
  <c r="I13" i="190" s="1"/>
  <c r="O2476" i="246" s="1"/>
  <c r="I360" i="190"/>
  <c r="G360" i="5" s="1"/>
  <c r="I190" i="190"/>
  <c r="G190" i="5" s="1"/>
  <c r="I212" i="190"/>
  <c r="G212" i="5" s="1"/>
  <c r="I306" i="190"/>
  <c r="I314" i="190"/>
  <c r="G314" i="5" s="1"/>
  <c r="I177" i="190"/>
  <c r="G177" i="5" s="1"/>
  <c r="I208" i="190"/>
  <c r="G208" i="5" s="1"/>
  <c r="I317" i="190"/>
  <c r="G317" i="5" s="1"/>
  <c r="I369" i="190"/>
  <c r="G369" i="5" s="1"/>
  <c r="I312" i="190"/>
  <c r="I352" i="190"/>
  <c r="G352" i="5" s="1"/>
  <c r="I168" i="190"/>
  <c r="I224" i="190"/>
  <c r="G224" i="5" s="1"/>
  <c r="I228" i="190"/>
  <c r="I265" i="190"/>
  <c r="G265" i="5" s="1"/>
  <c r="I320" i="190"/>
  <c r="G320" i="5" s="1"/>
  <c r="I361" i="190"/>
  <c r="G361" i="5" s="1"/>
  <c r="I399" i="190"/>
  <c r="I171" i="190"/>
  <c r="I185" i="190"/>
  <c r="G185" i="5" s="1"/>
  <c r="I309" i="190"/>
  <c r="G309" i="5" s="1"/>
  <c r="I331" i="190"/>
  <c r="G331" i="5" s="1"/>
  <c r="I340" i="190"/>
  <c r="G340" i="5" s="1"/>
  <c r="I357" i="190"/>
  <c r="G357" i="5" s="1"/>
  <c r="I389" i="190"/>
  <c r="G389" i="5" s="1"/>
  <c r="I392" i="190"/>
  <c r="I388" i="190"/>
  <c r="G388" i="5" s="1"/>
  <c r="I394" i="190"/>
  <c r="G394" i="5" s="1"/>
  <c r="I316" i="190"/>
  <c r="G316" i="5" s="1"/>
  <c r="I368" i="190"/>
  <c r="G368" i="5" s="1"/>
  <c r="I384" i="190"/>
  <c r="I219" i="190"/>
  <c r="I225" i="190"/>
  <c r="G225" i="5" s="1"/>
  <c r="I329" i="190"/>
  <c r="G329" i="5" s="1"/>
  <c r="I184" i="190"/>
  <c r="I192" i="190"/>
  <c r="G192" i="5" s="1"/>
  <c r="I210" i="190"/>
  <c r="G210" i="5" s="1"/>
  <c r="I250" i="190"/>
  <c r="I341" i="190"/>
  <c r="F180" i="190"/>
  <c r="I180" i="190" s="1"/>
  <c r="F385" i="190"/>
  <c r="I385" i="190" s="1"/>
  <c r="F172" i="190"/>
  <c r="I172" i="190" s="1"/>
  <c r="I196" i="190"/>
  <c r="G196" i="5" s="1"/>
  <c r="I214" i="190"/>
  <c r="G214" i="5" s="1"/>
  <c r="I207" i="190"/>
  <c r="G207" i="5" s="1"/>
  <c r="I218" i="190"/>
  <c r="G218" i="5" s="1"/>
  <c r="F267" i="190"/>
  <c r="I267" i="190" s="1"/>
  <c r="F275" i="190"/>
  <c r="I275" i="190" s="1"/>
  <c r="I343" i="190"/>
  <c r="G343" i="5" s="1"/>
  <c r="I348" i="190"/>
  <c r="G348" i="5" s="1"/>
  <c r="I187" i="190"/>
  <c r="G187" i="5" s="1"/>
  <c r="I346" i="190"/>
  <c r="G346" i="5" s="1"/>
  <c r="I355" i="190"/>
  <c r="G355" i="5" s="1"/>
  <c r="I371" i="190"/>
  <c r="G371" i="5" s="1"/>
  <c r="I375" i="190"/>
  <c r="G375" i="5" s="1"/>
  <c r="I393" i="190"/>
  <c r="F251" i="190"/>
  <c r="I251" i="190" s="1"/>
  <c r="F259" i="190"/>
  <c r="I259" i="190" s="1"/>
  <c r="F279" i="190"/>
  <c r="I279" i="190" s="1"/>
  <c r="I237" i="190"/>
  <c r="G237" i="5" s="1"/>
  <c r="I257" i="190"/>
  <c r="G257" i="5" s="1"/>
  <c r="I379" i="190"/>
  <c r="G379" i="5" s="1"/>
  <c r="I227" i="190"/>
  <c r="G227" i="5" s="1"/>
  <c r="I311" i="190"/>
  <c r="G311" i="5" s="1"/>
  <c r="I350" i="190"/>
  <c r="G350" i="5" s="1"/>
  <c r="I396" i="190"/>
  <c r="G396" i="5" s="1"/>
  <c r="I217" i="190"/>
  <c r="G217" i="5" s="1"/>
  <c r="I226" i="190"/>
  <c r="G226" i="5" s="1"/>
  <c r="I230" i="190"/>
  <c r="G230" i="5" s="1"/>
  <c r="I264" i="190"/>
  <c r="G264" i="5" s="1"/>
  <c r="I276" i="190"/>
  <c r="G276" i="5" s="1"/>
  <c r="I307" i="190"/>
  <c r="G307" i="5" s="1"/>
  <c r="I351" i="190"/>
  <c r="G351" i="5" s="1"/>
  <c r="I378" i="190"/>
  <c r="I382" i="190"/>
  <c r="G382" i="5" s="1"/>
  <c r="I213" i="190"/>
  <c r="G213" i="5" s="1"/>
  <c r="I256" i="190"/>
  <c r="G256" i="5" s="1"/>
  <c r="I273" i="190"/>
  <c r="G273" i="5" s="1"/>
  <c r="I203" i="190"/>
  <c r="G203" i="5" s="1"/>
  <c r="D403" i="190"/>
  <c r="D2" i="190" s="1"/>
  <c r="H2" i="190" s="1"/>
  <c r="F183" i="190"/>
  <c r="I183" i="190" s="1"/>
  <c r="I191" i="190"/>
  <c r="G191" i="5" s="1"/>
  <c r="I194" i="190"/>
  <c r="G194" i="5" s="1"/>
  <c r="I201" i="190"/>
  <c r="I202" i="190"/>
  <c r="G202" i="5" s="1"/>
  <c r="I216" i="190"/>
  <c r="G216" i="5" s="1"/>
  <c r="I221" i="190"/>
  <c r="K403" i="190"/>
  <c r="K2" i="190" s="1"/>
  <c r="F169" i="190"/>
  <c r="I195" i="190"/>
  <c r="G195" i="5" s="1"/>
  <c r="I200" i="190"/>
  <c r="I204" i="190"/>
  <c r="G204" i="5" s="1"/>
  <c r="I205" i="190"/>
  <c r="G205" i="5" s="1"/>
  <c r="I359" i="190"/>
  <c r="G359" i="5" s="1"/>
  <c r="I364" i="190"/>
  <c r="G364" i="5" s="1"/>
  <c r="I395" i="190"/>
  <c r="G395" i="5" s="1"/>
  <c r="I310" i="190"/>
  <c r="G310" i="5" s="1"/>
  <c r="I315" i="190"/>
  <c r="G315" i="5" s="1"/>
  <c r="I345" i="190"/>
  <c r="G345" i="5" s="1"/>
  <c r="I349" i="190"/>
  <c r="G349" i="5" s="1"/>
  <c r="I363" i="190"/>
  <c r="G363" i="5" s="1"/>
  <c r="I380" i="190"/>
  <c r="G380" i="5" s="1"/>
  <c r="I383" i="190"/>
  <c r="G383" i="5" s="1"/>
  <c r="I372" i="190"/>
  <c r="G372"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19" i="189"/>
  <c r="A20" i="189"/>
  <c r="A25" i="189"/>
  <c r="A29" i="189"/>
  <c r="A30" i="189"/>
  <c r="A40" i="189"/>
  <c r="F486" i="189"/>
  <c r="F9" i="189" s="1"/>
  <c r="A36" i="189"/>
  <c r="A28" i="189"/>
  <c r="A33" i="189"/>
  <c r="A34" i="189"/>
  <c r="A155" i="189"/>
  <c r="O2596" i="246" l="1"/>
  <c r="S2596" i="246" s="1"/>
  <c r="O2954" i="1"/>
  <c r="S2954" i="1" s="1"/>
  <c r="O2700" i="246"/>
  <c r="C2700" i="246" s="1"/>
  <c r="O2773" i="246"/>
  <c r="O2758" i="246"/>
  <c r="C2758" i="246" s="1"/>
  <c r="O2778" i="246"/>
  <c r="R2621" i="246" s="1"/>
  <c r="O2665" i="246"/>
  <c r="O2716" i="246"/>
  <c r="C2716" i="246" s="1"/>
  <c r="M3058" i="1"/>
  <c r="Y3058" i="1" s="1"/>
  <c r="O3187" i="1"/>
  <c r="O2847" i="1"/>
  <c r="S2847" i="1" s="1"/>
  <c r="M2683" i="1"/>
  <c r="S2683" i="1" s="1"/>
  <c r="O2469" i="246"/>
  <c r="S2469" i="246" s="1"/>
  <c r="G36" i="5"/>
  <c r="M2663" i="1"/>
  <c r="S2663" i="1" s="1"/>
  <c r="O2278" i="246"/>
  <c r="M2308" i="1"/>
  <c r="O2489" i="246"/>
  <c r="S2489" i="246" s="1"/>
  <c r="O2555" i="246"/>
  <c r="S2555" i="246" s="1"/>
  <c r="O2503" i="246"/>
  <c r="S2503" i="246" s="1"/>
  <c r="O2841" i="1"/>
  <c r="O2483" i="246"/>
  <c r="O2473" i="246" s="1"/>
  <c r="S2473" i="246" s="1"/>
  <c r="O3222" i="1"/>
  <c r="C3222" i="1" s="1"/>
  <c r="O3173" i="1"/>
  <c r="C3173" i="1" s="1"/>
  <c r="O3238" i="1"/>
  <c r="C3238" i="1" s="1"/>
  <c r="O3300" i="1"/>
  <c r="C3300" i="1" s="1"/>
  <c r="O3280" i="1"/>
  <c r="C3280" i="1" s="1"/>
  <c r="M3023" i="1"/>
  <c r="M2671" i="1"/>
  <c r="O2835" i="1"/>
  <c r="O2913" i="1"/>
  <c r="S2913" i="1" s="1"/>
  <c r="M2790" i="1"/>
  <c r="S2790" i="1" s="1"/>
  <c r="O2861" i="1"/>
  <c r="S2861" i="1" s="1"/>
  <c r="O2834" i="1"/>
  <c r="M2670" i="1"/>
  <c r="M2749" i="1"/>
  <c r="S2749" i="1" s="1"/>
  <c r="M2697" i="1"/>
  <c r="S2697" i="1" s="1"/>
  <c r="M2677" i="1"/>
  <c r="O3295" i="1"/>
  <c r="M3136" i="1"/>
  <c r="Z3136" i="1" s="1"/>
  <c r="M3116" i="1"/>
  <c r="Y3116" i="1" s="1"/>
  <c r="M3131" i="1"/>
  <c r="M3074" i="1"/>
  <c r="Z3074" i="1" s="1"/>
  <c r="M3009" i="1"/>
  <c r="Z3009" i="1" s="1"/>
  <c r="X3074" i="1"/>
  <c r="M1048" i="1"/>
  <c r="R1048" i="1" s="1"/>
  <c r="M1057" i="1"/>
  <c r="R1057" i="1" s="1"/>
  <c r="M987" i="1"/>
  <c r="R987" i="1" s="1"/>
  <c r="M1050" i="1"/>
  <c r="R1050" i="1" s="1"/>
  <c r="M1051" i="1"/>
  <c r="R1051" i="1" s="1"/>
  <c r="M1056" i="1"/>
  <c r="R1056" i="1" s="1"/>
  <c r="M1047" i="1"/>
  <c r="R1047" i="1" s="1"/>
  <c r="M986" i="1"/>
  <c r="R986" i="1" s="1"/>
  <c r="M1052" i="1"/>
  <c r="R1052" i="1" s="1"/>
  <c r="M988" i="1"/>
  <c r="R988" i="1" s="1"/>
  <c r="M1049" i="1"/>
  <c r="R1049" i="1" s="1"/>
  <c r="E101" i="231"/>
  <c r="F101" i="231" s="1"/>
  <c r="G101" i="231" s="1"/>
  <c r="R848" i="1"/>
  <c r="R847" i="1"/>
  <c r="R851" i="1"/>
  <c r="M850" i="1"/>
  <c r="M849" i="1"/>
  <c r="M915" i="1"/>
  <c r="R915" i="1" s="1"/>
  <c r="G403" i="190"/>
  <c r="G2" i="190" s="1"/>
  <c r="F403" i="190"/>
  <c r="I169" i="190"/>
  <c r="D1046" i="1"/>
  <c r="D1045" i="1"/>
  <c r="D1041" i="1"/>
  <c r="D1040" i="1"/>
  <c r="D1039" i="1"/>
  <c r="D1038" i="1"/>
  <c r="D1037" i="1"/>
  <c r="D1036" i="1"/>
  <c r="D985" i="1"/>
  <c r="D984" i="1"/>
  <c r="D983" i="1"/>
  <c r="D982" i="1"/>
  <c r="D914" i="1"/>
  <c r="D913" i="1"/>
  <c r="D912" i="1"/>
  <c r="D845" i="1"/>
  <c r="D844" i="1"/>
  <c r="D843" i="1"/>
  <c r="D842" i="1"/>
  <c r="R2979" i="1" l="1"/>
  <c r="R2995" i="1" s="1"/>
  <c r="R2769" i="246"/>
  <c r="R2739" i="246"/>
  <c r="U2716" i="246"/>
  <c r="R2754" i="246"/>
  <c r="Z3058" i="1"/>
  <c r="C3058" i="1" s="1"/>
  <c r="C2778" i="246"/>
  <c r="R2661" i="246"/>
  <c r="R3143" i="1"/>
  <c r="O2487" i="246"/>
  <c r="C2487" i="246" s="1"/>
  <c r="O2536" i="246"/>
  <c r="C2536" i="246" s="1"/>
  <c r="O2501" i="246"/>
  <c r="O2614" i="246"/>
  <c r="R2457" i="246" s="1"/>
  <c r="O2609" i="246"/>
  <c r="O2594" i="246"/>
  <c r="C2594" i="246" s="1"/>
  <c r="O2552" i="246"/>
  <c r="C2552" i="246" s="1"/>
  <c r="R2781" i="246"/>
  <c r="R2758" i="246"/>
  <c r="R2718" i="246"/>
  <c r="R2764" i="246"/>
  <c r="R2743" i="246"/>
  <c r="R2784" i="246"/>
  <c r="R2760" i="246"/>
  <c r="R2706" i="246"/>
  <c r="R2767" i="246"/>
  <c r="R2747" i="246"/>
  <c r="R2737" i="246"/>
  <c r="R2728" i="246"/>
  <c r="R2717" i="246"/>
  <c r="R2705" i="246"/>
  <c r="R2693" i="246"/>
  <c r="R2675" i="246"/>
  <c r="R2646" i="246"/>
  <c r="R2626" i="246"/>
  <c r="R2723" i="246"/>
  <c r="R2696" i="246"/>
  <c r="R2678" i="246"/>
  <c r="R2644" i="246"/>
  <c r="R2625" i="246"/>
  <c r="R2749" i="246"/>
  <c r="R2714" i="246"/>
  <c r="R2680" i="246"/>
  <c r="R2647" i="246"/>
  <c r="R2622" i="246"/>
  <c r="R2727" i="246"/>
  <c r="R2759" i="246"/>
  <c r="R2683" i="246"/>
  <c r="R2627" i="246"/>
  <c r="R2660" i="246"/>
  <c r="R2640" i="246"/>
  <c r="R2692" i="246"/>
  <c r="R2631" i="246"/>
  <c r="R2712" i="246"/>
  <c r="R2776" i="246"/>
  <c r="R2746" i="246"/>
  <c r="R2780" i="246"/>
  <c r="R2751" i="246"/>
  <c r="R2736" i="246"/>
  <c r="R2729" i="246"/>
  <c r="R2722" i="246"/>
  <c r="R2707" i="246"/>
  <c r="R2699" i="246"/>
  <c r="R2677" i="246"/>
  <c r="R2657" i="246"/>
  <c r="R2629" i="246"/>
  <c r="R2775" i="246"/>
  <c r="R2730" i="246"/>
  <c r="R2711" i="246"/>
  <c r="R2682" i="246"/>
  <c r="R2658" i="246"/>
  <c r="R2630" i="246"/>
  <c r="R2768" i="246"/>
  <c r="R2725" i="246"/>
  <c r="R2687" i="246"/>
  <c r="R2656" i="246"/>
  <c r="R2628" i="246"/>
  <c r="R2742" i="246"/>
  <c r="R2703" i="246"/>
  <c r="R2691" i="246"/>
  <c r="R2637" i="246"/>
  <c r="R2685" i="246"/>
  <c r="R2698" i="246"/>
  <c r="R2653" i="246"/>
  <c r="R2757" i="246"/>
  <c r="R2766" i="246"/>
  <c r="R2733" i="246"/>
  <c r="R2713" i="246"/>
  <c r="R2673" i="246"/>
  <c r="R2782" i="246"/>
  <c r="R2719" i="246"/>
  <c r="R2686" i="246"/>
  <c r="R2641" i="246"/>
  <c r="R2740" i="246"/>
  <c r="R2645" i="246"/>
  <c r="R2708" i="246"/>
  <c r="R2745" i="246"/>
  <c r="R2674" i="246"/>
  <c r="R2777" i="246"/>
  <c r="R2676" i="246"/>
  <c r="R2750" i="246"/>
  <c r="R2756" i="246"/>
  <c r="R2731" i="246"/>
  <c r="R2710" i="246"/>
  <c r="R2701" i="246"/>
  <c r="R2671" i="246"/>
  <c r="R2779" i="246"/>
  <c r="R2715" i="246"/>
  <c r="R2684" i="246"/>
  <c r="R2633" i="246"/>
  <c r="R2634" i="246" s="1"/>
  <c r="R2732" i="246"/>
  <c r="R2690" i="246"/>
  <c r="R2635" i="246"/>
  <c r="R2636" i="246" s="1"/>
  <c r="R2704" i="246"/>
  <c r="R2716" i="246"/>
  <c r="R2643" i="246"/>
  <c r="R2752" i="246"/>
  <c r="R2763" i="246"/>
  <c r="R2695" i="246"/>
  <c r="R2702" i="246"/>
  <c r="R2741" i="246"/>
  <c r="R2726" i="246"/>
  <c r="R2689" i="246"/>
  <c r="R2642" i="246"/>
  <c r="R2748" i="246"/>
  <c r="R2670" i="246"/>
  <c r="R2623" i="246"/>
  <c r="R2709" i="246"/>
  <c r="R2672" i="246"/>
  <c r="R2688" i="246"/>
  <c r="R2700" i="246"/>
  <c r="R2765" i="246"/>
  <c r="R2753" i="246"/>
  <c r="R2624" i="246"/>
  <c r="R2778" i="246"/>
  <c r="R2783" i="246"/>
  <c r="R2738" i="246"/>
  <c r="R2724" i="246"/>
  <c r="R2679" i="246"/>
  <c r="R2632" i="246"/>
  <c r="R2734" i="246"/>
  <c r="R2667" i="246"/>
  <c r="R2659" i="246"/>
  <c r="R2744" i="246"/>
  <c r="R2681" i="246"/>
  <c r="R2694" i="246"/>
  <c r="R2735" i="246"/>
  <c r="V3238" i="1"/>
  <c r="Y3009" i="1"/>
  <c r="C3009" i="1" s="1"/>
  <c r="M2667" i="1"/>
  <c r="S2667" i="1" s="1"/>
  <c r="M2788" i="1" s="1"/>
  <c r="O2831" i="1"/>
  <c r="S2831" i="1" s="1"/>
  <c r="O2967" i="1" s="1"/>
  <c r="Y3136" i="1"/>
  <c r="C3136" i="1" s="1"/>
  <c r="V3074" i="1"/>
  <c r="Y3074" i="1"/>
  <c r="C3074" i="1" s="1"/>
  <c r="Z3116" i="1"/>
  <c r="C3116" i="1" s="1"/>
  <c r="R3011" i="1"/>
  <c r="R3012" i="1" s="1"/>
  <c r="R3074" i="1"/>
  <c r="R3053" i="1"/>
  <c r="R3036" i="1"/>
  <c r="R3052" i="1"/>
  <c r="R3017" i="1"/>
  <c r="R3098" i="1"/>
  <c r="R3039" i="1"/>
  <c r="R3094" i="1"/>
  <c r="R3044" i="1"/>
  <c r="R3099" i="1"/>
  <c r="R3139" i="1"/>
  <c r="R2993" i="1"/>
  <c r="R2994" i="1" s="1"/>
  <c r="R3031" i="1"/>
  <c r="R2999" i="1"/>
  <c r="R3059" i="1"/>
  <c r="R3042" i="1"/>
  <c r="R3057" i="1"/>
  <c r="R3116" i="1"/>
  <c r="R3095" i="1"/>
  <c r="R3135" i="1"/>
  <c r="R3030" i="1"/>
  <c r="R3134" i="1"/>
  <c r="R3000" i="1"/>
  <c r="R3075" i="1"/>
  <c r="R3142" i="1"/>
  <c r="R3034" i="1"/>
  <c r="R3103" i="1"/>
  <c r="R2984" i="1"/>
  <c r="R3140" i="1"/>
  <c r="R2998" i="1"/>
  <c r="R3077" i="1"/>
  <c r="R3113" i="1" s="1"/>
  <c r="R3080" i="1"/>
  <c r="R3109" i="1"/>
  <c r="R3107" i="1"/>
  <c r="R2988" i="1"/>
  <c r="R3001" i="1"/>
  <c r="R3100" i="1"/>
  <c r="R3106" i="1"/>
  <c r="R3032" i="1"/>
  <c r="R3117" i="1"/>
  <c r="R2991" i="1"/>
  <c r="R2992" i="1" s="1"/>
  <c r="R3088" i="1"/>
  <c r="R3096" i="1"/>
  <c r="R3014" i="1"/>
  <c r="R3126" i="1"/>
  <c r="R3006" i="1"/>
  <c r="R3028" i="1"/>
  <c r="R3085" i="1"/>
  <c r="R3064" i="1"/>
  <c r="R3062" i="1"/>
  <c r="R3071" i="1"/>
  <c r="R2990" i="1"/>
  <c r="R2989" i="1"/>
  <c r="R3118" i="1"/>
  <c r="R3119" i="1" s="1"/>
  <c r="R3120" i="1" s="1"/>
  <c r="R3068" i="1"/>
  <c r="R2987" i="1"/>
  <c r="R3114" i="1"/>
  <c r="R3066" i="1"/>
  <c r="R3141" i="1"/>
  <c r="R3058" i="1"/>
  <c r="R3125" i="1"/>
  <c r="R3076" i="1"/>
  <c r="R2983" i="1"/>
  <c r="R3073" i="1"/>
  <c r="R3124" i="1"/>
  <c r="R3090" i="1"/>
  <c r="R3049" i="1"/>
  <c r="R3037" i="1"/>
  <c r="R3040" i="1"/>
  <c r="R3015" i="1"/>
  <c r="R3051" i="1"/>
  <c r="R3082" i="1"/>
  <c r="R3047" i="1"/>
  <c r="R3122" i="1"/>
  <c r="R3018" i="1"/>
  <c r="R3138" i="1"/>
  <c r="R3084" i="1"/>
  <c r="R3086" i="1"/>
  <c r="R3083" i="1"/>
  <c r="R3133" i="1"/>
  <c r="R3136" i="1"/>
  <c r="R3048" i="1"/>
  <c r="R3033" i="1"/>
  <c r="R3054" i="1"/>
  <c r="R3056" i="1"/>
  <c r="R3137" i="1"/>
  <c r="R3065" i="1"/>
  <c r="R3063" i="1"/>
  <c r="R3102" i="1"/>
  <c r="R2982" i="1"/>
  <c r="R3045" i="1"/>
  <c r="R3108" i="1"/>
  <c r="R3081" i="1"/>
  <c r="R3038" i="1"/>
  <c r="R3089" i="1"/>
  <c r="R3123" i="1"/>
  <c r="R3092" i="1"/>
  <c r="R3016" i="1"/>
  <c r="R3091" i="1"/>
  <c r="R3121" i="1"/>
  <c r="R3110" i="1"/>
  <c r="R3029" i="1"/>
  <c r="R3087" i="1"/>
  <c r="R3004" i="1"/>
  <c r="R3070" i="1"/>
  <c r="R3069" i="1"/>
  <c r="R3111" i="1"/>
  <c r="R3046" i="1"/>
  <c r="R3025" i="1"/>
  <c r="R2985" i="1"/>
  <c r="R3060" i="1"/>
  <c r="R3041" i="1"/>
  <c r="R3050" i="1"/>
  <c r="R849" i="1"/>
  <c r="R850" i="1"/>
  <c r="E102" i="231"/>
  <c r="F102" i="231" s="1"/>
  <c r="G102" i="231" s="1"/>
  <c r="I403" i="190"/>
  <c r="I2" i="190" s="1"/>
  <c r="O1719" i="1"/>
  <c r="M1719" i="1"/>
  <c r="R3115" i="1" l="1"/>
  <c r="R3005" i="1"/>
  <c r="R3093" i="1"/>
  <c r="R2981" i="1"/>
  <c r="R3035" i="1"/>
  <c r="R3003" i="1"/>
  <c r="R3043" i="1"/>
  <c r="R3105" i="1"/>
  <c r="R3067" i="1"/>
  <c r="R3002" i="1"/>
  <c r="R3104" i="1"/>
  <c r="R3097" i="1"/>
  <c r="R3101" i="1"/>
  <c r="R2986" i="1"/>
  <c r="R2980" i="1"/>
  <c r="R3061" i="1"/>
  <c r="R3072" i="1"/>
  <c r="R3127" i="1"/>
  <c r="R3019" i="1"/>
  <c r="R3112" i="1"/>
  <c r="R2605" i="246"/>
  <c r="R2575" i="246"/>
  <c r="R3291" i="1"/>
  <c r="R3261" i="1"/>
  <c r="R3183" i="1"/>
  <c r="R2590" i="246"/>
  <c r="R2497" i="246"/>
  <c r="R3302" i="1"/>
  <c r="R3276" i="1"/>
  <c r="C2614" i="246"/>
  <c r="U2552" i="246"/>
  <c r="Y2788" i="1"/>
  <c r="Z2788" i="1"/>
  <c r="R2755" i="246"/>
  <c r="R2720" i="246"/>
  <c r="R2721" i="246" s="1"/>
  <c r="R2655" i="246"/>
  <c r="R2662" i="246"/>
  <c r="R2663" i="246" s="1"/>
  <c r="R2664" i="246" s="1"/>
  <c r="R2654" i="246"/>
  <c r="R2665" i="246"/>
  <c r="R2666" i="246" s="1"/>
  <c r="R2761" i="246"/>
  <c r="R2762" i="246" s="1"/>
  <c r="R2770" i="246"/>
  <c r="R2771" i="246" s="1"/>
  <c r="R2772" i="246" s="1"/>
  <c r="R2773" i="246" s="1"/>
  <c r="R2774" i="246" s="1"/>
  <c r="R2612" i="246"/>
  <c r="R2573" i="246"/>
  <c r="R2513" i="246"/>
  <c r="R2554" i="246"/>
  <c r="R2458" i="246"/>
  <c r="R2492" i="246"/>
  <c r="R2600" i="246"/>
  <c r="R2559" i="246"/>
  <c r="R2469" i="246"/>
  <c r="R2470" i="246" s="1"/>
  <c r="R2578" i="246"/>
  <c r="R2579" i="246"/>
  <c r="R2522" i="246"/>
  <c r="R2555" i="246"/>
  <c r="R2611" i="246"/>
  <c r="R2517" i="246"/>
  <c r="R2541" i="246"/>
  <c r="R2577" i="246"/>
  <c r="R2467" i="246"/>
  <c r="R2495" i="246"/>
  <c r="R2571" i="246"/>
  <c r="R2570" i="246"/>
  <c r="R2593" i="246"/>
  <c r="R2466" i="246"/>
  <c r="R2526" i="246"/>
  <c r="R2565" i="246"/>
  <c r="R2527" i="246"/>
  <c r="R2549" i="246"/>
  <c r="R2584" i="246"/>
  <c r="R2465" i="246"/>
  <c r="R2615" i="246"/>
  <c r="R2482" i="246"/>
  <c r="R2560" i="246"/>
  <c r="R2514" i="246"/>
  <c r="R2561" i="246"/>
  <c r="R2548" i="246"/>
  <c r="R2509" i="246"/>
  <c r="R2461" i="246"/>
  <c r="R2518" i="246"/>
  <c r="R2520" i="246"/>
  <c r="R2547" i="246"/>
  <c r="R2468" i="246"/>
  <c r="R2596" i="246"/>
  <c r="R2542" i="246"/>
  <c r="R2481" i="246"/>
  <c r="R2569" i="246"/>
  <c r="R2535" i="246"/>
  <c r="R2583" i="246"/>
  <c r="R2462" i="246"/>
  <c r="R2478" i="246"/>
  <c r="R2553" i="246"/>
  <c r="R2604" i="246"/>
  <c r="R2538" i="246"/>
  <c r="R2603" i="246"/>
  <c r="R2479" i="246"/>
  <c r="R2558" i="246"/>
  <c r="R2512" i="246"/>
  <c r="R2551" i="246"/>
  <c r="R2599" i="246"/>
  <c r="R2524" i="246"/>
  <c r="R2585" i="246"/>
  <c r="R2618" i="246"/>
  <c r="R2546" i="246"/>
  <c r="R2506" i="246"/>
  <c r="R2534" i="246"/>
  <c r="R2616" i="246"/>
  <c r="R2507" i="246"/>
  <c r="R2602" i="246"/>
  <c r="R2564" i="246"/>
  <c r="R2586" i="246"/>
  <c r="R2489" i="246"/>
  <c r="R2544" i="246"/>
  <c r="R2592" i="246"/>
  <c r="R2493" i="246"/>
  <c r="R2516" i="246"/>
  <c r="R2568" i="246"/>
  <c r="R2525" i="246"/>
  <c r="R2521" i="246"/>
  <c r="R2595" i="246"/>
  <c r="R2494" i="246"/>
  <c r="R2587" i="246"/>
  <c r="R2589" i="246"/>
  <c r="R2483" i="246"/>
  <c r="R2536" i="246"/>
  <c r="R2523" i="246"/>
  <c r="R2480" i="246"/>
  <c r="R2566" i="246"/>
  <c r="R2532" i="246"/>
  <c r="R2528" i="246"/>
  <c r="R2581" i="246"/>
  <c r="R2519" i="246"/>
  <c r="R2510" i="246"/>
  <c r="R2601" i="246"/>
  <c r="R2588" i="246"/>
  <c r="R2552" i="246"/>
  <c r="R2537" i="246"/>
  <c r="R2515" i="246"/>
  <c r="R2582" i="246"/>
  <c r="R2471" i="246"/>
  <c r="R2472" i="246" s="1"/>
  <c r="R2594" i="246"/>
  <c r="R2477" i="246"/>
  <c r="R2567" i="246"/>
  <c r="R2580" i="246"/>
  <c r="R2476" i="246"/>
  <c r="R2545" i="246"/>
  <c r="R2460" i="246"/>
  <c r="R2539" i="246"/>
  <c r="R2619" i="246"/>
  <c r="R2543" i="246"/>
  <c r="R2617" i="246"/>
  <c r="R2574" i="246"/>
  <c r="R2563" i="246"/>
  <c r="R2576" i="246"/>
  <c r="R2464" i="246"/>
  <c r="R2511" i="246"/>
  <c r="R2496" i="246"/>
  <c r="R2613" i="246"/>
  <c r="R2530" i="246"/>
  <c r="R2473" i="246"/>
  <c r="R2463" i="246"/>
  <c r="R2562" i="246"/>
  <c r="R2550" i="246"/>
  <c r="R2531" i="246"/>
  <c r="R2503" i="246"/>
  <c r="R2540" i="246"/>
  <c r="R2620" i="246"/>
  <c r="R2508" i="246"/>
  <c r="R2614" i="246"/>
  <c r="R2572" i="246"/>
  <c r="R2529" i="246"/>
  <c r="R2459" i="246"/>
  <c r="R2697" i="246"/>
  <c r="R2668" i="246"/>
  <c r="R2669" i="246" s="1"/>
  <c r="R2649" i="246"/>
  <c r="R2650" i="246" s="1"/>
  <c r="R2651" i="246" s="1"/>
  <c r="R2652" i="246" s="1"/>
  <c r="R2638" i="246"/>
  <c r="R2639" i="246" s="1"/>
  <c r="R2648" i="246"/>
  <c r="R3175" i="1"/>
  <c r="R3177" i="1" s="1"/>
  <c r="R3249" i="1"/>
  <c r="R3201" i="1"/>
  <c r="R3205" i="1"/>
  <c r="R3164" i="1"/>
  <c r="R3192" i="1"/>
  <c r="R3270" i="1"/>
  <c r="R3231" i="1"/>
  <c r="R3232" i="1"/>
  <c r="R3256" i="1"/>
  <c r="R3159" i="1"/>
  <c r="R3160" i="1" s="1"/>
  <c r="R3161" i="1" s="1"/>
  <c r="R3182" i="1"/>
  <c r="R3272" i="1"/>
  <c r="R3258" i="1"/>
  <c r="R3298" i="1"/>
  <c r="R3168" i="1"/>
  <c r="R3306" i="1"/>
  <c r="R3260" i="1"/>
  <c r="R3236" i="1"/>
  <c r="R3273" i="1"/>
  <c r="R3206" i="1"/>
  <c r="R3301" i="1"/>
  <c r="R3300" i="1"/>
  <c r="R3221" i="1"/>
  <c r="R3250" i="1"/>
  <c r="R3195" i="1"/>
  <c r="R3197" i="1"/>
  <c r="R3218" i="1"/>
  <c r="R3227" i="1"/>
  <c r="R3169" i="1"/>
  <c r="R3196" i="1"/>
  <c r="R3275" i="1"/>
  <c r="R3248" i="1"/>
  <c r="R3199" i="1"/>
  <c r="R3278" i="1"/>
  <c r="R3153" i="1"/>
  <c r="R3247" i="1"/>
  <c r="R3297" i="1"/>
  <c r="R3233" i="1"/>
  <c r="R3222" i="1"/>
  <c r="R3290" i="1"/>
  <c r="R3274" i="1"/>
  <c r="R3145" i="1"/>
  <c r="R3240" i="1"/>
  <c r="R3202" i="1"/>
  <c r="R3280" i="1"/>
  <c r="R3214" i="1"/>
  <c r="R3230" i="1"/>
  <c r="R3263" i="1"/>
  <c r="R3209" i="1"/>
  <c r="R3212" i="1"/>
  <c r="R3237" i="1"/>
  <c r="R3178" i="1"/>
  <c r="R3281" i="1"/>
  <c r="R3181" i="1"/>
  <c r="R3254" i="1"/>
  <c r="R3271" i="1"/>
  <c r="R3259" i="1"/>
  <c r="R3149" i="1"/>
  <c r="R3229" i="1"/>
  <c r="R3244" i="1"/>
  <c r="R3304" i="1"/>
  <c r="R3155" i="1"/>
  <c r="R3156" i="1" s="1"/>
  <c r="R3286" i="1"/>
  <c r="R3287" i="1"/>
  <c r="R3162" i="1"/>
  <c r="R3194" i="1"/>
  <c r="R3147" i="1"/>
  <c r="R3223" i="1"/>
  <c r="R3253" i="1"/>
  <c r="R3279" i="1"/>
  <c r="R3150" i="1"/>
  <c r="R3246" i="1"/>
  <c r="R3198" i="1"/>
  <c r="R3220" i="1"/>
  <c r="R3239" i="1"/>
  <c r="R3225" i="1"/>
  <c r="R3179" i="1"/>
  <c r="R3305" i="1"/>
  <c r="R3157" i="1"/>
  <c r="R3158" i="1" s="1"/>
  <c r="R3146" i="1"/>
  <c r="R3217" i="1"/>
  <c r="R3204" i="1"/>
  <c r="R3262" i="1"/>
  <c r="R3299" i="1"/>
  <c r="R3189" i="1"/>
  <c r="R3190" i="1" s="1"/>
  <c r="R3191" i="1" s="1"/>
  <c r="R3224" i="1"/>
  <c r="R3265" i="1"/>
  <c r="R3165" i="1"/>
  <c r="R3210" i="1"/>
  <c r="R3267" i="1"/>
  <c r="R3216" i="1"/>
  <c r="R3269" i="1"/>
  <c r="R3289" i="1"/>
  <c r="R3208" i="1"/>
  <c r="R3211" i="1"/>
  <c r="R3235" i="1"/>
  <c r="R3166" i="1"/>
  <c r="R3144" i="1"/>
  <c r="R3252" i="1"/>
  <c r="R3203" i="1"/>
  <c r="R3180" i="1"/>
  <c r="R3285" i="1"/>
  <c r="R3288" i="1"/>
  <c r="R3215" i="1"/>
  <c r="R3257" i="1"/>
  <c r="R3148" i="1"/>
  <c r="R3226" i="1"/>
  <c r="R3241" i="1"/>
  <c r="R3277" i="1" s="1"/>
  <c r="R3268" i="1"/>
  <c r="R3152" i="1"/>
  <c r="R3167" i="1"/>
  <c r="R3238" i="1"/>
  <c r="R3255" i="1"/>
  <c r="R3264" i="1"/>
  <c r="R3245" i="1"/>
  <c r="R3282" i="1"/>
  <c r="R3292" i="1" s="1"/>
  <c r="R3293" i="1" s="1"/>
  <c r="R3294" i="1" s="1"/>
  <c r="R3295" i="1" s="1"/>
  <c r="R3296" i="1" s="1"/>
  <c r="R3207" i="1"/>
  <c r="R3154" i="1"/>
  <c r="R3200" i="1"/>
  <c r="R3193" i="1"/>
  <c r="R3303" i="1"/>
  <c r="R3163" i="1"/>
  <c r="R3266" i="1"/>
  <c r="R3234" i="1"/>
  <c r="R3228" i="1"/>
  <c r="R3251" i="1"/>
  <c r="R3151" i="1"/>
  <c r="R3213" i="1"/>
  <c r="M2803" i="1"/>
  <c r="M2695" i="1"/>
  <c r="M2730" i="1"/>
  <c r="M2746" i="1"/>
  <c r="M2681" i="1"/>
  <c r="M2808" i="1"/>
  <c r="O2894" i="1"/>
  <c r="C2894" i="1" s="1"/>
  <c r="O2972" i="1"/>
  <c r="R2815" i="1" s="1"/>
  <c r="O2845" i="1"/>
  <c r="C2845" i="1" s="1"/>
  <c r="O2952" i="1"/>
  <c r="C2952" i="1" s="1"/>
  <c r="O2859" i="1"/>
  <c r="O2910" i="1"/>
  <c r="R3020" i="1"/>
  <c r="R3021" i="1" s="1"/>
  <c r="R3022" i="1" s="1"/>
  <c r="R3128" i="1"/>
  <c r="R3129" i="1" s="1"/>
  <c r="R3130" i="1" s="1"/>
  <c r="R3131" i="1" s="1"/>
  <c r="R3132" i="1" s="1"/>
  <c r="R3007" i="1"/>
  <c r="R3008" i="1" s="1"/>
  <c r="R3009" i="1" s="1"/>
  <c r="R3010" i="1" s="1"/>
  <c r="R3078" i="1"/>
  <c r="R3079" i="1" s="1"/>
  <c r="R3023" i="1"/>
  <c r="R3024" i="1" s="1"/>
  <c r="R3013" i="1"/>
  <c r="R2996" i="1"/>
  <c r="R2997" i="1" s="1"/>
  <c r="R3055" i="1"/>
  <c r="R3026" i="1"/>
  <c r="R3027" i="1" s="1"/>
  <c r="E103" i="231"/>
  <c r="F103" i="231" s="1"/>
  <c r="G103" i="231" s="1"/>
  <c r="D2232" i="1"/>
  <c r="M963" i="1"/>
  <c r="D960" i="1"/>
  <c r="D957" i="1"/>
  <c r="D956" i="1"/>
  <c r="M938" i="1"/>
  <c r="D935" i="1"/>
  <c r="D932" i="1"/>
  <c r="D931" i="1"/>
  <c r="M906" i="1"/>
  <c r="D903" i="1"/>
  <c r="D900" i="1"/>
  <c r="D899" i="1"/>
  <c r="M2011" i="1"/>
  <c r="D2008" i="1"/>
  <c r="D2005" i="1"/>
  <c r="D2004" i="1"/>
  <c r="M1988" i="1"/>
  <c r="D1985" i="1"/>
  <c r="D1982" i="1"/>
  <c r="D1981" i="1"/>
  <c r="M1936" i="1"/>
  <c r="D1933" i="1"/>
  <c r="D1930" i="1"/>
  <c r="D1929" i="1"/>
  <c r="M1872" i="1"/>
  <c r="D1869" i="1"/>
  <c r="D1866" i="1"/>
  <c r="D1865" i="1"/>
  <c r="M1760" i="1"/>
  <c r="D1757" i="1"/>
  <c r="D1754" i="1"/>
  <c r="D1753" i="1"/>
  <c r="M1737" i="1"/>
  <c r="D1734" i="1"/>
  <c r="D1731" i="1"/>
  <c r="D1730" i="1"/>
  <c r="M1715" i="1"/>
  <c r="D1712" i="1"/>
  <c r="D1709" i="1"/>
  <c r="R1709" i="1" s="1"/>
  <c r="D1708" i="1"/>
  <c r="M1688" i="1"/>
  <c r="D1685" i="1"/>
  <c r="D1682" i="1"/>
  <c r="D1681" i="1"/>
  <c r="M1632" i="1"/>
  <c r="D1629" i="1"/>
  <c r="D1626" i="1"/>
  <c r="D1625" i="1"/>
  <c r="M151" i="136"/>
  <c r="G151" i="136" s="1"/>
  <c r="I151" i="136" s="1"/>
  <c r="O1045" i="246" s="1"/>
  <c r="R1045" i="246" s="1"/>
  <c r="O1045" i="1"/>
  <c r="C2788" i="1" l="1"/>
  <c r="R2963" i="1"/>
  <c r="R2933" i="1"/>
  <c r="R2948" i="1"/>
  <c r="R2855" i="1"/>
  <c r="Z2808" i="1"/>
  <c r="R2651" i="1"/>
  <c r="R2667" i="1" s="1"/>
  <c r="R3171" i="1"/>
  <c r="R3172" i="1" s="1"/>
  <c r="R3173" i="1" s="1"/>
  <c r="R3174" i="1" s="1"/>
  <c r="C2972" i="1"/>
  <c r="Y2746" i="1"/>
  <c r="Z2746" i="1"/>
  <c r="Y2681" i="1"/>
  <c r="Z2681" i="1"/>
  <c r="Y2730" i="1"/>
  <c r="Z2730" i="1"/>
  <c r="R3187" i="1"/>
  <c r="R3188" i="1" s="1"/>
  <c r="R3184" i="1"/>
  <c r="R3185" i="1" s="1"/>
  <c r="R3186" i="1" s="1"/>
  <c r="R2490" i="246"/>
  <c r="R2501" i="246"/>
  <c r="R2502" i="246" s="1"/>
  <c r="R2498" i="246"/>
  <c r="R2499" i="246" s="1"/>
  <c r="R2500" i="246" s="1"/>
  <c r="R2491" i="246"/>
  <c r="R2591" i="246"/>
  <c r="R2556" i="246"/>
  <c r="R2557" i="246" s="1"/>
  <c r="R2484" i="246"/>
  <c r="R2485" i="246"/>
  <c r="R2486" i="246" s="1"/>
  <c r="R2487" i="246" s="1"/>
  <c r="R2488" i="246" s="1"/>
  <c r="R2474" i="246"/>
  <c r="R2475" i="246" s="1"/>
  <c r="R2533" i="246"/>
  <c r="R2504" i="246"/>
  <c r="R2505" i="246" s="1"/>
  <c r="R2597" i="246"/>
  <c r="R2598" i="246" s="1"/>
  <c r="R2606" i="246"/>
  <c r="R2607" i="246" s="1"/>
  <c r="R2608" i="246" s="1"/>
  <c r="R2609" i="246" s="1"/>
  <c r="R2610" i="246" s="1"/>
  <c r="R3176" i="1"/>
  <c r="R3170" i="1"/>
  <c r="R3283" i="1"/>
  <c r="R3284" i="1" s="1"/>
  <c r="R3242" i="1"/>
  <c r="R3243" i="1" s="1"/>
  <c r="R3219" i="1"/>
  <c r="V2746" i="1"/>
  <c r="Y2808" i="1"/>
  <c r="C2910" i="1"/>
  <c r="V2910" i="1"/>
  <c r="E104" i="231"/>
  <c r="F104" i="231" s="1"/>
  <c r="G104" i="231" s="1"/>
  <c r="M1045" i="1"/>
  <c r="R1045" i="1" s="1"/>
  <c r="K167" i="136"/>
  <c r="K166" i="136"/>
  <c r="K165" i="136"/>
  <c r="C1" i="136"/>
  <c r="M38" i="136"/>
  <c r="G38" i="136" s="1"/>
  <c r="I38" i="136" s="1"/>
  <c r="M37" i="136"/>
  <c r="G37" i="136" s="1"/>
  <c r="I37" i="136" s="1"/>
  <c r="M36" i="136"/>
  <c r="G36" i="136" s="1"/>
  <c r="I36" i="136" s="1"/>
  <c r="M35" i="136"/>
  <c r="G35" i="136" s="1"/>
  <c r="I35" i="136" s="1"/>
  <c r="M34" i="136"/>
  <c r="G34" i="136" s="1"/>
  <c r="I34" i="136" s="1"/>
  <c r="C2808" i="1" l="1"/>
  <c r="C2730" i="1"/>
  <c r="C2746" i="1"/>
  <c r="C2681" i="1"/>
  <c r="R2799" i="1"/>
  <c r="R2769" i="1"/>
  <c r="R2784" i="1"/>
  <c r="R2691" i="1"/>
  <c r="R2897" i="1"/>
  <c r="R2931" i="1"/>
  <c r="R2865" i="1"/>
  <c r="R2954" i="1"/>
  <c r="R2826" i="1"/>
  <c r="R2920" i="1"/>
  <c r="R2835" i="1"/>
  <c r="R2962" i="1"/>
  <c r="R2839" i="1"/>
  <c r="R2823" i="1"/>
  <c r="R2838" i="1"/>
  <c r="R2971" i="1"/>
  <c r="R2959" i="1"/>
  <c r="R2875" i="1"/>
  <c r="R2827" i="1"/>
  <c r="R2828" i="1" s="1"/>
  <c r="R2818" i="1"/>
  <c r="R2921" i="1"/>
  <c r="R2935" i="1"/>
  <c r="R2946" i="1"/>
  <c r="R2953" i="1"/>
  <c r="R2836" i="1"/>
  <c r="R2937" i="1"/>
  <c r="R2960" i="1"/>
  <c r="R2886" i="1"/>
  <c r="R2939" i="1"/>
  <c r="R2899" i="1"/>
  <c r="R2819" i="1"/>
  <c r="R2973" i="1"/>
  <c r="R2936" i="1"/>
  <c r="R2883" i="1"/>
  <c r="R2889" i="1"/>
  <c r="R2940" i="1"/>
  <c r="R2890" i="1"/>
  <c r="R2901" i="1"/>
  <c r="R2910" i="1"/>
  <c r="R2834" i="1"/>
  <c r="R2847" i="1"/>
  <c r="R2825" i="1"/>
  <c r="R2950" i="1"/>
  <c r="R2903" i="1"/>
  <c r="R2938" i="1"/>
  <c r="R2923" i="1"/>
  <c r="R2961" i="1"/>
  <c r="R2877" i="1"/>
  <c r="R2876" i="1"/>
  <c r="R2854" i="1"/>
  <c r="R2908" i="1"/>
  <c r="R2879" i="1"/>
  <c r="R2869" i="1"/>
  <c r="R2952" i="1"/>
  <c r="R2817" i="1"/>
  <c r="R2866" i="1"/>
  <c r="R2929" i="1"/>
  <c r="R2895" i="1"/>
  <c r="R2824" i="1"/>
  <c r="R2943" i="1"/>
  <c r="R2829" i="1"/>
  <c r="R2830" i="1" s="1"/>
  <c r="R2904" i="1"/>
  <c r="R2873" i="1"/>
  <c r="R2975" i="1"/>
  <c r="R2871" i="1"/>
  <c r="R2942" i="1"/>
  <c r="R2911" i="1"/>
  <c r="R2905" i="1"/>
  <c r="R2892" i="1"/>
  <c r="R2978" i="1"/>
  <c r="R2932" i="1"/>
  <c r="R2912" i="1"/>
  <c r="R2924" i="1"/>
  <c r="R2934" i="1"/>
  <c r="R2831" i="1"/>
  <c r="R2957" i="1"/>
  <c r="R2867" i="1"/>
  <c r="R2916" i="1"/>
  <c r="R2918" i="1"/>
  <c r="R2951" i="1"/>
  <c r="R2874" i="1"/>
  <c r="R2820" i="1"/>
  <c r="R2887" i="1"/>
  <c r="R2926" i="1"/>
  <c r="R2947" i="1"/>
  <c r="R2821" i="1"/>
  <c r="R2907" i="1"/>
  <c r="R2880" i="1"/>
  <c r="R2969" i="1"/>
  <c r="R2970" i="1"/>
  <c r="R2840" i="1"/>
  <c r="R2930" i="1"/>
  <c r="R2884" i="1"/>
  <c r="R2958" i="1"/>
  <c r="R2909" i="1"/>
  <c r="R2977" i="1"/>
  <c r="R2888" i="1"/>
  <c r="R2837" i="1"/>
  <c r="R2902" i="1"/>
  <c r="R2851" i="1"/>
  <c r="R2906" i="1"/>
  <c r="R2945" i="1"/>
  <c r="R2928" i="1"/>
  <c r="R2974" i="1"/>
  <c r="R2941" i="1"/>
  <c r="R2898" i="1"/>
  <c r="R2868" i="1"/>
  <c r="R2853" i="1"/>
  <c r="R2917" i="1"/>
  <c r="R2885" i="1"/>
  <c r="R2972" i="1"/>
  <c r="R2816" i="1"/>
  <c r="R2822" i="1"/>
  <c r="R2894" i="1"/>
  <c r="R2976" i="1"/>
  <c r="R2927" i="1"/>
  <c r="R2852" i="1"/>
  <c r="R2919" i="1"/>
  <c r="R2850" i="1"/>
  <c r="R2896" i="1"/>
  <c r="R2900" i="1"/>
  <c r="R2944" i="1"/>
  <c r="R2878" i="1"/>
  <c r="R2882" i="1"/>
  <c r="R2861" i="1"/>
  <c r="R2922" i="1"/>
  <c r="R2881" i="1"/>
  <c r="R2893" i="1"/>
  <c r="R2870" i="1"/>
  <c r="R2864" i="1"/>
  <c r="R2841" i="1"/>
  <c r="R2925" i="1"/>
  <c r="R2872" i="1"/>
  <c r="R2913" i="1"/>
  <c r="D2328" i="246"/>
  <c r="D841" i="246"/>
  <c r="R2663" i="1"/>
  <c r="R2664" i="1" s="1"/>
  <c r="R2657" i="1"/>
  <c r="R2710" i="1"/>
  <c r="R2757" i="1"/>
  <c r="R2747" i="1"/>
  <c r="R2676" i="1"/>
  <c r="R2748" i="1"/>
  <c r="R2790" i="1"/>
  <c r="R2718" i="1"/>
  <c r="R2689" i="1"/>
  <c r="R2707" i="1"/>
  <c r="R2673" i="1"/>
  <c r="R2746" i="1"/>
  <c r="R2758" i="1"/>
  <c r="R2713" i="1"/>
  <c r="R2763" i="1"/>
  <c r="R2814" i="1"/>
  <c r="R2720" i="1"/>
  <c r="R2756" i="1"/>
  <c r="R2653" i="1"/>
  <c r="R2671" i="1"/>
  <c r="R2777" i="1"/>
  <c r="R2739" i="1"/>
  <c r="R2658" i="1"/>
  <c r="R2743" i="1"/>
  <c r="R2797" i="1"/>
  <c r="R2798" i="1"/>
  <c r="R2770" i="1"/>
  <c r="R2703" i="1"/>
  <c r="R2722" i="1"/>
  <c r="R2787" i="1"/>
  <c r="R2782" i="1"/>
  <c r="R2686" i="1"/>
  <c r="R2729" i="1"/>
  <c r="R2717" i="1"/>
  <c r="R2728" i="1"/>
  <c r="R2752" i="1"/>
  <c r="R2730" i="1"/>
  <c r="R2690" i="1"/>
  <c r="R2793" i="1"/>
  <c r="R2813" i="1"/>
  <c r="R2735" i="1"/>
  <c r="R2744" i="1"/>
  <c r="R2687" i="1"/>
  <c r="R2714" i="1"/>
  <c r="R2660" i="1"/>
  <c r="R2683" i="1"/>
  <c r="R2697" i="1"/>
  <c r="R2655" i="1"/>
  <c r="R2788" i="1"/>
  <c r="R2812" i="1"/>
  <c r="R2774" i="1"/>
  <c r="R2745" i="1"/>
  <c r="R2754" i="1"/>
  <c r="R2654" i="1"/>
  <c r="R2719" i="1"/>
  <c r="R2776" i="1"/>
  <c r="R2702" i="1"/>
  <c r="R2732" i="1"/>
  <c r="R2737" i="1"/>
  <c r="R2764" i="1"/>
  <c r="R2704" i="1"/>
  <c r="R2734" i="1"/>
  <c r="R2810" i="1"/>
  <c r="R2701" i="1"/>
  <c r="R2779" i="1"/>
  <c r="R2775" i="1"/>
  <c r="R2726" i="1"/>
  <c r="R2741" i="1"/>
  <c r="R2773" i="1"/>
  <c r="R2670" i="1"/>
  <c r="R2723" i="1"/>
  <c r="R2711" i="1"/>
  <c r="R2783" i="1"/>
  <c r="R2807" i="1"/>
  <c r="R2762" i="1"/>
  <c r="R2733" i="1"/>
  <c r="R2721" i="1"/>
  <c r="R2771" i="1"/>
  <c r="R2672" i="1"/>
  <c r="R2760" i="1"/>
  <c r="R2765" i="1"/>
  <c r="R2778" i="1"/>
  <c r="R2786" i="1"/>
  <c r="R2761" i="1"/>
  <c r="R2662" i="1"/>
  <c r="R2759" i="1"/>
  <c r="R2805" i="1"/>
  <c r="R2708" i="1"/>
  <c r="R2706" i="1"/>
  <c r="R2656" i="1"/>
  <c r="R2674" i="1"/>
  <c r="R2780" i="1"/>
  <c r="R2665" i="1"/>
  <c r="R2666" i="1" s="1"/>
  <c r="R2724" i="1"/>
  <c r="R2811" i="1"/>
  <c r="R2795" i="1"/>
  <c r="R2738" i="1"/>
  <c r="R2715" i="1"/>
  <c r="R2688" i="1"/>
  <c r="R2767" i="1"/>
  <c r="R2716" i="1"/>
  <c r="R2808" i="1"/>
  <c r="R2742" i="1"/>
  <c r="R2755" i="1"/>
  <c r="R2749" i="1"/>
  <c r="R2772" i="1"/>
  <c r="R2677" i="1"/>
  <c r="R2661" i="1"/>
  <c r="R2731" i="1"/>
  <c r="R2753" i="1"/>
  <c r="R2740" i="1"/>
  <c r="R2768" i="1"/>
  <c r="R2705" i="1"/>
  <c r="R2806" i="1"/>
  <c r="R2659" i="1"/>
  <c r="R2809" i="1"/>
  <c r="R2652" i="1"/>
  <c r="R2789" i="1"/>
  <c r="R2781" i="1"/>
  <c r="R2709" i="1"/>
  <c r="R2725" i="1"/>
  <c r="R2794" i="1"/>
  <c r="R2766" i="1"/>
  <c r="R2675" i="1"/>
  <c r="R2736" i="1"/>
  <c r="R2712" i="1"/>
  <c r="R2796" i="1"/>
  <c r="R2700" i="1"/>
  <c r="D2522" i="1"/>
  <c r="D2358" i="1"/>
  <c r="D841" i="1"/>
  <c r="E105" i="231"/>
  <c r="F105" i="231" s="1"/>
  <c r="G105" i="231" s="1"/>
  <c r="H403" i="5"/>
  <c r="H2" i="5" s="1"/>
  <c r="H1" i="5"/>
  <c r="G1" i="5"/>
  <c r="F1" i="5"/>
  <c r="D1" i="5"/>
  <c r="R2891" i="1" l="1"/>
  <c r="R2862" i="1"/>
  <c r="R2863" i="1" s="1"/>
  <c r="R2955" i="1"/>
  <c r="R2956" i="1" s="1"/>
  <c r="R2964" i="1"/>
  <c r="R2965" i="1" s="1"/>
  <c r="R2966" i="1" s="1"/>
  <c r="R2967" i="1" s="1"/>
  <c r="R2968" i="1" s="1"/>
  <c r="R2914" i="1"/>
  <c r="R2915" i="1" s="1"/>
  <c r="R2949" i="1"/>
  <c r="R2842" i="1"/>
  <c r="R2832" i="1"/>
  <c r="R2833" i="1" s="1"/>
  <c r="R2843" i="1"/>
  <c r="R2844" i="1" s="1"/>
  <c r="R2845" i="1" s="1"/>
  <c r="R2846" i="1" s="1"/>
  <c r="R2859" i="1"/>
  <c r="R2860" i="1" s="1"/>
  <c r="R2848" i="1"/>
  <c r="R2849" i="1"/>
  <c r="R2856" i="1"/>
  <c r="R2857" i="1" s="1"/>
  <c r="R2858" i="1" s="1"/>
  <c r="D2151" i="246"/>
  <c r="D835" i="246"/>
  <c r="R2685" i="1"/>
  <c r="R2684" i="1"/>
  <c r="R2695" i="1"/>
  <c r="R2696" i="1" s="1"/>
  <c r="R2692" i="1"/>
  <c r="R2693" i="1" s="1"/>
  <c r="R2694" i="1" s="1"/>
  <c r="R2785" i="1"/>
  <c r="R2750" i="1"/>
  <c r="R2751" i="1" s="1"/>
  <c r="R2698" i="1"/>
  <c r="R2699" i="1" s="1"/>
  <c r="R2727" i="1"/>
  <c r="R2679" i="1"/>
  <c r="R2680" i="1" s="1"/>
  <c r="R2681" i="1" s="1"/>
  <c r="R2682" i="1" s="1"/>
  <c r="R2668" i="1"/>
  <c r="R2669" i="1" s="1"/>
  <c r="R2678" i="1"/>
  <c r="R2791" i="1"/>
  <c r="R2792" i="1" s="1"/>
  <c r="R2800" i="1"/>
  <c r="R2801" i="1" s="1"/>
  <c r="R2802" i="1" s="1"/>
  <c r="R2803" i="1" s="1"/>
  <c r="R2804" i="1" s="1"/>
  <c r="E106" i="231"/>
  <c r="F106" i="231" s="1"/>
  <c r="G106" i="231" s="1"/>
  <c r="G83" i="187"/>
  <c r="G69" i="187"/>
  <c r="G52" i="187"/>
  <c r="G35" i="187"/>
  <c r="G10" i="187"/>
  <c r="E3" i="187"/>
  <c r="C2" i="187"/>
  <c r="E107" i="231" l="1"/>
  <c r="F107" i="231" s="1"/>
  <c r="G107" i="231" s="1"/>
  <c r="G28" i="178"/>
  <c r="C17" i="178"/>
  <c r="C16" i="178"/>
  <c r="C15" i="178"/>
  <c r="C14" i="178"/>
  <c r="C13" i="178"/>
  <c r="C12" i="178"/>
  <c r="G10" i="178"/>
  <c r="E3" i="178"/>
  <c r="C2" i="178"/>
  <c r="C8" i="169"/>
  <c r="C9" i="169"/>
  <c r="C10" i="169"/>
  <c r="C11" i="169"/>
  <c r="C12" i="169"/>
  <c r="C13" i="169"/>
  <c r="C14" i="169"/>
  <c r="C15" i="169"/>
  <c r="C16" i="169"/>
  <c r="C17" i="169"/>
  <c r="C18" i="169"/>
  <c r="C19" i="169"/>
  <c r="C20" i="169"/>
  <c r="C21" i="169"/>
  <c r="C22" i="169"/>
  <c r="C23" i="169"/>
  <c r="C24" i="169"/>
  <c r="G6" i="169"/>
  <c r="E3" i="169"/>
  <c r="C2" i="169"/>
  <c r="C18" i="168"/>
  <c r="C17" i="168"/>
  <c r="C16" i="168"/>
  <c r="C15" i="168"/>
  <c r="C14" i="168"/>
  <c r="C13" i="168"/>
  <c r="C12" i="168"/>
  <c r="C11" i="168"/>
  <c r="C10" i="168"/>
  <c r="C9" i="168"/>
  <c r="C8" i="168"/>
  <c r="G6" i="168"/>
  <c r="E3" i="168"/>
  <c r="C2" i="168"/>
  <c r="G81" i="167"/>
  <c r="G61" i="167"/>
  <c r="G44" i="167"/>
  <c r="G27" i="167"/>
  <c r="G10" i="167"/>
  <c r="E3" i="167"/>
  <c r="C2" i="167"/>
  <c r="E108" i="231" l="1"/>
  <c r="F108" i="231" s="1"/>
  <c r="G108" i="231" s="1"/>
  <c r="C2" i="124"/>
  <c r="P360" i="5"/>
  <c r="J360" i="5" s="1"/>
  <c r="E109" i="231" l="1"/>
  <c r="F109" i="231" s="1"/>
  <c r="G109" i="231" s="1"/>
  <c r="E110" i="231" l="1"/>
  <c r="F110" i="231" s="1"/>
  <c r="G110" i="231" s="1"/>
  <c r="K87" i="89"/>
  <c r="K169" i="89" l="1"/>
  <c r="K393" i="89" s="1"/>
  <c r="E111" i="231"/>
  <c r="F111" i="231" s="1"/>
  <c r="G111" i="231" s="1"/>
  <c r="F89" i="1"/>
  <c r="E112" i="231" l="1"/>
  <c r="F112" i="231" s="1"/>
  <c r="G112" i="231" s="1"/>
  <c r="E113" i="231" l="1"/>
  <c r="F113" i="231" s="1"/>
  <c r="G113" i="231" s="1"/>
  <c r="E114" i="231" l="1"/>
  <c r="F114" i="231" s="1"/>
  <c r="G114" i="231" s="1"/>
  <c r="D1034" i="1"/>
  <c r="P151" i="5"/>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L25" i="149"/>
  <c r="K25" i="149"/>
  <c r="J25" i="149"/>
  <c r="M24" i="149"/>
  <c r="L24" i="149"/>
  <c r="K24" i="149"/>
  <c r="J24" i="149"/>
  <c r="L23" i="149"/>
  <c r="K23" i="149"/>
  <c r="M22" i="149"/>
  <c r="K22" i="149"/>
  <c r="J22" i="149"/>
  <c r="K21" i="149"/>
  <c r="J21" i="149"/>
  <c r="L20" i="149"/>
  <c r="K20" i="149"/>
  <c r="J20" i="149"/>
  <c r="K19" i="149"/>
  <c r="J19" i="149"/>
  <c r="L18" i="149"/>
  <c r="K18" i="149"/>
  <c r="J18" i="149"/>
  <c r="L17" i="149"/>
  <c r="K17" i="149"/>
  <c r="J17" i="149"/>
  <c r="K16" i="149"/>
  <c r="J16" i="149"/>
  <c r="M15" i="149"/>
  <c r="J15" i="149"/>
  <c r="G232" i="136" s="1"/>
  <c r="I232" i="136" s="1"/>
  <c r="F232" i="5" s="1"/>
  <c r="G6" i="136" l="1"/>
  <c r="I6" i="136" s="1"/>
  <c r="E115" i="231"/>
  <c r="F115" i="231" s="1"/>
  <c r="G115" i="231" s="1"/>
  <c r="E403" i="5"/>
  <c r="E116" i="231" l="1"/>
  <c r="F116" i="231" s="1"/>
  <c r="G116" i="231" s="1"/>
  <c r="P38" i="5"/>
  <c r="J38" i="5" s="1"/>
  <c r="P37" i="5"/>
  <c r="J37" i="5" s="1"/>
  <c r="P36" i="5"/>
  <c r="J36" i="5" s="1"/>
  <c r="P35" i="5"/>
  <c r="J35" i="5" s="1"/>
  <c r="P34" i="5"/>
  <c r="J34" i="5" s="1"/>
  <c r="L34" i="5" s="1"/>
  <c r="E117" i="231" l="1"/>
  <c r="F117" i="231" s="1"/>
  <c r="G117" i="231" s="1"/>
  <c r="L37" i="5"/>
  <c r="L38" i="5"/>
  <c r="L36" i="5"/>
  <c r="R2279" i="246" l="1"/>
  <c r="R2278" i="246"/>
  <c r="E118" i="231"/>
  <c r="F118" i="231" s="1"/>
  <c r="G118" i="231" s="1"/>
  <c r="S2279" i="246" l="1"/>
  <c r="W2279" i="246"/>
  <c r="D2279" i="246" s="1"/>
  <c r="U2778" i="246"/>
  <c r="U2614" i="246"/>
  <c r="S2278" i="246"/>
  <c r="V2972" i="1"/>
  <c r="W2278" i="246"/>
  <c r="D2278" i="246" s="1"/>
  <c r="V3300" i="1"/>
  <c r="V3136" i="1"/>
  <c r="V2808" i="1"/>
  <c r="S2308" i="1"/>
  <c r="S2309" i="1"/>
  <c r="E119" i="231"/>
  <c r="F119" i="231" s="1"/>
  <c r="G119" i="231" s="1"/>
  <c r="D1802" i="1"/>
  <c r="D1801" i="1"/>
  <c r="D1800" i="1"/>
  <c r="D1799" i="1"/>
  <c r="D1798" i="1"/>
  <c r="J126" i="1"/>
  <c r="J127" i="1"/>
  <c r="R127" i="1" s="1"/>
  <c r="J129" i="1"/>
  <c r="J131" i="1"/>
  <c r="J132" i="1"/>
  <c r="J133" i="1"/>
  <c r="J134" i="1"/>
  <c r="J135" i="1"/>
  <c r="J137" i="1"/>
  <c r="J138" i="1"/>
  <c r="J139" i="1"/>
  <c r="J140" i="1"/>
  <c r="J149" i="1"/>
  <c r="J150" i="1"/>
  <c r="J156" i="1"/>
  <c r="J639" i="1"/>
  <c r="J640" i="1"/>
  <c r="J641" i="1"/>
  <c r="J642" i="1"/>
  <c r="C345" i="4"/>
  <c r="C340" i="4"/>
  <c r="C325" i="4"/>
  <c r="C320" i="4"/>
  <c r="C315" i="4"/>
  <c r="C310" i="4"/>
  <c r="C305" i="4"/>
  <c r="C300" i="4"/>
  <c r="E120" i="231" l="1"/>
  <c r="F120" i="231" s="1"/>
  <c r="G120" i="231" s="1"/>
  <c r="M138" i="136"/>
  <c r="G138" i="136" s="1"/>
  <c r="I138" i="136" s="1"/>
  <c r="M137" i="136"/>
  <c r="G137" i="136" s="1"/>
  <c r="I137" i="136" s="1"/>
  <c r="O2424" i="246" s="1"/>
  <c r="M136" i="136"/>
  <c r="G136" i="136" s="1"/>
  <c r="I136" i="136" s="1"/>
  <c r="O2423" i="246" s="1"/>
  <c r="M135" i="136"/>
  <c r="G135" i="136" s="1"/>
  <c r="I135" i="136" s="1"/>
  <c r="O2422" i="246" s="1"/>
  <c r="M134" i="136"/>
  <c r="G134" i="136" s="1"/>
  <c r="I134" i="136" s="1"/>
  <c r="O2421" i="246" s="1"/>
  <c r="H484" i="149"/>
  <c r="G484" i="149"/>
  <c r="I484" i="149"/>
  <c r="K15" i="149"/>
  <c r="D4" i="149"/>
  <c r="C2" i="149"/>
  <c r="K366" i="136"/>
  <c r="F366" i="136" s="1"/>
  <c r="K367" i="136"/>
  <c r="F367" i="136" s="1"/>
  <c r="M400" i="136"/>
  <c r="M399" i="136"/>
  <c r="G399" i="136" s="1"/>
  <c r="I399" i="136" s="1"/>
  <c r="M398" i="136"/>
  <c r="G398" i="136" s="1"/>
  <c r="M397" i="136"/>
  <c r="G397" i="136" s="1"/>
  <c r="M396" i="136"/>
  <c r="G396" i="136" s="1"/>
  <c r="M395" i="136"/>
  <c r="G395" i="136" s="1"/>
  <c r="M394" i="136"/>
  <c r="G394" i="136" s="1"/>
  <c r="M393" i="136"/>
  <c r="G393" i="136" s="1"/>
  <c r="M392" i="136"/>
  <c r="G392" i="136" s="1"/>
  <c r="I392" i="136" s="1"/>
  <c r="M391" i="136"/>
  <c r="G391" i="136" s="1"/>
  <c r="M390" i="136"/>
  <c r="G390" i="136" s="1"/>
  <c r="M389" i="136"/>
  <c r="G389" i="136" s="1"/>
  <c r="M388" i="136"/>
  <c r="G388" i="136" s="1"/>
  <c r="I388" i="136" s="1"/>
  <c r="F388" i="5" s="1"/>
  <c r="M387" i="136"/>
  <c r="G387" i="136" s="1"/>
  <c r="M386" i="136"/>
  <c r="G386" i="136" s="1"/>
  <c r="M385" i="136"/>
  <c r="G385" i="136" s="1"/>
  <c r="M384" i="136"/>
  <c r="G384" i="136" s="1"/>
  <c r="M383" i="136"/>
  <c r="G383" i="136" s="1"/>
  <c r="M382" i="136"/>
  <c r="G382" i="136" s="1"/>
  <c r="M381" i="136"/>
  <c r="G381" i="136" s="1"/>
  <c r="M380" i="136"/>
  <c r="G380" i="136" s="1"/>
  <c r="M379" i="136"/>
  <c r="G379" i="136" s="1"/>
  <c r="M378" i="136"/>
  <c r="G378" i="136" s="1"/>
  <c r="M377" i="136"/>
  <c r="G377" i="136" s="1"/>
  <c r="M376" i="136"/>
  <c r="G376" i="136" s="1"/>
  <c r="M375" i="136"/>
  <c r="G375" i="136" s="1"/>
  <c r="M374" i="136"/>
  <c r="G374" i="136" s="1"/>
  <c r="M373" i="136"/>
  <c r="G373" i="136" s="1"/>
  <c r="I373" i="136" s="1"/>
  <c r="M372" i="136"/>
  <c r="G372" i="136" s="1"/>
  <c r="M371" i="136"/>
  <c r="G371" i="136" s="1"/>
  <c r="M370" i="136"/>
  <c r="G370" i="136" s="1"/>
  <c r="M369" i="136"/>
  <c r="G369" i="136" s="1"/>
  <c r="M368" i="136"/>
  <c r="G368" i="136" s="1"/>
  <c r="M367" i="136"/>
  <c r="G367" i="136" s="1"/>
  <c r="M366" i="136"/>
  <c r="G366" i="136" s="1"/>
  <c r="M365" i="136"/>
  <c r="G365" i="136" s="1"/>
  <c r="M364" i="136"/>
  <c r="G364" i="136" s="1"/>
  <c r="M363" i="136"/>
  <c r="G363" i="136" s="1"/>
  <c r="M362" i="136"/>
  <c r="G362" i="136" s="1"/>
  <c r="M361" i="136"/>
  <c r="G361" i="136" s="1"/>
  <c r="M360" i="136"/>
  <c r="G360" i="136" s="1"/>
  <c r="M359" i="136"/>
  <c r="G359" i="136" s="1"/>
  <c r="M358" i="136"/>
  <c r="G358" i="136" s="1"/>
  <c r="M357" i="136"/>
  <c r="M356" i="136"/>
  <c r="G356" i="136" s="1"/>
  <c r="M355" i="136"/>
  <c r="G355" i="136" s="1"/>
  <c r="M354" i="136"/>
  <c r="G354" i="136" s="1"/>
  <c r="M353" i="136"/>
  <c r="G353" i="136" s="1"/>
  <c r="I353" i="136" s="1"/>
  <c r="M352" i="136"/>
  <c r="G352" i="136" s="1"/>
  <c r="M351" i="136"/>
  <c r="G351" i="136" s="1"/>
  <c r="M350" i="136"/>
  <c r="G350" i="136" s="1"/>
  <c r="M349" i="136"/>
  <c r="G349" i="136" s="1"/>
  <c r="M348" i="136"/>
  <c r="G348" i="136" s="1"/>
  <c r="M346" i="136"/>
  <c r="G346" i="136" s="1"/>
  <c r="M345" i="136"/>
  <c r="G345" i="136" s="1"/>
  <c r="M343" i="136"/>
  <c r="G343" i="136" s="1"/>
  <c r="M341" i="136"/>
  <c r="G341" i="136" s="1"/>
  <c r="M340" i="136"/>
  <c r="G340" i="136" s="1"/>
  <c r="M333" i="136"/>
  <c r="G333" i="136" s="1"/>
  <c r="M331" i="136"/>
  <c r="G331" i="136" s="1"/>
  <c r="M329" i="136"/>
  <c r="G329" i="136" s="1"/>
  <c r="M320" i="136"/>
  <c r="G320" i="136" s="1"/>
  <c r="M318" i="136"/>
  <c r="G318" i="136" s="1"/>
  <c r="M317" i="136"/>
  <c r="G317" i="136" s="1"/>
  <c r="M316" i="136"/>
  <c r="G316" i="136" s="1"/>
  <c r="M315" i="136"/>
  <c r="G315" i="136" s="1"/>
  <c r="M314" i="136"/>
  <c r="G314" i="136" s="1"/>
  <c r="M313" i="136"/>
  <c r="G313" i="136" s="1"/>
  <c r="M312" i="136"/>
  <c r="G312" i="136" s="1"/>
  <c r="M311" i="136"/>
  <c r="G311" i="136" s="1"/>
  <c r="M310" i="136"/>
  <c r="G310" i="136" s="1"/>
  <c r="M309" i="136"/>
  <c r="G309" i="136" s="1"/>
  <c r="M308" i="136"/>
  <c r="G308" i="136" s="1"/>
  <c r="M307" i="136"/>
  <c r="G307" i="136" s="1"/>
  <c r="M306" i="136"/>
  <c r="G306" i="136" s="1"/>
  <c r="M301" i="136"/>
  <c r="G301" i="136" s="1"/>
  <c r="I301" i="136" s="1"/>
  <c r="M282" i="136"/>
  <c r="G282" i="136" s="1"/>
  <c r="M281" i="136"/>
  <c r="G281" i="136" s="1"/>
  <c r="I281" i="136" s="1"/>
  <c r="F281" i="5" s="1"/>
  <c r="M280" i="136"/>
  <c r="G280" i="136" s="1"/>
  <c r="I280" i="136" s="1"/>
  <c r="F280" i="5" s="1"/>
  <c r="M279" i="136"/>
  <c r="G279" i="136" s="1"/>
  <c r="M278" i="136"/>
  <c r="G278" i="136" s="1"/>
  <c r="I278" i="136" s="1"/>
  <c r="M277" i="136"/>
  <c r="G277" i="136" s="1"/>
  <c r="I277" i="136" s="1"/>
  <c r="F277" i="5" s="1"/>
  <c r="M276" i="136"/>
  <c r="G276" i="136" s="1"/>
  <c r="I276" i="136" s="1"/>
  <c r="F276" i="5" s="1"/>
  <c r="M275" i="136"/>
  <c r="G275" i="136" s="1"/>
  <c r="M274" i="136"/>
  <c r="G274" i="136" s="1"/>
  <c r="I274" i="136" s="1"/>
  <c r="M273" i="136"/>
  <c r="G273" i="136" s="1"/>
  <c r="I273" i="136" s="1"/>
  <c r="F273" i="5" s="1"/>
  <c r="M272" i="136"/>
  <c r="G272" i="136" s="1"/>
  <c r="I272" i="136" s="1"/>
  <c r="F272" i="5" s="1"/>
  <c r="M271" i="136"/>
  <c r="G271" i="136" s="1"/>
  <c r="M270" i="136"/>
  <c r="G270" i="136" s="1"/>
  <c r="I270" i="136" s="1"/>
  <c r="M269" i="136"/>
  <c r="G269" i="136" s="1"/>
  <c r="I269" i="136" s="1"/>
  <c r="F269" i="5" s="1"/>
  <c r="M268" i="136"/>
  <c r="G268" i="136" s="1"/>
  <c r="I268" i="136" s="1"/>
  <c r="F268" i="5" s="1"/>
  <c r="M267" i="136"/>
  <c r="G267" i="136" s="1"/>
  <c r="M266" i="136"/>
  <c r="G266" i="136" s="1"/>
  <c r="I266" i="136" s="1"/>
  <c r="M265" i="136"/>
  <c r="G265" i="136" s="1"/>
  <c r="I265" i="136" s="1"/>
  <c r="F265" i="5" s="1"/>
  <c r="M264" i="136"/>
  <c r="G264" i="136" s="1"/>
  <c r="I264" i="136" s="1"/>
  <c r="F264" i="5" s="1"/>
  <c r="M263" i="136"/>
  <c r="G263" i="136" s="1"/>
  <c r="M262" i="136"/>
  <c r="G262" i="136" s="1"/>
  <c r="I262" i="136" s="1"/>
  <c r="M261" i="136"/>
  <c r="G261" i="136" s="1"/>
  <c r="I261" i="136" s="1"/>
  <c r="F261" i="5" s="1"/>
  <c r="M260" i="136"/>
  <c r="G260" i="136" s="1"/>
  <c r="I260" i="136" s="1"/>
  <c r="F260" i="5" s="1"/>
  <c r="M259" i="136"/>
  <c r="G259" i="136" s="1"/>
  <c r="M258" i="136"/>
  <c r="G258" i="136" s="1"/>
  <c r="I258" i="136" s="1"/>
  <c r="M257" i="136"/>
  <c r="G257" i="136" s="1"/>
  <c r="I257" i="136" s="1"/>
  <c r="F257" i="5" s="1"/>
  <c r="M256" i="136"/>
  <c r="G256" i="136" s="1"/>
  <c r="I256" i="136" s="1"/>
  <c r="F256" i="5" s="1"/>
  <c r="M255" i="136"/>
  <c r="G255" i="136" s="1"/>
  <c r="M254" i="136"/>
  <c r="G254" i="136" s="1"/>
  <c r="I254" i="136" s="1"/>
  <c r="M253" i="136"/>
  <c r="G253" i="136" s="1"/>
  <c r="I253" i="136" s="1"/>
  <c r="F253" i="5" s="1"/>
  <c r="M252" i="136"/>
  <c r="G252" i="136" s="1"/>
  <c r="I252" i="136" s="1"/>
  <c r="F252" i="5" s="1"/>
  <c r="M251" i="136"/>
  <c r="G251" i="136" s="1"/>
  <c r="M250" i="136"/>
  <c r="G250" i="136" s="1"/>
  <c r="I250" i="136" s="1"/>
  <c r="M237" i="136"/>
  <c r="G237" i="136" s="1"/>
  <c r="I237" i="136" s="1"/>
  <c r="F237" i="5" s="1"/>
  <c r="M236" i="136"/>
  <c r="G236" i="136" s="1"/>
  <c r="I236" i="136" s="1"/>
  <c r="F236" i="5" s="1"/>
  <c r="M235" i="136"/>
  <c r="G235" i="136" s="1"/>
  <c r="M234" i="136"/>
  <c r="G234" i="136" s="1"/>
  <c r="I234" i="136" s="1"/>
  <c r="M231" i="136"/>
  <c r="G231" i="136" s="1"/>
  <c r="I231" i="136" s="1"/>
  <c r="F231" i="5" s="1"/>
  <c r="M230" i="136"/>
  <c r="G230" i="136" s="1"/>
  <c r="I230" i="136" s="1"/>
  <c r="F230" i="5" s="1"/>
  <c r="M229" i="136"/>
  <c r="G229" i="136" s="1"/>
  <c r="M228" i="136"/>
  <c r="G228" i="136" s="1"/>
  <c r="I228" i="136" s="1"/>
  <c r="M227" i="136"/>
  <c r="G227" i="136" s="1"/>
  <c r="I227" i="136" s="1"/>
  <c r="F227" i="5" s="1"/>
  <c r="M226" i="136"/>
  <c r="G226" i="136" s="1"/>
  <c r="I226" i="136" s="1"/>
  <c r="F226" i="5" s="1"/>
  <c r="M225" i="136"/>
  <c r="G225" i="136" s="1"/>
  <c r="I225" i="136" s="1"/>
  <c r="F225" i="5" s="1"/>
  <c r="M224" i="136"/>
  <c r="G224" i="136" s="1"/>
  <c r="I224" i="136" s="1"/>
  <c r="F224" i="5" s="1"/>
  <c r="M221" i="136"/>
  <c r="G221" i="136" s="1"/>
  <c r="M220" i="136"/>
  <c r="G220" i="136" s="1"/>
  <c r="M219" i="136"/>
  <c r="G219" i="136" s="1"/>
  <c r="I219" i="136" s="1"/>
  <c r="M218" i="136"/>
  <c r="G218" i="136" s="1"/>
  <c r="M217" i="136"/>
  <c r="G217" i="136" s="1"/>
  <c r="M216" i="136"/>
  <c r="G216" i="136" s="1"/>
  <c r="M215" i="136"/>
  <c r="G215" i="136" s="1"/>
  <c r="M214" i="136"/>
  <c r="G214" i="136" s="1"/>
  <c r="M213" i="136"/>
  <c r="G213" i="136" s="1"/>
  <c r="M212" i="136"/>
  <c r="G212" i="136" s="1"/>
  <c r="M211" i="136"/>
  <c r="G211" i="136" s="1"/>
  <c r="M210" i="136"/>
  <c r="G210" i="136" s="1"/>
  <c r="M209" i="136"/>
  <c r="G209" i="136" s="1"/>
  <c r="M208" i="136"/>
  <c r="G208" i="136" s="1"/>
  <c r="M207" i="136"/>
  <c r="G207" i="136" s="1"/>
  <c r="M206" i="136"/>
  <c r="G206" i="136" s="1"/>
  <c r="M205" i="136"/>
  <c r="G205" i="136" s="1"/>
  <c r="M204" i="136"/>
  <c r="G204" i="136" s="1"/>
  <c r="M203" i="136"/>
  <c r="G203" i="136" s="1"/>
  <c r="M202" i="136"/>
  <c r="M201" i="136"/>
  <c r="G201" i="136" s="1"/>
  <c r="M200" i="136"/>
  <c r="G200" i="136" s="1"/>
  <c r="M199" i="136"/>
  <c r="G199" i="136" s="1"/>
  <c r="M196" i="136"/>
  <c r="G196" i="136" s="1"/>
  <c r="M195" i="136"/>
  <c r="G195" i="136" s="1"/>
  <c r="M194" i="136"/>
  <c r="G194" i="136" s="1"/>
  <c r="M193" i="136"/>
  <c r="G193" i="136" s="1"/>
  <c r="M192" i="136"/>
  <c r="G192" i="136" s="1"/>
  <c r="M191" i="136"/>
  <c r="G191" i="136" s="1"/>
  <c r="M190" i="136"/>
  <c r="G190" i="136" s="1"/>
  <c r="M189" i="136"/>
  <c r="G189" i="136" s="1"/>
  <c r="M188" i="136"/>
  <c r="G188" i="136" s="1"/>
  <c r="M187" i="136"/>
  <c r="G187" i="136" s="1"/>
  <c r="M186" i="136"/>
  <c r="G186" i="136" s="1"/>
  <c r="M185" i="136"/>
  <c r="G185" i="136" s="1"/>
  <c r="M184" i="136"/>
  <c r="G184" i="136" s="1"/>
  <c r="I184" i="136" s="1"/>
  <c r="M183" i="136"/>
  <c r="G183" i="136" s="1"/>
  <c r="M182" i="136"/>
  <c r="G182" i="136" s="1"/>
  <c r="I182" i="136" s="1"/>
  <c r="F182" i="5" s="1"/>
  <c r="M181" i="136"/>
  <c r="G181" i="136" s="1"/>
  <c r="I181" i="136" s="1"/>
  <c r="F181" i="5" s="1"/>
  <c r="M180" i="136"/>
  <c r="G180" i="136" s="1"/>
  <c r="M179" i="136"/>
  <c r="G179" i="136" s="1"/>
  <c r="I179" i="136" s="1"/>
  <c r="M178" i="136"/>
  <c r="G178" i="136" s="1"/>
  <c r="I178" i="136" s="1"/>
  <c r="F178" i="5" s="1"/>
  <c r="M177" i="136"/>
  <c r="G177" i="136" s="1"/>
  <c r="I177" i="136" s="1"/>
  <c r="F177" i="5" s="1"/>
  <c r="M176" i="136"/>
  <c r="G176" i="136" s="1"/>
  <c r="M175" i="136"/>
  <c r="G175" i="136" s="1"/>
  <c r="I175" i="136" s="1"/>
  <c r="M174" i="136"/>
  <c r="G174" i="136" s="1"/>
  <c r="I174" i="136" s="1"/>
  <c r="F174" i="5" s="1"/>
  <c r="M173" i="136"/>
  <c r="G173" i="136" s="1"/>
  <c r="I173" i="136" s="1"/>
  <c r="F173" i="5" s="1"/>
  <c r="M172" i="136"/>
  <c r="G172" i="136" s="1"/>
  <c r="M171" i="136"/>
  <c r="G171" i="136" s="1"/>
  <c r="I171" i="136" s="1"/>
  <c r="M170" i="136"/>
  <c r="G170" i="136" s="1"/>
  <c r="I170" i="136" s="1"/>
  <c r="F170" i="5" s="1"/>
  <c r="M169" i="136"/>
  <c r="G169" i="136" s="1"/>
  <c r="M168" i="136"/>
  <c r="K400" i="136"/>
  <c r="K399" i="136"/>
  <c r="K398" i="136"/>
  <c r="F398" i="136" s="1"/>
  <c r="K397" i="136"/>
  <c r="K396" i="136"/>
  <c r="F396" i="136" s="1"/>
  <c r="K395" i="136"/>
  <c r="F395" i="136" s="1"/>
  <c r="K394" i="136"/>
  <c r="F394" i="136" s="1"/>
  <c r="K393" i="136"/>
  <c r="F393" i="136" s="1"/>
  <c r="K392" i="136"/>
  <c r="K391" i="136"/>
  <c r="K390" i="136"/>
  <c r="K389" i="136"/>
  <c r="K388" i="136"/>
  <c r="K387" i="136"/>
  <c r="K386" i="136"/>
  <c r="K385" i="136"/>
  <c r="K384" i="136"/>
  <c r="K383" i="136"/>
  <c r="F383" i="136" s="1"/>
  <c r="K382" i="136"/>
  <c r="F382" i="136" s="1"/>
  <c r="K381" i="136"/>
  <c r="F381" i="136" s="1"/>
  <c r="K380" i="136"/>
  <c r="F380" i="136" s="1"/>
  <c r="K379" i="136"/>
  <c r="F379" i="136" s="1"/>
  <c r="K378" i="136"/>
  <c r="K377" i="136"/>
  <c r="K376" i="136"/>
  <c r="F376" i="136" s="1"/>
  <c r="K375" i="136"/>
  <c r="F375" i="136" s="1"/>
  <c r="K374" i="136"/>
  <c r="F374" i="136" s="1"/>
  <c r="K373" i="136"/>
  <c r="K372" i="136"/>
  <c r="F372" i="136" s="1"/>
  <c r="K371" i="136"/>
  <c r="F371" i="136" s="1"/>
  <c r="K370" i="136"/>
  <c r="F370" i="136" s="1"/>
  <c r="K369" i="136"/>
  <c r="F369" i="136" s="1"/>
  <c r="K368" i="136"/>
  <c r="F368" i="136" s="1"/>
  <c r="K365" i="136"/>
  <c r="K364" i="136"/>
  <c r="F364" i="136" s="1"/>
  <c r="K363" i="136"/>
  <c r="F363" i="136" s="1"/>
  <c r="K362" i="136"/>
  <c r="F362" i="136" s="1"/>
  <c r="K361" i="136"/>
  <c r="F361" i="136" s="1"/>
  <c r="K360" i="136"/>
  <c r="F360" i="136" s="1"/>
  <c r="K359" i="136"/>
  <c r="F359" i="136" s="1"/>
  <c r="K358" i="136"/>
  <c r="K357" i="136"/>
  <c r="F357" i="136" s="1"/>
  <c r="K356" i="136"/>
  <c r="F356" i="136" s="1"/>
  <c r="K355" i="136"/>
  <c r="F355" i="136" s="1"/>
  <c r="K354" i="136"/>
  <c r="F354" i="136" s="1"/>
  <c r="K353" i="136"/>
  <c r="K352" i="136"/>
  <c r="F352" i="136" s="1"/>
  <c r="K351" i="136"/>
  <c r="F351" i="136" s="1"/>
  <c r="K350" i="136"/>
  <c r="F350" i="136" s="1"/>
  <c r="K349" i="136"/>
  <c r="F349" i="136" s="1"/>
  <c r="K348" i="136"/>
  <c r="F348" i="136" s="1"/>
  <c r="K346" i="136"/>
  <c r="F346" i="136" s="1"/>
  <c r="K345" i="136"/>
  <c r="F345" i="136" s="1"/>
  <c r="K343" i="136"/>
  <c r="F343" i="136" s="1"/>
  <c r="K341" i="136"/>
  <c r="K340" i="136"/>
  <c r="F340" i="136" s="1"/>
  <c r="K333" i="136"/>
  <c r="F333" i="136" s="1"/>
  <c r="K331" i="136"/>
  <c r="F331" i="136" s="1"/>
  <c r="K329" i="136"/>
  <c r="F329" i="136" s="1"/>
  <c r="K320" i="136"/>
  <c r="F320" i="136" s="1"/>
  <c r="K318" i="136"/>
  <c r="K317" i="136"/>
  <c r="F317" i="136" s="1"/>
  <c r="K316" i="136"/>
  <c r="F316" i="136" s="1"/>
  <c r="K315" i="136"/>
  <c r="F315" i="136" s="1"/>
  <c r="K314" i="136"/>
  <c r="F314" i="136" s="1"/>
  <c r="K313" i="136"/>
  <c r="F313" i="136" s="1"/>
  <c r="K312" i="136"/>
  <c r="K311" i="136"/>
  <c r="F311" i="136" s="1"/>
  <c r="K310" i="136"/>
  <c r="F310" i="136" s="1"/>
  <c r="K309" i="136"/>
  <c r="F309" i="136" s="1"/>
  <c r="K308" i="136"/>
  <c r="F308" i="136" s="1"/>
  <c r="K307" i="136"/>
  <c r="F307" i="136" s="1"/>
  <c r="K306" i="136"/>
  <c r="K301" i="136"/>
  <c r="K282" i="136"/>
  <c r="K281" i="136"/>
  <c r="K280" i="136"/>
  <c r="K279" i="136"/>
  <c r="K278" i="136"/>
  <c r="K277" i="136"/>
  <c r="K276" i="136"/>
  <c r="K275" i="136"/>
  <c r="K274" i="136"/>
  <c r="K273" i="136"/>
  <c r="K272" i="136"/>
  <c r="K271" i="136"/>
  <c r="K270" i="136"/>
  <c r="K269" i="136"/>
  <c r="K268" i="136"/>
  <c r="K267" i="136"/>
  <c r="K266" i="136"/>
  <c r="K265" i="136"/>
  <c r="K264" i="136"/>
  <c r="K263" i="136"/>
  <c r="K262" i="136"/>
  <c r="K261" i="136"/>
  <c r="K260" i="136"/>
  <c r="K259" i="136"/>
  <c r="K258" i="136"/>
  <c r="K257" i="136"/>
  <c r="K256" i="136"/>
  <c r="K255" i="136"/>
  <c r="K254" i="136"/>
  <c r="K253" i="136"/>
  <c r="K252" i="136"/>
  <c r="K251" i="136"/>
  <c r="K250" i="136"/>
  <c r="K237" i="136"/>
  <c r="K236" i="136"/>
  <c r="K235" i="136"/>
  <c r="K234" i="136"/>
  <c r="K231" i="136"/>
  <c r="K230" i="136"/>
  <c r="K229" i="136"/>
  <c r="K228" i="136"/>
  <c r="K227" i="136"/>
  <c r="K226" i="136"/>
  <c r="K225" i="136"/>
  <c r="K224" i="136"/>
  <c r="K221" i="136"/>
  <c r="K220" i="136"/>
  <c r="F220" i="136" s="1"/>
  <c r="K219" i="136"/>
  <c r="K218" i="136"/>
  <c r="F218" i="136" s="1"/>
  <c r="K217" i="136"/>
  <c r="F217" i="136" s="1"/>
  <c r="K216" i="136"/>
  <c r="F216" i="136" s="1"/>
  <c r="K215" i="136"/>
  <c r="F215" i="136" s="1"/>
  <c r="K214" i="136"/>
  <c r="F214" i="136" s="1"/>
  <c r="K213" i="136"/>
  <c r="F213" i="136" s="1"/>
  <c r="K212" i="136"/>
  <c r="F212" i="136" s="1"/>
  <c r="K211" i="136"/>
  <c r="F211" i="136" s="1"/>
  <c r="K210" i="136"/>
  <c r="F210" i="136" s="1"/>
  <c r="K209" i="136"/>
  <c r="F209" i="136" s="1"/>
  <c r="K208" i="136"/>
  <c r="F208" i="136" s="1"/>
  <c r="K207" i="136"/>
  <c r="F207" i="136" s="1"/>
  <c r="K206" i="136"/>
  <c r="F206" i="136" s="1"/>
  <c r="K205" i="136"/>
  <c r="F205" i="136" s="1"/>
  <c r="K204" i="136"/>
  <c r="F204" i="136" s="1"/>
  <c r="K203" i="136"/>
  <c r="F203" i="136" s="1"/>
  <c r="K202" i="136"/>
  <c r="F202" i="136" s="1"/>
  <c r="K201" i="136"/>
  <c r="F201" i="136" s="1"/>
  <c r="K200" i="136"/>
  <c r="F200" i="136" s="1"/>
  <c r="K199" i="136"/>
  <c r="F199" i="136" s="1"/>
  <c r="K196" i="136"/>
  <c r="F196" i="136" s="1"/>
  <c r="K195" i="136"/>
  <c r="F195" i="136" s="1"/>
  <c r="K194" i="136"/>
  <c r="F194" i="136" s="1"/>
  <c r="K193" i="136"/>
  <c r="F193" i="136" s="1"/>
  <c r="K192" i="136"/>
  <c r="F192" i="136" s="1"/>
  <c r="K191" i="136"/>
  <c r="F191" i="136" s="1"/>
  <c r="K190" i="136"/>
  <c r="F190" i="136" s="1"/>
  <c r="K189" i="136"/>
  <c r="F189" i="136" s="1"/>
  <c r="K188" i="136"/>
  <c r="F188" i="136" s="1"/>
  <c r="K187" i="136"/>
  <c r="F187" i="136" s="1"/>
  <c r="K186" i="136"/>
  <c r="F186" i="136" s="1"/>
  <c r="K185" i="136"/>
  <c r="F185" i="136" s="1"/>
  <c r="K184" i="136"/>
  <c r="K183" i="136"/>
  <c r="K182" i="136"/>
  <c r="K181" i="136"/>
  <c r="K180" i="136"/>
  <c r="K179" i="136"/>
  <c r="K178" i="136"/>
  <c r="K177" i="136"/>
  <c r="K176" i="136"/>
  <c r="K175" i="136"/>
  <c r="K174" i="136"/>
  <c r="K173" i="136"/>
  <c r="K172" i="136"/>
  <c r="K171" i="136"/>
  <c r="K170" i="136"/>
  <c r="K169" i="136"/>
  <c r="K168" i="136"/>
  <c r="K299" i="89"/>
  <c r="K298" i="89"/>
  <c r="M164" i="136"/>
  <c r="G164" i="136" s="1"/>
  <c r="I164" i="136" s="1"/>
  <c r="F164" i="5" s="1"/>
  <c r="K300" i="89"/>
  <c r="K388" i="89"/>
  <c r="K387" i="89"/>
  <c r="K313" i="89"/>
  <c r="K312" i="89"/>
  <c r="K311" i="89"/>
  <c r="K310" i="89"/>
  <c r="K309" i="89"/>
  <c r="K308" i="89"/>
  <c r="K307" i="89"/>
  <c r="K306" i="89"/>
  <c r="K305" i="89"/>
  <c r="E3" i="124"/>
  <c r="F221" i="136" l="1"/>
  <c r="F229" i="136"/>
  <c r="I229" i="136" s="1"/>
  <c r="F235" i="136"/>
  <c r="O2425" i="246"/>
  <c r="M2455" i="1"/>
  <c r="O2617" i="1"/>
  <c r="M2453" i="1"/>
  <c r="M2454" i="1"/>
  <c r="O2618" i="1"/>
  <c r="O2616" i="1"/>
  <c r="M2452" i="1"/>
  <c r="O2615" i="1"/>
  <c r="M2451" i="1"/>
  <c r="O2619" i="1"/>
  <c r="M21" i="149"/>
  <c r="E121" i="231"/>
  <c r="F121" i="231" s="1"/>
  <c r="G121" i="231" s="1"/>
  <c r="M16" i="149"/>
  <c r="M18" i="149"/>
  <c r="A18" i="149" s="1"/>
  <c r="G168" i="136"/>
  <c r="I168" i="136" s="1"/>
  <c r="M26" i="149"/>
  <c r="A26" i="149" s="1"/>
  <c r="M25" i="149"/>
  <c r="A25" i="149" s="1"/>
  <c r="M23" i="149"/>
  <c r="A23" i="149" s="1"/>
  <c r="M20" i="149"/>
  <c r="M19" i="149"/>
  <c r="M17" i="149"/>
  <c r="I394" i="136"/>
  <c r="F394" i="5" s="1"/>
  <c r="G357" i="136"/>
  <c r="I357" i="136" s="1"/>
  <c r="F357" i="5" s="1"/>
  <c r="G202" i="136"/>
  <c r="I202" i="136" s="1"/>
  <c r="F202" i="5" s="1"/>
  <c r="G400" i="136"/>
  <c r="I400" i="136" s="1"/>
  <c r="F400" i="5" s="1"/>
  <c r="I208" i="136"/>
  <c r="F208" i="5" s="1"/>
  <c r="I212" i="136"/>
  <c r="F212" i="5" s="1"/>
  <c r="I186" i="136"/>
  <c r="F186" i="5" s="1"/>
  <c r="I195" i="136"/>
  <c r="F195" i="5" s="1"/>
  <c r="I194" i="136"/>
  <c r="F194" i="5" s="1"/>
  <c r="I206" i="136"/>
  <c r="F206" i="5" s="1"/>
  <c r="F169" i="136"/>
  <c r="I169" i="136" s="1"/>
  <c r="I211" i="136"/>
  <c r="F211" i="5" s="1"/>
  <c r="F180" i="136"/>
  <c r="I180" i="136" s="1"/>
  <c r="A304" i="149"/>
  <c r="A464" i="149"/>
  <c r="I220" i="136"/>
  <c r="I188" i="136"/>
  <c r="F188" i="5" s="1"/>
  <c r="I192" i="136"/>
  <c r="F192" i="5" s="1"/>
  <c r="I369" i="136"/>
  <c r="F369" i="5" s="1"/>
  <c r="I235" i="136"/>
  <c r="F251" i="136"/>
  <c r="I251" i="136" s="1"/>
  <c r="F255" i="136"/>
  <c r="I255" i="136" s="1"/>
  <c r="F259" i="136"/>
  <c r="I259" i="136" s="1"/>
  <c r="F263" i="136"/>
  <c r="I263" i="136" s="1"/>
  <c r="F267" i="136"/>
  <c r="I267" i="136" s="1"/>
  <c r="F271" i="136"/>
  <c r="I271" i="136" s="1"/>
  <c r="F275" i="136"/>
  <c r="I275" i="136" s="1"/>
  <c r="F279" i="136"/>
  <c r="I279"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21" i="136"/>
  <c r="I196" i="136"/>
  <c r="F196" i="5" s="1"/>
  <c r="I203" i="136"/>
  <c r="F203" i="5" s="1"/>
  <c r="I207" i="136"/>
  <c r="F207" i="5" s="1"/>
  <c r="I215" i="136"/>
  <c r="F215" i="5" s="1"/>
  <c r="I309" i="136"/>
  <c r="F309" i="5" s="1"/>
  <c r="F172" i="136"/>
  <c r="I172" i="136" s="1"/>
  <c r="F176" i="136"/>
  <c r="I176" i="136" s="1"/>
  <c r="F385" i="136"/>
  <c r="I385" i="136" s="1"/>
  <c r="I317" i="136"/>
  <c r="F317" i="5" s="1"/>
  <c r="I343" i="136"/>
  <c r="F343" i="5" s="1"/>
  <c r="I185" i="136"/>
  <c r="F185" i="5" s="1"/>
  <c r="I189" i="136"/>
  <c r="F189" i="5" s="1"/>
  <c r="I193" i="136"/>
  <c r="F193" i="5" s="1"/>
  <c r="I199" i="136"/>
  <c r="F199" i="5" s="1"/>
  <c r="I204" i="136"/>
  <c r="F204" i="5" s="1"/>
  <c r="I216" i="136"/>
  <c r="F216" i="5" s="1"/>
  <c r="I190" i="136"/>
  <c r="F190" i="5" s="1"/>
  <c r="I200" i="136"/>
  <c r="I205" i="136"/>
  <c r="F205" i="5" s="1"/>
  <c r="I209" i="136"/>
  <c r="F209" i="5" s="1"/>
  <c r="I213" i="136"/>
  <c r="F213" i="5" s="1"/>
  <c r="I217" i="136"/>
  <c r="F217" i="5" s="1"/>
  <c r="I311" i="136"/>
  <c r="F311" i="5" s="1"/>
  <c r="I346" i="136"/>
  <c r="F346" i="5" s="1"/>
  <c r="I351" i="136"/>
  <c r="F351" i="5" s="1"/>
  <c r="I359" i="136"/>
  <c r="F359" i="5" s="1"/>
  <c r="I187" i="136"/>
  <c r="F187" i="5" s="1"/>
  <c r="I191" i="136"/>
  <c r="F191" i="5" s="1"/>
  <c r="I201" i="136"/>
  <c r="I210" i="136"/>
  <c r="F210" i="5" s="1"/>
  <c r="I214" i="136"/>
  <c r="F214" i="5" s="1"/>
  <c r="I218" i="136"/>
  <c r="F218" i="5" s="1"/>
  <c r="I316" i="136"/>
  <c r="F316" i="5" s="1"/>
  <c r="I364" i="136"/>
  <c r="F364" i="5" s="1"/>
  <c r="I383" i="136"/>
  <c r="F383" i="5" s="1"/>
  <c r="I307" i="136"/>
  <c r="F307" i="5" s="1"/>
  <c r="I315" i="136"/>
  <c r="F315" i="5" s="1"/>
  <c r="I320" i="136"/>
  <c r="F320" i="5" s="1"/>
  <c r="I340" i="136"/>
  <c r="F340" i="5" s="1"/>
  <c r="I355" i="136"/>
  <c r="F355" i="5" s="1"/>
  <c r="I363" i="136"/>
  <c r="F363" i="5" s="1"/>
  <c r="I367" i="136"/>
  <c r="F367" i="5" s="1"/>
  <c r="I371" i="136"/>
  <c r="F371" i="5" s="1"/>
  <c r="I374" i="136"/>
  <c r="F374" i="5" s="1"/>
  <c r="I378" i="136"/>
  <c r="I382" i="136"/>
  <c r="F382" i="5" s="1"/>
  <c r="I386" i="136"/>
  <c r="F386" i="5" s="1"/>
  <c r="I390" i="136"/>
  <c r="F390" i="5" s="1"/>
  <c r="I396" i="136"/>
  <c r="F396"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310" i="136"/>
  <c r="F310" i="5" s="1"/>
  <c r="I314" i="136"/>
  <c r="F314" i="5" s="1"/>
  <c r="I318" i="136"/>
  <c r="I333" i="136"/>
  <c r="F333" i="5" s="1"/>
  <c r="I345" i="136"/>
  <c r="F345" i="5" s="1"/>
  <c r="L345" i="5" s="1"/>
  <c r="I350" i="136"/>
  <c r="F350" i="5" s="1"/>
  <c r="I354" i="136"/>
  <c r="F354" i="5" s="1"/>
  <c r="I358" i="136"/>
  <c r="I362" i="136"/>
  <c r="F362" i="5" s="1"/>
  <c r="I370" i="136"/>
  <c r="F370" i="5" s="1"/>
  <c r="I377" i="136"/>
  <c r="I381" i="136"/>
  <c r="F381" i="5" s="1"/>
  <c r="I389" i="136"/>
  <c r="F389" i="5" s="1"/>
  <c r="I395" i="136"/>
  <c r="F395" i="5" s="1"/>
  <c r="I306" i="136"/>
  <c r="I282" i="136"/>
  <c r="I308" i="136"/>
  <c r="F308" i="5" s="1"/>
  <c r="I312" i="136"/>
  <c r="I329" i="136"/>
  <c r="F329" i="5" s="1"/>
  <c r="I341" i="136"/>
  <c r="I348" i="136"/>
  <c r="F348" i="5" s="1"/>
  <c r="I352" i="136"/>
  <c r="F352" i="5" s="1"/>
  <c r="I356" i="136"/>
  <c r="F356" i="5" s="1"/>
  <c r="I360" i="136"/>
  <c r="F360" i="5" s="1"/>
  <c r="I368" i="136"/>
  <c r="F368" i="5" s="1"/>
  <c r="I372" i="136"/>
  <c r="F372" i="5" s="1"/>
  <c r="I375" i="136"/>
  <c r="F375" i="5" s="1"/>
  <c r="I379" i="136"/>
  <c r="F379" i="5" s="1"/>
  <c r="I387" i="136"/>
  <c r="F387" i="5" s="1"/>
  <c r="I391" i="136"/>
  <c r="F391" i="5" s="1"/>
  <c r="I393" i="136"/>
  <c r="I397" i="136"/>
  <c r="A30" i="149"/>
  <c r="A31" i="149"/>
  <c r="A32" i="149"/>
  <c r="I366" i="136"/>
  <c r="F366" i="5" s="1"/>
  <c r="I313" i="136"/>
  <c r="F313" i="5" s="1"/>
  <c r="I331" i="136"/>
  <c r="F331" i="5" s="1"/>
  <c r="I349" i="136"/>
  <c r="F349" i="5" s="1"/>
  <c r="I361" i="136"/>
  <c r="F361" i="5" s="1"/>
  <c r="I365" i="136"/>
  <c r="I376" i="136"/>
  <c r="F376" i="5" s="1"/>
  <c r="I380" i="136"/>
  <c r="F380" i="5" s="1"/>
  <c r="I384" i="136"/>
  <c r="I398" i="136"/>
  <c r="F398" i="5" s="1"/>
  <c r="E260" i="4" l="1"/>
  <c r="G23" i="229"/>
  <c r="M1592" i="1"/>
  <c r="R1592" i="1" s="1"/>
  <c r="O1563" i="246"/>
  <c r="R1563" i="246" s="1"/>
  <c r="E122" i="231"/>
  <c r="F122" i="231" s="1"/>
  <c r="G122" i="231" s="1"/>
  <c r="E123" i="231" l="1"/>
  <c r="F123" i="231" s="1"/>
  <c r="G123" i="231" s="1"/>
  <c r="D403" i="136"/>
  <c r="P227" i="5"/>
  <c r="P221" i="5"/>
  <c r="J221" i="5" s="1"/>
  <c r="E124" i="231" l="1"/>
  <c r="F124" i="231" s="1"/>
  <c r="G124" i="231" s="1"/>
  <c r="A403" i="136"/>
  <c r="E125" i="231" l="1"/>
  <c r="F125" i="231" s="1"/>
  <c r="G125" i="231" s="1"/>
  <c r="E126" i="231" l="1"/>
  <c r="F126" i="231" s="1"/>
  <c r="G126" i="231" s="1"/>
  <c r="E127" i="231" l="1"/>
  <c r="F127" i="231" l="1"/>
  <c r="G127" i="231" l="1"/>
  <c r="D1853" i="1"/>
  <c r="D1852" i="1"/>
  <c r="D1851" i="1"/>
  <c r="D1850" i="1"/>
  <c r="D1849" i="1"/>
  <c r="D1848" i="1"/>
  <c r="D1847" i="1"/>
  <c r="D1846" i="1"/>
  <c r="D1845" i="1"/>
  <c r="D1844" i="1"/>
  <c r="D1843" i="1"/>
  <c r="D1842" i="1"/>
  <c r="D1841" i="1"/>
  <c r="D1840" i="1"/>
  <c r="D1839" i="1"/>
  <c r="D1838" i="1"/>
  <c r="D2279" i="1"/>
  <c r="D2278" i="1"/>
  <c r="D2277" i="1"/>
  <c r="D2276" i="1"/>
  <c r="D2275" i="1"/>
  <c r="D2221" i="1"/>
  <c r="D2220" i="1"/>
  <c r="D2219" i="1"/>
  <c r="D2218" i="1"/>
  <c r="D2217" i="1"/>
  <c r="D2216" i="1"/>
  <c r="D2215" i="1"/>
  <c r="D2214" i="1"/>
  <c r="D2213" i="1"/>
  <c r="E128" i="231" l="1"/>
  <c r="P138" i="5"/>
  <c r="P137" i="5"/>
  <c r="J137" i="5" s="1"/>
  <c r="L137" i="5" s="1"/>
  <c r="O2248" i="246" s="1"/>
  <c r="R2248" i="246" s="1"/>
  <c r="P136" i="5"/>
  <c r="J136" i="5" s="1"/>
  <c r="L136" i="5" s="1"/>
  <c r="O2247" i="246" s="1"/>
  <c r="R2247" i="246" s="1"/>
  <c r="P135" i="5"/>
  <c r="J135" i="5" s="1"/>
  <c r="L135" i="5" s="1"/>
  <c r="O2246" i="246" s="1"/>
  <c r="R2246" i="246" s="1"/>
  <c r="P134" i="5"/>
  <c r="J134" i="5" s="1"/>
  <c r="L134" i="5" s="1"/>
  <c r="O2245" i="246" s="1"/>
  <c r="R2245" i="246" s="1"/>
  <c r="F128" i="231" l="1"/>
  <c r="M2277" i="1"/>
  <c r="M2276" i="1"/>
  <c r="M2278" i="1"/>
  <c r="M2275" i="1"/>
  <c r="P199" i="5"/>
  <c r="P198" i="5"/>
  <c r="P195" i="5"/>
  <c r="P201" i="5"/>
  <c r="J201" i="5" s="1"/>
  <c r="P200" i="5"/>
  <c r="J200" i="5" s="1"/>
  <c r="P194" i="5"/>
  <c r="J194" i="5" s="1"/>
  <c r="P193" i="5"/>
  <c r="P192" i="5"/>
  <c r="P191" i="5"/>
  <c r="P190" i="5"/>
  <c r="G128" i="231" l="1"/>
  <c r="M163" i="136"/>
  <c r="M162" i="136"/>
  <c r="M160" i="136"/>
  <c r="M159" i="136"/>
  <c r="M158" i="136"/>
  <c r="M157" i="136"/>
  <c r="M156" i="136"/>
  <c r="M154" i="136"/>
  <c r="M153" i="136"/>
  <c r="M152" i="136"/>
  <c r="O1046" i="1"/>
  <c r="M147" i="136"/>
  <c r="O1041" i="1"/>
  <c r="M146" i="136"/>
  <c r="O1040" i="1"/>
  <c r="M145" i="136"/>
  <c r="O1039" i="1"/>
  <c r="M144" i="136"/>
  <c r="O1038" i="1"/>
  <c r="M143" i="136"/>
  <c r="O1037" i="1"/>
  <c r="M142" i="136"/>
  <c r="M141" i="136"/>
  <c r="M140" i="136"/>
  <c r="M133" i="136"/>
  <c r="M132" i="136"/>
  <c r="M131" i="136"/>
  <c r="M130" i="136"/>
  <c r="M129" i="136"/>
  <c r="M128" i="136"/>
  <c r="M127" i="136"/>
  <c r="M126" i="136"/>
  <c r="M125" i="136"/>
  <c r="M124" i="136"/>
  <c r="M123" i="136"/>
  <c r="M122" i="136"/>
  <c r="M121" i="136"/>
  <c r="M120" i="136"/>
  <c r="M119" i="136"/>
  <c r="M118" i="136"/>
  <c r="M117" i="136"/>
  <c r="M116" i="136"/>
  <c r="M115" i="136"/>
  <c r="M114" i="136"/>
  <c r="M113" i="136"/>
  <c r="M112" i="136"/>
  <c r="M111" i="136"/>
  <c r="M110" i="136"/>
  <c r="M109" i="136"/>
  <c r="M108" i="136"/>
  <c r="M107" i="136"/>
  <c r="M105" i="136"/>
  <c r="G105" i="136" s="1"/>
  <c r="I105" i="136" s="1"/>
  <c r="O2398" i="246" s="1"/>
  <c r="M104" i="136"/>
  <c r="M103" i="136"/>
  <c r="M102" i="136"/>
  <c r="M101" i="136"/>
  <c r="M100" i="136"/>
  <c r="M99" i="136"/>
  <c r="M98" i="136"/>
  <c r="M97" i="136"/>
  <c r="M95" i="136"/>
  <c r="M94" i="136"/>
  <c r="M93" i="136"/>
  <c r="G93" i="136" s="1"/>
  <c r="I93" i="136" s="1"/>
  <c r="M92" i="136"/>
  <c r="M90" i="136"/>
  <c r="M89" i="136"/>
  <c r="M88" i="136"/>
  <c r="O985" i="1"/>
  <c r="M87" i="136"/>
  <c r="O984" i="1"/>
  <c r="M86" i="136"/>
  <c r="O983" i="1"/>
  <c r="M85" i="136"/>
  <c r="M84" i="136"/>
  <c r="M83" i="136"/>
  <c r="M82" i="136"/>
  <c r="M81" i="136"/>
  <c r="G81" i="136" s="1"/>
  <c r="I81" i="136" s="1"/>
  <c r="O2368" i="246" s="1"/>
  <c r="M80" i="136"/>
  <c r="M79" i="136"/>
  <c r="M78" i="136"/>
  <c r="M77" i="136"/>
  <c r="M76" i="136"/>
  <c r="M75" i="136"/>
  <c r="M74" i="136"/>
  <c r="G74" i="136" s="1"/>
  <c r="I74" i="136" s="1"/>
  <c r="O2361" i="246" s="1"/>
  <c r="M73" i="136"/>
  <c r="G73" i="136" s="1"/>
  <c r="I73" i="136" s="1"/>
  <c r="O2360" i="246" s="1"/>
  <c r="M72" i="136"/>
  <c r="M71" i="136"/>
  <c r="M70" i="136"/>
  <c r="M69" i="136"/>
  <c r="M68" i="136"/>
  <c r="M67" i="136"/>
  <c r="M66" i="136"/>
  <c r="M65" i="136"/>
  <c r="M64" i="136"/>
  <c r="M63" i="136"/>
  <c r="O914" i="1"/>
  <c r="M62" i="136"/>
  <c r="O913" i="1"/>
  <c r="M61" i="136"/>
  <c r="L21" i="149" s="1"/>
  <c r="A21" i="149" s="1"/>
  <c r="M60" i="136"/>
  <c r="M59" i="136"/>
  <c r="M58" i="136"/>
  <c r="M57" i="136"/>
  <c r="M56" i="136"/>
  <c r="M55" i="136"/>
  <c r="M54" i="136"/>
  <c r="M53" i="136"/>
  <c r="G53" i="136" s="1"/>
  <c r="I53" i="136" s="1"/>
  <c r="O2351" i="246" s="1"/>
  <c r="M52" i="136"/>
  <c r="M51" i="136"/>
  <c r="M50" i="136"/>
  <c r="G50" i="136" s="1"/>
  <c r="I50" i="136" s="1"/>
  <c r="O2349" i="246" s="1"/>
  <c r="M49" i="136"/>
  <c r="M48" i="136"/>
  <c r="M47" i="136"/>
  <c r="M46" i="136"/>
  <c r="M45" i="136"/>
  <c r="M44" i="136"/>
  <c r="M43" i="136"/>
  <c r="M42" i="136"/>
  <c r="M41" i="136"/>
  <c r="M40" i="136"/>
  <c r="M39" i="136"/>
  <c r="M32" i="136"/>
  <c r="M31" i="136"/>
  <c r="M30" i="136"/>
  <c r="M29" i="136"/>
  <c r="M28" i="136"/>
  <c r="M27" i="136"/>
  <c r="M26" i="136"/>
  <c r="M25" i="136"/>
  <c r="M24" i="136"/>
  <c r="M23" i="136"/>
  <c r="M22" i="136"/>
  <c r="M21" i="136"/>
  <c r="M20" i="136"/>
  <c r="M19" i="136"/>
  <c r="M18" i="136"/>
  <c r="M17" i="136"/>
  <c r="M16" i="136"/>
  <c r="M15" i="136"/>
  <c r="M14" i="136"/>
  <c r="M13" i="136"/>
  <c r="M12" i="136"/>
  <c r="M11" i="136"/>
  <c r="M10" i="136"/>
  <c r="M5" i="136"/>
  <c r="I1" i="136"/>
  <c r="P210" i="5"/>
  <c r="J210" i="5" s="1"/>
  <c r="P209" i="5"/>
  <c r="P208" i="5"/>
  <c r="J208" i="5" s="1"/>
  <c r="P207" i="5"/>
  <c r="J207" i="5" s="1"/>
  <c r="O2439" i="246" l="1"/>
  <c r="O2408" i="246"/>
  <c r="O2543" i="1"/>
  <c r="M2379" i="1"/>
  <c r="M2390" i="1"/>
  <c r="O2554" i="1"/>
  <c r="O2562" i="1"/>
  <c r="M2398" i="1"/>
  <c r="M2391" i="1"/>
  <c r="O2555" i="1"/>
  <c r="O2592" i="1"/>
  <c r="M2428" i="1"/>
  <c r="O2545" i="1"/>
  <c r="M2381" i="1"/>
  <c r="M2438" i="1"/>
  <c r="O2602" i="1"/>
  <c r="O2633" i="1"/>
  <c r="M2469" i="1"/>
  <c r="E129" i="231"/>
  <c r="O912" i="1"/>
  <c r="L19" i="149"/>
  <c r="O982" i="1"/>
  <c r="O1036" i="1"/>
  <c r="L28" i="149"/>
  <c r="A28" i="149" s="1"/>
  <c r="L29" i="149"/>
  <c r="A29" i="149" s="1"/>
  <c r="O844" i="1"/>
  <c r="O842" i="1"/>
  <c r="O841" i="1"/>
  <c r="O843" i="1"/>
  <c r="O845" i="1"/>
  <c r="L22" i="149"/>
  <c r="A22" i="149" s="1"/>
  <c r="L16" i="149"/>
  <c r="L15" i="149"/>
  <c r="G142" i="136"/>
  <c r="I142" i="136" s="1"/>
  <c r="G154" i="136"/>
  <c r="I154" i="136" s="1"/>
  <c r="G51" i="136"/>
  <c r="I51" i="136" s="1"/>
  <c r="G75" i="136"/>
  <c r="I75" i="136" s="1"/>
  <c r="O2362" i="246" s="1"/>
  <c r="G77" i="136"/>
  <c r="I77" i="136" s="1"/>
  <c r="O2364" i="246" s="1"/>
  <c r="G79" i="136"/>
  <c r="I79" i="136" s="1"/>
  <c r="O2366" i="246" s="1"/>
  <c r="G95" i="136"/>
  <c r="I95" i="136" s="1"/>
  <c r="O2438" i="246" s="1"/>
  <c r="G99" i="136"/>
  <c r="I99" i="136" s="1"/>
  <c r="G101" i="136"/>
  <c r="I101" i="136" s="1"/>
  <c r="G103" i="136"/>
  <c r="I103" i="136" s="1"/>
  <c r="G108" i="136"/>
  <c r="I108" i="136" s="1"/>
  <c r="G109" i="136"/>
  <c r="I109" i="136" s="1"/>
  <c r="G110" i="136"/>
  <c r="I110" i="136" s="1"/>
  <c r="G112" i="136"/>
  <c r="I112" i="136" s="1"/>
  <c r="G114" i="136"/>
  <c r="I114" i="136" s="1"/>
  <c r="G116" i="136"/>
  <c r="I116" i="136" s="1"/>
  <c r="O2402" i="246" s="1"/>
  <c r="G118" i="136"/>
  <c r="I118" i="136" s="1"/>
  <c r="O2404" i="246" s="1"/>
  <c r="G120" i="136"/>
  <c r="I120" i="136" s="1"/>
  <c r="G122" i="136"/>
  <c r="I122" i="136" s="1"/>
  <c r="O2409" i="246" s="1"/>
  <c r="G124" i="136"/>
  <c r="I124" i="136" s="1"/>
  <c r="G125" i="136"/>
  <c r="I125" i="136" s="1"/>
  <c r="G127" i="136"/>
  <c r="I127" i="136" s="1"/>
  <c r="O2414" i="246" s="1"/>
  <c r="G129" i="136"/>
  <c r="I129" i="136" s="1"/>
  <c r="O2416" i="246" s="1"/>
  <c r="G131" i="136"/>
  <c r="I131" i="136" s="1"/>
  <c r="O2418" i="246" s="1"/>
  <c r="G133" i="136"/>
  <c r="I133" i="136" s="1"/>
  <c r="O2420" i="246" s="1"/>
  <c r="G141" i="136"/>
  <c r="I141" i="136" s="1"/>
  <c r="G143" i="136"/>
  <c r="I143" i="136" s="1"/>
  <c r="O1037" i="246" s="1"/>
  <c r="R1037" i="246" s="1"/>
  <c r="G145" i="136"/>
  <c r="I145" i="136" s="1"/>
  <c r="O1039" i="246" s="1"/>
  <c r="R1039" i="246" s="1"/>
  <c r="G147" i="136"/>
  <c r="I147" i="136" s="1"/>
  <c r="O1041" i="246" s="1"/>
  <c r="R1041" i="246" s="1"/>
  <c r="G153" i="136"/>
  <c r="I153" i="136" s="1"/>
  <c r="G156" i="136"/>
  <c r="I156" i="136" s="1"/>
  <c r="G158" i="136"/>
  <c r="I158" i="136" s="1"/>
  <c r="F158" i="5" s="1"/>
  <c r="G159" i="136"/>
  <c r="I159" i="136" s="1"/>
  <c r="G162" i="136"/>
  <c r="I162" i="136" s="1"/>
  <c r="F162" i="5" s="1"/>
  <c r="G140" i="136"/>
  <c r="I140" i="136" s="1"/>
  <c r="G144" i="136"/>
  <c r="I144" i="136" s="1"/>
  <c r="O1038" i="246" s="1"/>
  <c r="R1038" i="246" s="1"/>
  <c r="G146" i="136"/>
  <c r="I146" i="136" s="1"/>
  <c r="O1040" i="246" s="1"/>
  <c r="R1040" i="246" s="1"/>
  <c r="G152" i="136"/>
  <c r="I152" i="136" s="1"/>
  <c r="G157" i="136"/>
  <c r="I157" i="136" s="1"/>
  <c r="F157" i="5" s="1"/>
  <c r="G160" i="136"/>
  <c r="I160" i="136" s="1"/>
  <c r="F160" i="5" s="1"/>
  <c r="G163" i="136"/>
  <c r="I163" i="136" s="1"/>
  <c r="F163" i="5" s="1"/>
  <c r="G48" i="136"/>
  <c r="I48" i="136" s="1"/>
  <c r="O2347" i="246" s="1"/>
  <c r="G55" i="136"/>
  <c r="I55" i="136" s="1"/>
  <c r="G57" i="136"/>
  <c r="I57" i="136" s="1"/>
  <c r="G59" i="136"/>
  <c r="I59" i="136" s="1"/>
  <c r="G61" i="136"/>
  <c r="I61" i="136" s="1"/>
  <c r="G63" i="136"/>
  <c r="I63" i="136" s="1"/>
  <c r="O914" i="246" s="1"/>
  <c r="R914" i="246" s="1"/>
  <c r="G65" i="136"/>
  <c r="I65" i="136" s="1"/>
  <c r="G67" i="136"/>
  <c r="I67" i="136" s="1"/>
  <c r="G69" i="136"/>
  <c r="I69" i="136" s="1"/>
  <c r="G71" i="136"/>
  <c r="I71" i="136" s="1"/>
  <c r="O2358" i="246" s="1"/>
  <c r="G84" i="136"/>
  <c r="I84" i="136" s="1"/>
  <c r="G86" i="136"/>
  <c r="I86" i="136" s="1"/>
  <c r="O983" i="246" s="1"/>
  <c r="R983" i="246" s="1"/>
  <c r="G88" i="136"/>
  <c r="I88" i="136" s="1"/>
  <c r="O985" i="246" s="1"/>
  <c r="R985" i="246" s="1"/>
  <c r="G90" i="136"/>
  <c r="I90" i="136" s="1"/>
  <c r="G47" i="136"/>
  <c r="I47" i="136" s="1"/>
  <c r="O2346" i="246" s="1"/>
  <c r="G49" i="136"/>
  <c r="I49" i="136" s="1"/>
  <c r="O2348" i="246" s="1"/>
  <c r="G52" i="136"/>
  <c r="I52" i="136" s="1"/>
  <c r="G54" i="136"/>
  <c r="I54" i="136" s="1"/>
  <c r="G56" i="136"/>
  <c r="I56" i="136" s="1"/>
  <c r="G58" i="136"/>
  <c r="I58" i="136" s="1"/>
  <c r="G60" i="136"/>
  <c r="I60" i="136" s="1"/>
  <c r="G62" i="136"/>
  <c r="I62" i="136" s="1"/>
  <c r="O913" i="246" s="1"/>
  <c r="R913" i="246" s="1"/>
  <c r="G64" i="136"/>
  <c r="I64" i="136" s="1"/>
  <c r="O2354" i="246" s="1"/>
  <c r="G66" i="136"/>
  <c r="I66" i="136" s="1"/>
  <c r="G68" i="136"/>
  <c r="I68" i="136" s="1"/>
  <c r="G70" i="136"/>
  <c r="I70" i="136" s="1"/>
  <c r="O2357" i="246" s="1"/>
  <c r="G72" i="136"/>
  <c r="I72" i="136" s="1"/>
  <c r="O2359" i="246" s="1"/>
  <c r="G76" i="136"/>
  <c r="I76" i="136" s="1"/>
  <c r="O2363" i="246" s="1"/>
  <c r="G78" i="136"/>
  <c r="I78" i="136" s="1"/>
  <c r="O2365" i="246" s="1"/>
  <c r="G80" i="136"/>
  <c r="I80" i="136" s="1"/>
  <c r="O2367" i="246" s="1"/>
  <c r="G82" i="136"/>
  <c r="I82" i="136" s="1"/>
  <c r="G83" i="136"/>
  <c r="I83" i="136" s="1"/>
  <c r="O2440" i="246" s="1"/>
  <c r="G85" i="136"/>
  <c r="I85" i="136" s="1"/>
  <c r="G87" i="136"/>
  <c r="I87" i="136" s="1"/>
  <c r="O984" i="246" s="1"/>
  <c r="R984" i="246" s="1"/>
  <c r="G89" i="136"/>
  <c r="I89" i="136" s="1"/>
  <c r="G92" i="136"/>
  <c r="I92" i="136" s="1"/>
  <c r="G94" i="136"/>
  <c r="I94" i="136" s="1"/>
  <c r="O2435" i="246" s="1"/>
  <c r="G97" i="136"/>
  <c r="I97" i="136" s="1"/>
  <c r="G98" i="136"/>
  <c r="I98" i="136" s="1"/>
  <c r="G100" i="136"/>
  <c r="I100" i="136" s="1"/>
  <c r="G102" i="136"/>
  <c r="I102" i="136" s="1"/>
  <c r="O2395" i="246" s="1"/>
  <c r="G104" i="136"/>
  <c r="I104" i="136" s="1"/>
  <c r="O2397" i="246" s="1"/>
  <c r="G107" i="136"/>
  <c r="I107" i="136" s="1"/>
  <c r="G111" i="136"/>
  <c r="I111" i="136" s="1"/>
  <c r="G113" i="136"/>
  <c r="I113" i="136" s="1"/>
  <c r="G115" i="136"/>
  <c r="I115" i="136" s="1"/>
  <c r="G117" i="136"/>
  <c r="I117" i="136" s="1"/>
  <c r="O2403" i="246" s="1"/>
  <c r="G119" i="136"/>
  <c r="I119" i="136" s="1"/>
  <c r="O2405" i="246" s="1"/>
  <c r="G121" i="136"/>
  <c r="I121" i="136" s="1"/>
  <c r="G123" i="136"/>
  <c r="I123" i="136" s="1"/>
  <c r="O2410" i="246" s="1"/>
  <c r="G126" i="136"/>
  <c r="I126" i="136" s="1"/>
  <c r="O2413" i="246" s="1"/>
  <c r="G128" i="136"/>
  <c r="I128" i="136" s="1"/>
  <c r="G130" i="136"/>
  <c r="I130" i="136" s="1"/>
  <c r="O2417" i="246" s="1"/>
  <c r="G132" i="136"/>
  <c r="I132" i="136" s="1"/>
  <c r="O2419" i="246" s="1"/>
  <c r="G12" i="136"/>
  <c r="I12" i="136" s="1"/>
  <c r="G16" i="136"/>
  <c r="I16" i="136" s="1"/>
  <c r="G11" i="136"/>
  <c r="I11" i="136" s="1"/>
  <c r="G13" i="136"/>
  <c r="I13" i="136" s="1"/>
  <c r="G15" i="136"/>
  <c r="I15" i="136" s="1"/>
  <c r="G17" i="136"/>
  <c r="I17" i="136" s="1"/>
  <c r="O2313" i="246" s="1"/>
  <c r="G19" i="136"/>
  <c r="I19" i="136" s="1"/>
  <c r="O2315" i="246" s="1"/>
  <c r="G21" i="136"/>
  <c r="I21" i="136" s="1"/>
  <c r="O2317" i="246" s="1"/>
  <c r="G23" i="136"/>
  <c r="I23" i="136" s="1"/>
  <c r="G25" i="136"/>
  <c r="I25" i="136" s="1"/>
  <c r="G27" i="136"/>
  <c r="I27" i="136" s="1"/>
  <c r="G29" i="136"/>
  <c r="I29" i="136" s="1"/>
  <c r="G31" i="136"/>
  <c r="I31" i="136" s="1"/>
  <c r="G39" i="136"/>
  <c r="I39" i="136" s="1"/>
  <c r="G41" i="136"/>
  <c r="I41" i="136" s="1"/>
  <c r="O2343" i="246" s="1"/>
  <c r="G43" i="136"/>
  <c r="I43" i="136" s="1"/>
  <c r="G45" i="136"/>
  <c r="I45" i="136" s="1"/>
  <c r="G10" i="136"/>
  <c r="I10" i="136" s="1"/>
  <c r="G14" i="136"/>
  <c r="I14" i="136" s="1"/>
  <c r="G18" i="136"/>
  <c r="I18" i="136" s="1"/>
  <c r="O2314" i="246" s="1"/>
  <c r="G20" i="136"/>
  <c r="I20" i="136" s="1"/>
  <c r="O2316" i="246" s="1"/>
  <c r="G22" i="136"/>
  <c r="I22" i="136" s="1"/>
  <c r="O2318" i="246" s="1"/>
  <c r="G24" i="136"/>
  <c r="I24" i="136" s="1"/>
  <c r="G26" i="136"/>
  <c r="I26" i="136" s="1"/>
  <c r="G28" i="136"/>
  <c r="I28" i="136" s="1"/>
  <c r="G30" i="136"/>
  <c r="I30" i="136" s="1"/>
  <c r="G32" i="136"/>
  <c r="I32" i="136" s="1"/>
  <c r="G40" i="136"/>
  <c r="I40" i="136" s="1"/>
  <c r="O2342" i="246" s="1"/>
  <c r="G42" i="136"/>
  <c r="I42" i="136" s="1"/>
  <c r="O2344" i="246" s="1"/>
  <c r="G44" i="136"/>
  <c r="I44" i="136" s="1"/>
  <c r="G46" i="136"/>
  <c r="I46" i="136" s="1"/>
  <c r="F183" i="136"/>
  <c r="K403" i="136"/>
  <c r="K2" i="136" s="1"/>
  <c r="N2" i="136" l="1"/>
  <c r="O2600" i="1"/>
  <c r="O2406" i="246"/>
  <c r="M2436" i="1"/>
  <c r="O2356" i="246"/>
  <c r="M2467" i="1"/>
  <c r="O2307" i="246"/>
  <c r="S2307" i="246" s="1"/>
  <c r="O2501" i="1"/>
  <c r="S2501" i="1" s="1"/>
  <c r="O2396" i="246"/>
  <c r="M2425" i="1"/>
  <c r="O2415" i="246"/>
  <c r="O1046" i="246"/>
  <c r="R1046" i="246" s="1"/>
  <c r="M2477" i="1"/>
  <c r="S2477" i="1" s="1"/>
  <c r="O2394" i="246"/>
  <c r="O2412" i="246"/>
  <c r="O2437" i="246"/>
  <c r="O982" i="246"/>
  <c r="R982" i="246" s="1"/>
  <c r="O2330" i="246"/>
  <c r="O843" i="246"/>
  <c r="R843" i="246" s="1"/>
  <c r="O844" i="246"/>
  <c r="R844" i="246" s="1"/>
  <c r="O2331" i="246"/>
  <c r="O842" i="246"/>
  <c r="R842" i="246" s="1"/>
  <c r="O2329" i="246"/>
  <c r="O2312" i="246"/>
  <c r="O2436" i="246"/>
  <c r="O2352" i="246"/>
  <c r="O2400" i="246"/>
  <c r="M2380" i="1"/>
  <c r="O2350" i="246"/>
  <c r="O2332" i="246"/>
  <c r="O845" i="246"/>
  <c r="R845" i="246" s="1"/>
  <c r="O2353" i="246"/>
  <c r="O912" i="246"/>
  <c r="R912" i="246" s="1"/>
  <c r="O1036" i="246"/>
  <c r="R1036" i="246" s="1"/>
  <c r="O2447" i="246"/>
  <c r="S2447" i="246" s="1"/>
  <c r="O2407" i="246"/>
  <c r="O2345" i="246"/>
  <c r="O2319" i="246"/>
  <c r="O2355" i="246"/>
  <c r="O2401" i="246"/>
  <c r="O2328" i="246"/>
  <c r="O841" i="246"/>
  <c r="R841" i="246" s="1"/>
  <c r="M2375" i="1"/>
  <c r="O2536" i="1"/>
  <c r="M2372" i="1"/>
  <c r="O2508" i="1"/>
  <c r="M2344" i="1"/>
  <c r="O2523" i="1"/>
  <c r="M2359" i="1"/>
  <c r="O2511" i="1"/>
  <c r="M2347" i="1"/>
  <c r="O2506" i="1"/>
  <c r="M2342" i="1"/>
  <c r="O2613" i="1"/>
  <c r="M2449" i="1"/>
  <c r="M2440" i="1"/>
  <c r="O2604" i="1"/>
  <c r="O2591" i="1"/>
  <c r="M2427" i="1"/>
  <c r="M2397" i="1"/>
  <c r="O2561" i="1"/>
  <c r="M2387" i="1"/>
  <c r="O2551" i="1"/>
  <c r="O2630" i="1"/>
  <c r="M2466" i="1"/>
  <c r="O2552" i="1"/>
  <c r="M2388" i="1"/>
  <c r="M2382" i="1"/>
  <c r="O2610" i="1"/>
  <c r="M2446" i="1"/>
  <c r="M2439" i="1"/>
  <c r="O2603" i="1"/>
  <c r="M2430" i="1"/>
  <c r="O2594" i="1"/>
  <c r="O2632" i="1"/>
  <c r="M2468" i="1"/>
  <c r="M2362" i="1"/>
  <c r="O2526" i="1"/>
  <c r="M2373" i="1"/>
  <c r="O2537" i="1"/>
  <c r="O2509" i="1"/>
  <c r="M2345" i="1"/>
  <c r="M2337" i="1"/>
  <c r="S2337" i="1" s="1"/>
  <c r="M2447" i="1"/>
  <c r="O2611" i="1"/>
  <c r="O2590" i="1"/>
  <c r="M2426" i="1"/>
  <c r="O2629" i="1"/>
  <c r="M2465" i="1"/>
  <c r="O2631" i="1"/>
  <c r="M2395" i="1"/>
  <c r="O2559" i="1"/>
  <c r="O2550" i="1"/>
  <c r="M2386" i="1"/>
  <c r="O2544" i="1"/>
  <c r="M2383" i="1"/>
  <c r="O2547" i="1"/>
  <c r="O2541" i="1"/>
  <c r="M2377" i="1"/>
  <c r="M2444" i="1"/>
  <c r="O2608" i="1"/>
  <c r="M2437" i="1"/>
  <c r="O2601" i="1"/>
  <c r="O2589" i="1"/>
  <c r="M2396" i="1"/>
  <c r="O2560" i="1"/>
  <c r="O2524" i="1"/>
  <c r="M2360" i="1"/>
  <c r="O2513" i="1"/>
  <c r="O2507" i="1"/>
  <c r="M2343" i="1"/>
  <c r="M2445" i="1"/>
  <c r="O2609" i="1"/>
  <c r="O2512" i="1"/>
  <c r="M2348" i="1"/>
  <c r="O2599" i="1"/>
  <c r="M2435" i="1"/>
  <c r="M2470" i="1"/>
  <c r="O2634" i="1"/>
  <c r="O2557" i="1"/>
  <c r="M2393" i="1"/>
  <c r="M2378" i="1"/>
  <c r="O2542" i="1"/>
  <c r="M2450" i="1"/>
  <c r="O2614" i="1"/>
  <c r="O2598" i="1"/>
  <c r="M2434" i="1"/>
  <c r="M2394" i="1"/>
  <c r="O2558" i="1"/>
  <c r="O2641" i="1"/>
  <c r="S2641" i="1" s="1"/>
  <c r="M2374" i="1"/>
  <c r="O2538" i="1"/>
  <c r="O2510" i="1"/>
  <c r="M2346" i="1"/>
  <c r="O2539" i="1"/>
  <c r="O2525" i="1"/>
  <c r="M2361" i="1"/>
  <c r="M2349" i="1"/>
  <c r="M2443" i="1"/>
  <c r="O2607" i="1"/>
  <c r="O2597" i="1"/>
  <c r="M2433" i="1"/>
  <c r="O2588" i="1"/>
  <c r="M2424" i="1"/>
  <c r="M2389" i="1"/>
  <c r="O2553" i="1"/>
  <c r="M2384" i="1"/>
  <c r="O2548" i="1"/>
  <c r="M2376" i="1"/>
  <c r="O2540" i="1"/>
  <c r="O2549" i="1"/>
  <c r="M2385" i="1"/>
  <c r="O2546" i="1"/>
  <c r="O2612" i="1"/>
  <c r="M2448" i="1"/>
  <c r="M2442" i="1"/>
  <c r="O2606" i="1"/>
  <c r="O2596" i="1"/>
  <c r="M2432" i="1"/>
  <c r="O2556" i="1"/>
  <c r="M2392" i="1"/>
  <c r="M2358" i="1"/>
  <c r="O2522" i="1"/>
  <c r="O2595" i="1"/>
  <c r="M2431" i="1"/>
  <c r="F129" i="231"/>
  <c r="M984" i="1"/>
  <c r="R984" i="1" s="1"/>
  <c r="M913" i="1"/>
  <c r="R913" i="1" s="1"/>
  <c r="M914" i="1"/>
  <c r="R914" i="1" s="1"/>
  <c r="M1037" i="1"/>
  <c r="R1037" i="1" s="1"/>
  <c r="M983" i="1"/>
  <c r="R983" i="1" s="1"/>
  <c r="M1046" i="1"/>
  <c r="R1046" i="1" s="1"/>
  <c r="M1038" i="1"/>
  <c r="R1038" i="1" s="1"/>
  <c r="M1039" i="1"/>
  <c r="R1039" i="1" s="1"/>
  <c r="M985" i="1"/>
  <c r="R985" i="1" s="1"/>
  <c r="M1040" i="1"/>
  <c r="R1040" i="1" s="1"/>
  <c r="M1041" i="1"/>
  <c r="R1041" i="1" s="1"/>
  <c r="M912" i="1"/>
  <c r="R912" i="1" s="1"/>
  <c r="M1036" i="1"/>
  <c r="R1036" i="1" s="1"/>
  <c r="M844" i="1"/>
  <c r="M845" i="1"/>
  <c r="M843" i="1"/>
  <c r="M842" i="1"/>
  <c r="M982" i="1"/>
  <c r="R982" i="1" s="1"/>
  <c r="M841" i="1"/>
  <c r="R841" i="1" s="1"/>
  <c r="I183" i="136"/>
  <c r="F403" i="136"/>
  <c r="O2432" i="246" l="1"/>
  <c r="O2325" i="246"/>
  <c r="M2462" i="1"/>
  <c r="S2462" i="1" s="1"/>
  <c r="O2626" i="1"/>
  <c r="S2626" i="1" s="1"/>
  <c r="O2519" i="1"/>
  <c r="S2519" i="1" s="1"/>
  <c r="M2355" i="1"/>
  <c r="S2355" i="1" s="1"/>
  <c r="O2339" i="246"/>
  <c r="S2339" i="246" s="1"/>
  <c r="O2391" i="246"/>
  <c r="S2391" i="246" s="1"/>
  <c r="S2432" i="246"/>
  <c r="S2325" i="246"/>
  <c r="O2309" i="246"/>
  <c r="S2309" i="246" s="1"/>
  <c r="M2339" i="1"/>
  <c r="S2339" i="1" s="1"/>
  <c r="M2421" i="1"/>
  <c r="S2421" i="1" s="1"/>
  <c r="M2369" i="1"/>
  <c r="S2369" i="1" s="1"/>
  <c r="O2585" i="1"/>
  <c r="S2585" i="1" s="1"/>
  <c r="O2503" i="1"/>
  <c r="S2503" i="1" s="1"/>
  <c r="O2533" i="1"/>
  <c r="S2533" i="1" s="1"/>
  <c r="R842" i="1"/>
  <c r="R845" i="1"/>
  <c r="R843" i="1"/>
  <c r="R844" i="1"/>
  <c r="G129" i="231"/>
  <c r="D1033" i="1"/>
  <c r="J79" i="26"/>
  <c r="J80" i="26"/>
  <c r="P150" i="5"/>
  <c r="J74" i="26"/>
  <c r="J71" i="26"/>
  <c r="J69" i="26"/>
  <c r="J146" i="5" s="1"/>
  <c r="L146" i="5" s="1"/>
  <c r="O1029" i="246" s="1"/>
  <c r="R1029" i="246" s="1"/>
  <c r="J73" i="26"/>
  <c r="J193" i="5" s="1"/>
  <c r="J70" i="26"/>
  <c r="J192" i="5" s="1"/>
  <c r="J12" i="89"/>
  <c r="G6" i="124"/>
  <c r="J34" i="26"/>
  <c r="J238" i="5" s="1"/>
  <c r="L238" i="5" s="1"/>
  <c r="P352" i="5"/>
  <c r="J352" i="5" s="1"/>
  <c r="J39" i="26"/>
  <c r="K304" i="89"/>
  <c r="D1032" i="1"/>
  <c r="K303" i="89"/>
  <c r="K302" i="89"/>
  <c r="K301" i="89"/>
  <c r="P149" i="5"/>
  <c r="P215" i="5"/>
  <c r="J215" i="5" s="1"/>
  <c r="P214" i="5"/>
  <c r="J214" i="5" s="1"/>
  <c r="P213" i="5"/>
  <c r="J213" i="5" s="1"/>
  <c r="P212" i="5"/>
  <c r="J212" i="5" s="1"/>
  <c r="P211" i="5"/>
  <c r="J211" i="5" s="1"/>
  <c r="P351" i="5"/>
  <c r="J351" i="5" s="1"/>
  <c r="P350" i="5"/>
  <c r="J350" i="5" s="1"/>
  <c r="B512" i="1"/>
  <c r="B523" i="1" s="1"/>
  <c r="B534" i="1" s="1"/>
  <c r="P174" i="5"/>
  <c r="P173" i="5"/>
  <c r="J173" i="5" s="1"/>
  <c r="L173" i="5" s="1"/>
  <c r="P172" i="5"/>
  <c r="J172" i="5" s="1"/>
  <c r="P171" i="5"/>
  <c r="J171" i="5" s="1"/>
  <c r="L171" i="5" s="1"/>
  <c r="E108" i="4"/>
  <c r="M500" i="1"/>
  <c r="D497" i="1"/>
  <c r="D494" i="1"/>
  <c r="R494" i="1" s="1"/>
  <c r="D493" i="1"/>
  <c r="D281" i="1"/>
  <c r="C237" i="1"/>
  <c r="D227" i="1"/>
  <c r="R227" i="1" s="1"/>
  <c r="D238" i="1"/>
  <c r="D1694" i="246"/>
  <c r="D1690" i="246"/>
  <c r="D230" i="1"/>
  <c r="D226" i="1"/>
  <c r="P81" i="5"/>
  <c r="J81" i="5" s="1"/>
  <c r="L81" i="5" s="1"/>
  <c r="O2191" i="246" s="1"/>
  <c r="R2191" i="246" s="1"/>
  <c r="P80" i="5"/>
  <c r="J80" i="5" s="1"/>
  <c r="L80" i="5" s="1"/>
  <c r="O2190" i="246" s="1"/>
  <c r="R2190" i="246" s="1"/>
  <c r="P79" i="5"/>
  <c r="J79" i="5" s="1"/>
  <c r="L79" i="5" s="1"/>
  <c r="O2189" i="246" s="1"/>
  <c r="R2189" i="246" s="1"/>
  <c r="P78" i="5"/>
  <c r="J78" i="5" s="1"/>
  <c r="L78" i="5" s="1"/>
  <c r="O2188" i="246" s="1"/>
  <c r="R2188" i="246" s="1"/>
  <c r="H39" i="4"/>
  <c r="H38" i="4"/>
  <c r="I38" i="4" s="1"/>
  <c r="P111" i="5"/>
  <c r="P112" i="5"/>
  <c r="J112" i="5" s="1"/>
  <c r="L112" i="5" s="1"/>
  <c r="E27" i="4"/>
  <c r="P366" i="5"/>
  <c r="J366" i="5" s="1"/>
  <c r="P169" i="5"/>
  <c r="J169" i="5" s="1"/>
  <c r="P170" i="5"/>
  <c r="P61" i="5"/>
  <c r="J61" i="5" s="1"/>
  <c r="L61" i="5" s="1"/>
  <c r="P62" i="5"/>
  <c r="J62" i="5" s="1"/>
  <c r="P72" i="5"/>
  <c r="J72" i="5" s="1"/>
  <c r="P129" i="5"/>
  <c r="J129" i="5" s="1"/>
  <c r="K244" i="89"/>
  <c r="J60" i="26"/>
  <c r="J61" i="26"/>
  <c r="P85" i="5"/>
  <c r="J85" i="5" s="1"/>
  <c r="L85" i="5" s="1"/>
  <c r="J65" i="26"/>
  <c r="J62" i="26"/>
  <c r="J45" i="26"/>
  <c r="J244" i="5" s="1"/>
  <c r="L244" i="5" s="1"/>
  <c r="J28" i="26"/>
  <c r="J38" i="26"/>
  <c r="J96" i="5" s="1"/>
  <c r="L96" i="5" s="1"/>
  <c r="J52" i="26"/>
  <c r="J55" i="26"/>
  <c r="J56" i="26"/>
  <c r="J57" i="26"/>
  <c r="J26" i="26"/>
  <c r="J297" i="5" s="1"/>
  <c r="L297" i="5" s="1"/>
  <c r="J36" i="26"/>
  <c r="P18" i="5"/>
  <c r="J18" i="5" s="1"/>
  <c r="L18" i="5" s="1"/>
  <c r="O2137" i="246" s="1"/>
  <c r="R2137" i="246" s="1"/>
  <c r="J23" i="26"/>
  <c r="J43" i="26"/>
  <c r="J44" i="26"/>
  <c r="J233" i="5" s="1"/>
  <c r="L233" i="5" s="1"/>
  <c r="J48" i="26"/>
  <c r="J49" i="26"/>
  <c r="J27" i="26"/>
  <c r="J40" i="26"/>
  <c r="J50" i="26"/>
  <c r="J58" i="26"/>
  <c r="J66" i="26"/>
  <c r="N401" i="5"/>
  <c r="H40" i="4"/>
  <c r="P28" i="5"/>
  <c r="J28" i="5" s="1"/>
  <c r="L28" i="5" s="1"/>
  <c r="P29" i="5"/>
  <c r="J29" i="5" s="1"/>
  <c r="L29" i="5" s="1"/>
  <c r="P30" i="5"/>
  <c r="J30" i="5" s="1"/>
  <c r="L30" i="5" s="1"/>
  <c r="J32" i="26"/>
  <c r="P73" i="5"/>
  <c r="J73" i="5" s="1"/>
  <c r="L73" i="5" s="1"/>
  <c r="O2183" i="246" s="1"/>
  <c r="R2183" i="246" s="1"/>
  <c r="P74" i="5"/>
  <c r="J74" i="5" s="1"/>
  <c r="L74" i="5" s="1"/>
  <c r="O2184" i="246" s="1"/>
  <c r="R2184" i="246" s="1"/>
  <c r="P75" i="5"/>
  <c r="J75" i="5" s="1"/>
  <c r="L75" i="5" s="1"/>
  <c r="O2185" i="246" s="1"/>
  <c r="R2185" i="246" s="1"/>
  <c r="J29" i="26"/>
  <c r="J291" i="5" s="1"/>
  <c r="L291" i="5" s="1"/>
  <c r="J30" i="26"/>
  <c r="K294" i="89"/>
  <c r="K283" i="89"/>
  <c r="K282" i="89"/>
  <c r="K253" i="89"/>
  <c r="K219" i="89"/>
  <c r="K177" i="89"/>
  <c r="K176" i="89"/>
  <c r="K175" i="89"/>
  <c r="J51" i="26"/>
  <c r="J151" i="5" s="1"/>
  <c r="P313" i="5"/>
  <c r="J41" i="26"/>
  <c r="J242" i="5" s="1"/>
  <c r="L242" i="5" s="1"/>
  <c r="J54" i="26"/>
  <c r="J63" i="26"/>
  <c r="J64" i="26"/>
  <c r="P218" i="5"/>
  <c r="J218" i="5" s="1"/>
  <c r="P217" i="5"/>
  <c r="J217" i="5" s="1"/>
  <c r="P216" i="5"/>
  <c r="J216" i="5" s="1"/>
  <c r="H42" i="4"/>
  <c r="O71" i="1"/>
  <c r="P76" i="5"/>
  <c r="J76" i="5" s="1"/>
  <c r="L76" i="5" s="1"/>
  <c r="O2186" i="246" s="1"/>
  <c r="R2186" i="246" s="1"/>
  <c r="P77" i="5"/>
  <c r="J77" i="5" s="1"/>
  <c r="L77" i="5" s="1"/>
  <c r="O2187" i="246" s="1"/>
  <c r="R2187" i="246" s="1"/>
  <c r="P86" i="5"/>
  <c r="P130" i="5"/>
  <c r="J130" i="5" s="1"/>
  <c r="L130" i="5" s="1"/>
  <c r="O2241" i="246" s="1"/>
  <c r="R2241" i="246" s="1"/>
  <c r="P131" i="5"/>
  <c r="J131" i="5" s="1"/>
  <c r="L131" i="5" s="1"/>
  <c r="O2242" i="246" s="1"/>
  <c r="R2242" i="246" s="1"/>
  <c r="P132" i="5"/>
  <c r="J132" i="5" s="1"/>
  <c r="L132" i="5" s="1"/>
  <c r="O2243" i="246" s="1"/>
  <c r="R2243" i="246" s="1"/>
  <c r="P367" i="5"/>
  <c r="J367" i="5" s="1"/>
  <c r="I212" i="89"/>
  <c r="I14" i="89"/>
  <c r="I285" i="89"/>
  <c r="I390" i="89"/>
  <c r="K295" i="89"/>
  <c r="K296" i="89"/>
  <c r="K297" i="89"/>
  <c r="C2" i="89"/>
  <c r="D3" i="89"/>
  <c r="C12" i="89"/>
  <c r="C13" i="89"/>
  <c r="K178" i="89"/>
  <c r="K179" i="89"/>
  <c r="K180" i="89"/>
  <c r="K181" i="89"/>
  <c r="K182" i="89"/>
  <c r="K183" i="89"/>
  <c r="K184" i="89"/>
  <c r="K185" i="89"/>
  <c r="K186" i="89"/>
  <c r="K187" i="89"/>
  <c r="K188" i="89"/>
  <c r="K189" i="89"/>
  <c r="K190" i="89"/>
  <c r="K191" i="89"/>
  <c r="K192" i="89"/>
  <c r="K193" i="89"/>
  <c r="K210" i="89"/>
  <c r="C14" i="89"/>
  <c r="J14" i="89"/>
  <c r="K220" i="89"/>
  <c r="K221" i="89"/>
  <c r="C15" i="89"/>
  <c r="J15" i="89"/>
  <c r="C16" i="89"/>
  <c r="P142" i="5"/>
  <c r="P185" i="5"/>
  <c r="J185" i="5" s="1"/>
  <c r="P186" i="5"/>
  <c r="P202" i="5"/>
  <c r="J224" i="4"/>
  <c r="J225" i="4"/>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K91" i="26"/>
  <c r="M90" i="26"/>
  <c r="K90" i="26"/>
  <c r="L89" i="26"/>
  <c r="K89" i="26"/>
  <c r="L88" i="26"/>
  <c r="K88" i="26"/>
  <c r="M87" i="26"/>
  <c r="K87" i="26"/>
  <c r="L86" i="26"/>
  <c r="K86" i="26"/>
  <c r="L85" i="26"/>
  <c r="K85" i="26"/>
  <c r="L84" i="26"/>
  <c r="K84" i="26"/>
  <c r="L83" i="26"/>
  <c r="K83" i="26"/>
  <c r="K82" i="26"/>
  <c r="K81" i="26"/>
  <c r="M80" i="26"/>
  <c r="K80" i="26"/>
  <c r="K79" i="26"/>
  <c r="K78" i="26"/>
  <c r="M77" i="26"/>
  <c r="K77" i="26"/>
  <c r="L76" i="26"/>
  <c r="K76" i="26"/>
  <c r="K75" i="26"/>
  <c r="L74" i="26"/>
  <c r="K74" i="26"/>
  <c r="K73" i="26"/>
  <c r="M72" i="26"/>
  <c r="K72" i="26"/>
  <c r="M71" i="26"/>
  <c r="K71" i="26"/>
  <c r="K70" i="26"/>
  <c r="K69" i="26"/>
  <c r="M68" i="26"/>
  <c r="K68" i="26"/>
  <c r="L67" i="26"/>
  <c r="K67" i="26"/>
  <c r="L66" i="26"/>
  <c r="K66" i="26"/>
  <c r="K65" i="26"/>
  <c r="L64" i="26"/>
  <c r="K64" i="26"/>
  <c r="K63" i="26"/>
  <c r="L62" i="26"/>
  <c r="K62" i="26"/>
  <c r="K61" i="26"/>
  <c r="L60" i="26"/>
  <c r="K60" i="26"/>
  <c r="K59" i="26"/>
  <c r="L58" i="26"/>
  <c r="K58" i="26"/>
  <c r="K57" i="26"/>
  <c r="K56" i="26"/>
  <c r="L55" i="26"/>
  <c r="K55" i="26"/>
  <c r="L54" i="26"/>
  <c r="K54" i="26"/>
  <c r="L53" i="26"/>
  <c r="K53" i="26"/>
  <c r="K52" i="26"/>
  <c r="K51" i="26"/>
  <c r="K50" i="26"/>
  <c r="L49" i="26"/>
  <c r="K49" i="26"/>
  <c r="K48" i="26"/>
  <c r="L47" i="26"/>
  <c r="K47" i="26"/>
  <c r="K46" i="26"/>
  <c r="K45" i="26"/>
  <c r="L44" i="26"/>
  <c r="K44" i="26"/>
  <c r="K43" i="26"/>
  <c r="L42" i="26"/>
  <c r="K42" i="26"/>
  <c r="K41" i="26"/>
  <c r="K40" i="26"/>
  <c r="K39" i="26"/>
  <c r="K38" i="26"/>
  <c r="K37" i="26"/>
  <c r="K36" i="26"/>
  <c r="K35" i="26"/>
  <c r="K34" i="26"/>
  <c r="K33" i="26"/>
  <c r="K32" i="26"/>
  <c r="K31" i="26"/>
  <c r="K30" i="26"/>
  <c r="K29" i="26"/>
  <c r="K28" i="26"/>
  <c r="K27" i="26"/>
  <c r="K26" i="26"/>
  <c r="K25" i="26"/>
  <c r="K24" i="26"/>
  <c r="K23" i="26"/>
  <c r="P203" i="5"/>
  <c r="K22" i="26"/>
  <c r="K21" i="26"/>
  <c r="K20" i="26"/>
  <c r="K19" i="26"/>
  <c r="K18" i="26"/>
  <c r="K17" i="26"/>
  <c r="K16" i="26"/>
  <c r="K15" i="26"/>
  <c r="P113" i="5"/>
  <c r="J113" i="5" s="1"/>
  <c r="L113" i="5" s="1"/>
  <c r="P114" i="5"/>
  <c r="J114" i="5" s="1"/>
  <c r="L114" i="5" s="1"/>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314" i="5"/>
  <c r="J314" i="5" s="1"/>
  <c r="P19" i="5"/>
  <c r="J19" i="5" s="1"/>
  <c r="L19" i="5" s="1"/>
  <c r="O2138" i="246" s="1"/>
  <c r="R2138" i="246" s="1"/>
  <c r="P143" i="5"/>
  <c r="P374" i="5"/>
  <c r="J374" i="5" s="1"/>
  <c r="P20" i="5"/>
  <c r="J20" i="5" s="1"/>
  <c r="L20" i="5" s="1"/>
  <c r="O2139" i="246" s="1"/>
  <c r="R2139" i="246" s="1"/>
  <c r="J75" i="26"/>
  <c r="P400" i="5"/>
  <c r="P399" i="5"/>
  <c r="J399" i="5" s="1"/>
  <c r="L399" i="5" s="1"/>
  <c r="P398" i="5"/>
  <c r="P397" i="5"/>
  <c r="J397" i="5" s="1"/>
  <c r="L397" i="5" s="1"/>
  <c r="P396" i="5"/>
  <c r="J396" i="5" s="1"/>
  <c r="P395" i="5"/>
  <c r="J395" i="5" s="1"/>
  <c r="P394" i="5"/>
  <c r="J394" i="5" s="1"/>
  <c r="P393" i="5"/>
  <c r="J393" i="5" s="1"/>
  <c r="P392" i="5"/>
  <c r="J392" i="5" s="1"/>
  <c r="P391" i="5"/>
  <c r="J391" i="5" s="1"/>
  <c r="P390" i="5"/>
  <c r="J390" i="5" s="1"/>
  <c r="P389" i="5"/>
  <c r="J389" i="5" s="1"/>
  <c r="P388" i="5"/>
  <c r="J388" i="5" s="1"/>
  <c r="L388" i="5" s="1"/>
  <c r="P387" i="5"/>
  <c r="J387" i="5" s="1"/>
  <c r="L387" i="5" s="1"/>
  <c r="P386" i="5"/>
  <c r="P385" i="5"/>
  <c r="J385" i="5" s="1"/>
  <c r="P384" i="5"/>
  <c r="J384" i="5" s="1"/>
  <c r="L384" i="5" s="1"/>
  <c r="P383" i="5"/>
  <c r="J383" i="5" s="1"/>
  <c r="P382" i="5"/>
  <c r="P381" i="5"/>
  <c r="J381" i="5" s="1"/>
  <c r="P380" i="5"/>
  <c r="J380" i="5" s="1"/>
  <c r="P379" i="5"/>
  <c r="J379" i="5" s="1"/>
  <c r="P378" i="5"/>
  <c r="J378" i="5" s="1"/>
  <c r="L378" i="5" s="1"/>
  <c r="P377" i="5"/>
  <c r="J377" i="5" s="1"/>
  <c r="P376" i="5"/>
  <c r="J376" i="5" s="1"/>
  <c r="P375" i="5"/>
  <c r="J375" i="5" s="1"/>
  <c r="P373" i="5"/>
  <c r="J373" i="5" s="1"/>
  <c r="L373" i="5" s="1"/>
  <c r="P372" i="5"/>
  <c r="J372" i="5" s="1"/>
  <c r="P371" i="5"/>
  <c r="J371" i="5" s="1"/>
  <c r="P370" i="5"/>
  <c r="J370" i="5" s="1"/>
  <c r="P369" i="5"/>
  <c r="J369" i="5" s="1"/>
  <c r="P368" i="5"/>
  <c r="J368" i="5" s="1"/>
  <c r="P365" i="5"/>
  <c r="J365" i="5" s="1"/>
  <c r="L365" i="5" s="1"/>
  <c r="P364" i="5"/>
  <c r="J364" i="5" s="1"/>
  <c r="P363" i="5"/>
  <c r="P362" i="5"/>
  <c r="J362" i="5" s="1"/>
  <c r="P361" i="5"/>
  <c r="J361" i="5" s="1"/>
  <c r="P359" i="5"/>
  <c r="P358" i="5"/>
  <c r="J358" i="5" s="1"/>
  <c r="L358" i="5" s="1"/>
  <c r="P357" i="5"/>
  <c r="P356" i="5"/>
  <c r="J356" i="5" s="1"/>
  <c r="P355" i="5"/>
  <c r="P354" i="5"/>
  <c r="P353" i="5"/>
  <c r="J353" i="5" s="1"/>
  <c r="L353" i="5" s="1"/>
  <c r="P349" i="5"/>
  <c r="J349" i="5" s="1"/>
  <c r="P348" i="5"/>
  <c r="P346" i="5"/>
  <c r="J346" i="5" s="1"/>
  <c r="P344" i="5"/>
  <c r="J344" i="5" s="1"/>
  <c r="P343" i="5"/>
  <c r="P341" i="5"/>
  <c r="J341" i="5" s="1"/>
  <c r="L341" i="5" s="1"/>
  <c r="P340" i="5"/>
  <c r="P333" i="5"/>
  <c r="J333" i="5" s="1"/>
  <c r="P331" i="5"/>
  <c r="P329" i="5"/>
  <c r="J329" i="5" s="1"/>
  <c r="P320" i="5"/>
  <c r="J320" i="5" s="1"/>
  <c r="P318" i="5"/>
  <c r="J318" i="5" s="1"/>
  <c r="L318" i="5" s="1"/>
  <c r="P317" i="5"/>
  <c r="J317" i="5" s="1"/>
  <c r="P316" i="5"/>
  <c r="J316" i="5" s="1"/>
  <c r="P315" i="5"/>
  <c r="J315" i="5" s="1"/>
  <c r="P312" i="5"/>
  <c r="J312" i="5" s="1"/>
  <c r="L312" i="5" s="1"/>
  <c r="P311" i="5"/>
  <c r="J311" i="5" s="1"/>
  <c r="P310" i="5"/>
  <c r="J310" i="5" s="1"/>
  <c r="P309" i="5"/>
  <c r="J309" i="5" s="1"/>
  <c r="P308" i="5"/>
  <c r="J308" i="5" s="1"/>
  <c r="P307" i="5"/>
  <c r="J307" i="5" s="1"/>
  <c r="P306" i="5"/>
  <c r="J306" i="5" s="1"/>
  <c r="L306" i="5" s="1"/>
  <c r="P301" i="5"/>
  <c r="J301" i="5" s="1"/>
  <c r="L301" i="5" s="1"/>
  <c r="P282" i="5"/>
  <c r="J282" i="5" s="1"/>
  <c r="L282" i="5" s="1"/>
  <c r="P281" i="5"/>
  <c r="J281" i="5" s="1"/>
  <c r="L281" i="5" s="1"/>
  <c r="P280" i="5"/>
  <c r="J280" i="5" s="1"/>
  <c r="P279" i="5"/>
  <c r="J279" i="5" s="1"/>
  <c r="P278" i="5"/>
  <c r="J278" i="5" s="1"/>
  <c r="L278" i="5" s="1"/>
  <c r="P277" i="5"/>
  <c r="J277" i="5" s="1"/>
  <c r="L277" i="5" s="1"/>
  <c r="P276" i="5"/>
  <c r="P275" i="5"/>
  <c r="J275" i="5" s="1"/>
  <c r="P274" i="5"/>
  <c r="J274" i="5" s="1"/>
  <c r="L274" i="5" s="1"/>
  <c r="J84" i="26"/>
  <c r="P273" i="5"/>
  <c r="J273" i="5" s="1"/>
  <c r="L273" i="5" s="1"/>
  <c r="P272" i="5"/>
  <c r="J272" i="5" s="1"/>
  <c r="J83" i="26"/>
  <c r="P271" i="5"/>
  <c r="J271" i="5" s="1"/>
  <c r="P270" i="5"/>
  <c r="J270" i="5" s="1"/>
  <c r="L270" i="5" s="1"/>
  <c r="P269" i="5"/>
  <c r="J269" i="5" s="1"/>
  <c r="L269" i="5" s="1"/>
  <c r="P268" i="5"/>
  <c r="J268" i="5" s="1"/>
  <c r="L268" i="5" s="1"/>
  <c r="P267" i="5"/>
  <c r="J267" i="5" s="1"/>
  <c r="P266" i="5"/>
  <c r="J266" i="5" s="1"/>
  <c r="L266" i="5" s="1"/>
  <c r="P265" i="5"/>
  <c r="J265" i="5" s="1"/>
  <c r="L265" i="5" s="1"/>
  <c r="P264" i="5"/>
  <c r="J264" i="5" s="1"/>
  <c r="P263" i="5"/>
  <c r="J263" i="5" s="1"/>
  <c r="P262" i="5"/>
  <c r="J262" i="5" s="1"/>
  <c r="L262" i="5" s="1"/>
  <c r="P261" i="5"/>
  <c r="J261" i="5" s="1"/>
  <c r="L261" i="5" s="1"/>
  <c r="P260" i="5"/>
  <c r="J260" i="5" s="1"/>
  <c r="L260" i="5" s="1"/>
  <c r="P259" i="5"/>
  <c r="J259" i="5" s="1"/>
  <c r="P258" i="5"/>
  <c r="J258" i="5" s="1"/>
  <c r="L258" i="5" s="1"/>
  <c r="P257" i="5"/>
  <c r="J257" i="5" s="1"/>
  <c r="L257" i="5" s="1"/>
  <c r="P256" i="5"/>
  <c r="J256" i="5" s="1"/>
  <c r="P255" i="5"/>
  <c r="J255" i="5" s="1"/>
  <c r="P254" i="5"/>
  <c r="J254" i="5" s="1"/>
  <c r="L254" i="5" s="1"/>
  <c r="P253" i="5"/>
  <c r="J253" i="5" s="1"/>
  <c r="L253" i="5" s="1"/>
  <c r="P252" i="5"/>
  <c r="J252" i="5" s="1"/>
  <c r="L252" i="5" s="1"/>
  <c r="P251" i="5"/>
  <c r="J251" i="5" s="1"/>
  <c r="P250" i="5"/>
  <c r="J250" i="5" s="1"/>
  <c r="L250" i="5" s="1"/>
  <c r="P237" i="5"/>
  <c r="J237" i="5" s="1"/>
  <c r="L237" i="5" s="1"/>
  <c r="O1112" i="246" s="1"/>
  <c r="P236" i="5"/>
  <c r="J236" i="5" s="1"/>
  <c r="P235" i="5"/>
  <c r="J235" i="5" s="1"/>
  <c r="P234" i="5"/>
  <c r="J234" i="5" s="1"/>
  <c r="L234" i="5" s="1"/>
  <c r="P231" i="5"/>
  <c r="P230" i="5"/>
  <c r="P229" i="5"/>
  <c r="J229" i="5" s="1"/>
  <c r="P228" i="5"/>
  <c r="J228" i="5" s="1"/>
  <c r="L228" i="5" s="1"/>
  <c r="P226" i="5"/>
  <c r="P225" i="5"/>
  <c r="P224" i="5"/>
  <c r="P220" i="5"/>
  <c r="J220" i="5" s="1"/>
  <c r="P219" i="5"/>
  <c r="J219" i="5" s="1"/>
  <c r="L219" i="5" s="1"/>
  <c r="P206" i="5"/>
  <c r="P205" i="5"/>
  <c r="P204" i="5"/>
  <c r="P189" i="5"/>
  <c r="P188" i="5"/>
  <c r="J188" i="5" s="1"/>
  <c r="P187" i="5"/>
  <c r="J59" i="26"/>
  <c r="P184" i="5"/>
  <c r="J184" i="5" s="1"/>
  <c r="L184" i="5" s="1"/>
  <c r="P183" i="5"/>
  <c r="J183" i="5" s="1"/>
  <c r="P182" i="5"/>
  <c r="P181" i="5"/>
  <c r="J181" i="5" s="1"/>
  <c r="L181" i="5" s="1"/>
  <c r="P180" i="5"/>
  <c r="J180" i="5" s="1"/>
  <c r="P179" i="5"/>
  <c r="J179" i="5" s="1"/>
  <c r="L179" i="5" s="1"/>
  <c r="P178" i="5"/>
  <c r="J178" i="5" s="1"/>
  <c r="L178" i="5" s="1"/>
  <c r="P177" i="5"/>
  <c r="J177" i="5" s="1"/>
  <c r="L177" i="5" s="1"/>
  <c r="P176" i="5"/>
  <c r="J176" i="5" s="1"/>
  <c r="P175" i="5"/>
  <c r="J175" i="5" s="1"/>
  <c r="L175" i="5" s="1"/>
  <c r="P168" i="5"/>
  <c r="M76" i="26" s="1"/>
  <c r="L167" i="5"/>
  <c r="L166" i="5"/>
  <c r="L165" i="5"/>
  <c r="P164" i="5"/>
  <c r="J164" i="5" s="1"/>
  <c r="L164" i="5" s="1"/>
  <c r="P163" i="5"/>
  <c r="P162" i="5"/>
  <c r="P160" i="5"/>
  <c r="P159" i="5"/>
  <c r="J159" i="5" s="1"/>
  <c r="L159" i="5" s="1"/>
  <c r="P158" i="5"/>
  <c r="J158" i="5" s="1"/>
  <c r="L158" i="5" s="1"/>
  <c r="P157" i="5"/>
  <c r="P156" i="5"/>
  <c r="J156" i="5" s="1"/>
  <c r="L156" i="5" s="1"/>
  <c r="P154" i="5"/>
  <c r="J154" i="5" s="1"/>
  <c r="P153" i="5"/>
  <c r="J153" i="5" s="1"/>
  <c r="L153" i="5" s="1"/>
  <c r="P152" i="5"/>
  <c r="J152" i="5" s="1"/>
  <c r="L152" i="5" s="1"/>
  <c r="O1035" i="246" s="1"/>
  <c r="R1035" i="246" s="1"/>
  <c r="P148" i="5"/>
  <c r="P144" i="5"/>
  <c r="P141" i="5"/>
  <c r="J141" i="5" s="1"/>
  <c r="L141" i="5" s="1"/>
  <c r="P140" i="5"/>
  <c r="J140" i="5" s="1"/>
  <c r="L140" i="5" s="1"/>
  <c r="P133" i="5"/>
  <c r="J133" i="5" s="1"/>
  <c r="L133" i="5" s="1"/>
  <c r="O2244" i="246" s="1"/>
  <c r="R2244" i="246" s="1"/>
  <c r="P128" i="5"/>
  <c r="J128" i="5" s="1"/>
  <c r="L128" i="5" s="1"/>
  <c r="P127" i="5"/>
  <c r="J127" i="5" s="1"/>
  <c r="P126" i="5"/>
  <c r="J126" i="5" s="1"/>
  <c r="P125" i="5"/>
  <c r="J125" i="5" s="1"/>
  <c r="L125" i="5" s="1"/>
  <c r="P124" i="5"/>
  <c r="J124" i="5" s="1"/>
  <c r="L124" i="5" s="1"/>
  <c r="P123" i="5"/>
  <c r="J123" i="5" s="1"/>
  <c r="L123" i="5" s="1"/>
  <c r="P122" i="5"/>
  <c r="J122" i="5" s="1"/>
  <c r="P121" i="5"/>
  <c r="J121" i="5" s="1"/>
  <c r="L121" i="5" s="1"/>
  <c r="P120" i="5"/>
  <c r="P119" i="5"/>
  <c r="J119" i="5" s="1"/>
  <c r="L119" i="5" s="1"/>
  <c r="O2229" i="246" s="1"/>
  <c r="R2229" i="246" s="1"/>
  <c r="P118" i="5"/>
  <c r="J118" i="5" s="1"/>
  <c r="L118" i="5" s="1"/>
  <c r="P117" i="5"/>
  <c r="J117" i="5" s="1"/>
  <c r="L117" i="5" s="1"/>
  <c r="P116" i="5"/>
  <c r="J116" i="5" s="1"/>
  <c r="L116" i="5" s="1"/>
  <c r="P115" i="5"/>
  <c r="J115" i="5" s="1"/>
  <c r="L115" i="5" s="1"/>
  <c r="P110" i="5"/>
  <c r="J110" i="5" s="1"/>
  <c r="L110" i="5" s="1"/>
  <c r="P109" i="5"/>
  <c r="J109" i="5" s="1"/>
  <c r="P108" i="5"/>
  <c r="J108" i="5" s="1"/>
  <c r="P107" i="5"/>
  <c r="J107" i="5" s="1"/>
  <c r="L107" i="5" s="1"/>
  <c r="P105" i="5"/>
  <c r="J105" i="5" s="1"/>
  <c r="P104" i="5"/>
  <c r="J104" i="5" s="1"/>
  <c r="P103" i="5"/>
  <c r="J103" i="5" s="1"/>
  <c r="L103" i="5" s="1"/>
  <c r="P102" i="5"/>
  <c r="P101" i="5"/>
  <c r="J101" i="5" s="1"/>
  <c r="L101" i="5" s="1"/>
  <c r="P100" i="5"/>
  <c r="J100" i="5" s="1"/>
  <c r="L100" i="5" s="1"/>
  <c r="P99" i="5"/>
  <c r="J99" i="5" s="1"/>
  <c r="L99" i="5" s="1"/>
  <c r="P98" i="5"/>
  <c r="J98" i="5" s="1"/>
  <c r="L98" i="5" s="1"/>
  <c r="P97" i="5"/>
  <c r="J97" i="5" s="1"/>
  <c r="L97" i="5" s="1"/>
  <c r="P95" i="5"/>
  <c r="J95" i="5" s="1"/>
  <c r="L95" i="5" s="1"/>
  <c r="P94" i="5"/>
  <c r="J94" i="5" s="1"/>
  <c r="L94" i="5" s="1"/>
  <c r="P93" i="5"/>
  <c r="J93" i="5" s="1"/>
  <c r="L93" i="5" s="1"/>
  <c r="P92" i="5"/>
  <c r="J92" i="5" s="1"/>
  <c r="L92" i="5" s="1"/>
  <c r="O972" i="246" s="1"/>
  <c r="R972" i="246" s="1"/>
  <c r="P90" i="5"/>
  <c r="P89" i="5"/>
  <c r="J89" i="5" s="1"/>
  <c r="L89" i="5" s="1"/>
  <c r="P88" i="5"/>
  <c r="J88" i="5" s="1"/>
  <c r="L88" i="5" s="1"/>
  <c r="O981" i="246" s="1"/>
  <c r="R981" i="246" s="1"/>
  <c r="P87" i="5"/>
  <c r="J87" i="5" s="1"/>
  <c r="L87" i="5" s="1"/>
  <c r="O980" i="246" s="1"/>
  <c r="R980" i="246" s="1"/>
  <c r="P84" i="5"/>
  <c r="J84" i="5" s="1"/>
  <c r="L84" i="5" s="1"/>
  <c r="P83" i="5"/>
  <c r="J83" i="5" s="1"/>
  <c r="L83" i="5" s="1"/>
  <c r="P82" i="5"/>
  <c r="J82" i="5" s="1"/>
  <c r="L82" i="5" s="1"/>
  <c r="P71" i="5"/>
  <c r="J71" i="5" s="1"/>
  <c r="L71" i="5" s="1"/>
  <c r="O2181" i="246" s="1"/>
  <c r="R2181" i="246" s="1"/>
  <c r="P70" i="5"/>
  <c r="J70" i="5" s="1"/>
  <c r="P69" i="5"/>
  <c r="J69" i="5" s="1"/>
  <c r="L69" i="5" s="1"/>
  <c r="P68" i="5"/>
  <c r="J68" i="5" s="1"/>
  <c r="L68" i="5" s="1"/>
  <c r="P67" i="5"/>
  <c r="J67" i="5" s="1"/>
  <c r="L67" i="5" s="1"/>
  <c r="P66" i="5"/>
  <c r="J66" i="5" s="1"/>
  <c r="L66" i="5" s="1"/>
  <c r="P65" i="5"/>
  <c r="J65" i="5" s="1"/>
  <c r="L65" i="5" s="1"/>
  <c r="P64" i="5"/>
  <c r="J64" i="5" s="1"/>
  <c r="P63" i="5"/>
  <c r="J63" i="5" s="1"/>
  <c r="L63" i="5" s="1"/>
  <c r="O911" i="246" s="1"/>
  <c r="R911" i="246" s="1"/>
  <c r="P60" i="5"/>
  <c r="J60" i="5" s="1"/>
  <c r="L60" i="5" s="1"/>
  <c r="P59" i="5"/>
  <c r="J59" i="5" s="1"/>
  <c r="L59" i="5" s="1"/>
  <c r="P58" i="5"/>
  <c r="J58" i="5" s="1"/>
  <c r="L58" i="5" s="1"/>
  <c r="P57" i="5"/>
  <c r="J57" i="5" s="1"/>
  <c r="L57" i="5" s="1"/>
  <c r="P56" i="5"/>
  <c r="J56" i="5" s="1"/>
  <c r="L56" i="5" s="1"/>
  <c r="P55" i="5"/>
  <c r="J55" i="5" s="1"/>
  <c r="L55" i="5" s="1"/>
  <c r="P54" i="5"/>
  <c r="J54" i="5" s="1"/>
  <c r="L54" i="5" s="1"/>
  <c r="P53" i="5"/>
  <c r="J53" i="5" s="1"/>
  <c r="L53" i="5" s="1"/>
  <c r="P52" i="5"/>
  <c r="J52" i="5" s="1"/>
  <c r="L52" i="5" s="1"/>
  <c r="P51" i="5"/>
  <c r="J51" i="5" s="1"/>
  <c r="L51" i="5" s="1"/>
  <c r="P50" i="5"/>
  <c r="J50" i="5" s="1"/>
  <c r="P49" i="5"/>
  <c r="P48" i="5"/>
  <c r="J48" i="5" s="1"/>
  <c r="P47" i="5"/>
  <c r="J47" i="5" s="1"/>
  <c r="L47" i="5" s="1"/>
  <c r="O2169" i="246" s="1"/>
  <c r="R2169" i="246" s="1"/>
  <c r="P46" i="5"/>
  <c r="J46" i="5" s="1"/>
  <c r="P45" i="5"/>
  <c r="J45" i="5" s="1"/>
  <c r="P44" i="5"/>
  <c r="J44" i="5" s="1"/>
  <c r="P43" i="5"/>
  <c r="J43" i="5" s="1"/>
  <c r="L43" i="5" s="1"/>
  <c r="P42" i="5"/>
  <c r="J42" i="5" s="1"/>
  <c r="L42" i="5" s="1"/>
  <c r="P41" i="5"/>
  <c r="J41" i="5" s="1"/>
  <c r="P40" i="5"/>
  <c r="J40" i="5" s="1"/>
  <c r="L40" i="5" s="1"/>
  <c r="O2165" i="246" s="1"/>
  <c r="R2165" i="246" s="1"/>
  <c r="P39" i="5"/>
  <c r="J39" i="5" s="1"/>
  <c r="L39" i="5" s="1"/>
  <c r="P32" i="5"/>
  <c r="J32" i="5" s="1"/>
  <c r="L32" i="5" s="1"/>
  <c r="P31" i="5"/>
  <c r="J31" i="5" s="1"/>
  <c r="L31" i="5" s="1"/>
  <c r="P27" i="5"/>
  <c r="J27" i="5" s="1"/>
  <c r="L27" i="5" s="1"/>
  <c r="P26" i="5"/>
  <c r="P25" i="5"/>
  <c r="J25" i="5" s="1"/>
  <c r="L25" i="5" s="1"/>
  <c r="P24" i="5"/>
  <c r="P23" i="5"/>
  <c r="P22" i="5"/>
  <c r="J22" i="5" s="1"/>
  <c r="L22" i="5" s="1"/>
  <c r="O2141" i="246" s="1"/>
  <c r="R2141" i="246" s="1"/>
  <c r="P21" i="5"/>
  <c r="J21" i="5" s="1"/>
  <c r="L21" i="5" s="1"/>
  <c r="O2140" i="246" s="1"/>
  <c r="R2140" i="246" s="1"/>
  <c r="P17" i="5"/>
  <c r="J17" i="5" s="1"/>
  <c r="P16" i="5"/>
  <c r="P15" i="5"/>
  <c r="P14" i="5"/>
  <c r="P13" i="5"/>
  <c r="P12" i="5"/>
  <c r="J12" i="5" s="1"/>
  <c r="L12" i="5" s="1"/>
  <c r="P11" i="5"/>
  <c r="P10" i="5"/>
  <c r="J10" i="5" s="1"/>
  <c r="L10" i="5" s="1"/>
  <c r="P5" i="5"/>
  <c r="L36" i="26" s="1"/>
  <c r="D16" i="1"/>
  <c r="D20" i="1"/>
  <c r="D58" i="1"/>
  <c r="D59" i="1"/>
  <c r="R59" i="1" s="1"/>
  <c r="D63" i="1"/>
  <c r="R129" i="1"/>
  <c r="R132" i="1"/>
  <c r="R133" i="1"/>
  <c r="R134" i="1"/>
  <c r="R135" i="1"/>
  <c r="R139" i="1"/>
  <c r="R140" i="1"/>
  <c r="R149" i="1"/>
  <c r="R150" i="1"/>
  <c r="D410" i="1"/>
  <c r="D411" i="1"/>
  <c r="R411" i="1" s="1"/>
  <c r="M416" i="1"/>
  <c r="D347" i="1"/>
  <c r="D348" i="1"/>
  <c r="R348" i="1" s="1"/>
  <c r="M354" i="1"/>
  <c r="D552" i="1"/>
  <c r="D553" i="1"/>
  <c r="R553" i="1" s="1"/>
  <c r="D556" i="1"/>
  <c r="R563" i="1"/>
  <c r="D639" i="1"/>
  <c r="K639" i="1"/>
  <c r="D640" i="1"/>
  <c r="K640" i="1"/>
  <c r="K641" i="1"/>
  <c r="K642" i="1"/>
  <c r="D1515" i="1"/>
  <c r="D1516" i="1"/>
  <c r="D1517" i="1"/>
  <c r="D1518" i="1"/>
  <c r="D1519" i="1"/>
  <c r="D1546" i="1"/>
  <c r="D1547" i="1"/>
  <c r="D1548" i="1"/>
  <c r="D1549" i="1"/>
  <c r="D1550" i="1"/>
  <c r="D1567" i="1"/>
  <c r="D1568" i="1"/>
  <c r="D1571" i="1"/>
  <c r="M1574" i="1"/>
  <c r="D1580" i="1"/>
  <c r="D1650" i="1"/>
  <c r="D1651" i="1"/>
  <c r="D1654" i="1"/>
  <c r="M1657" i="1"/>
  <c r="D1675" i="1"/>
  <c r="R1675" i="1" s="1"/>
  <c r="D1788" i="1"/>
  <c r="D1789" i="1"/>
  <c r="D1792" i="1"/>
  <c r="M1795" i="1"/>
  <c r="D1827" i="1"/>
  <c r="D1828" i="1"/>
  <c r="D1831" i="1"/>
  <c r="M1834" i="1"/>
  <c r="D1837" i="1"/>
  <c r="D1955" i="1"/>
  <c r="D1956" i="1"/>
  <c r="D1959" i="1"/>
  <c r="M1962" i="1"/>
  <c r="D1965" i="1"/>
  <c r="D1966" i="1"/>
  <c r="D1967" i="1"/>
  <c r="D1968" i="1"/>
  <c r="D1991" i="1"/>
  <c r="D1992" i="1"/>
  <c r="D1993" i="1"/>
  <c r="D2015" i="1"/>
  <c r="D2016" i="1"/>
  <c r="D2017" i="1"/>
  <c r="D2018" i="1"/>
  <c r="D835" i="1"/>
  <c r="D836" i="1"/>
  <c r="D837" i="1"/>
  <c r="D838" i="1"/>
  <c r="D839" i="1"/>
  <c r="D882" i="1"/>
  <c r="D883" i="1"/>
  <c r="D884" i="1"/>
  <c r="D885" i="1"/>
  <c r="D886" i="1"/>
  <c r="D909" i="1"/>
  <c r="D910" i="1"/>
  <c r="D911" i="1"/>
  <c r="D978" i="1"/>
  <c r="D979" i="1"/>
  <c r="D980" i="1"/>
  <c r="D981" i="1"/>
  <c r="D1015" i="1"/>
  <c r="D1016" i="1"/>
  <c r="D1019" i="1"/>
  <c r="M1022" i="1"/>
  <c r="D1025" i="1"/>
  <c r="D1026" i="1"/>
  <c r="D1027" i="1"/>
  <c r="D1031" i="1"/>
  <c r="D1035" i="1"/>
  <c r="D2149" i="1"/>
  <c r="D2153" i="1"/>
  <c r="D2236" i="1" s="1"/>
  <c r="M2156" i="1"/>
  <c r="D2167" i="1"/>
  <c r="D2168" i="1"/>
  <c r="D2169" i="1"/>
  <c r="D2170" i="1"/>
  <c r="D2171" i="1"/>
  <c r="D2181" i="1"/>
  <c r="D2182" i="1"/>
  <c r="D2183" i="1"/>
  <c r="D2184" i="1"/>
  <c r="D2185" i="1"/>
  <c r="D2212" i="1"/>
  <c r="M2239" i="1"/>
  <c r="D2270" i="1"/>
  <c r="D2271" i="1"/>
  <c r="D2272" i="1"/>
  <c r="D2273" i="1"/>
  <c r="D2274" i="1"/>
  <c r="C2" i="26"/>
  <c r="D4" i="26"/>
  <c r="J85" i="26"/>
  <c r="J86" i="26"/>
  <c r="J87" i="26"/>
  <c r="J88" i="26"/>
  <c r="J89"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H41" i="4"/>
  <c r="F212" i="4"/>
  <c r="G212" i="4"/>
  <c r="H212" i="4"/>
  <c r="I212" i="4"/>
  <c r="F213" i="4"/>
  <c r="G213" i="4"/>
  <c r="H213" i="4"/>
  <c r="I213" i="4"/>
  <c r="F214" i="4"/>
  <c r="G214" i="4"/>
  <c r="H214" i="4"/>
  <c r="I214" i="4"/>
  <c r="J217" i="4"/>
  <c r="J218" i="4"/>
  <c r="E221" i="4"/>
  <c r="F221" i="4"/>
  <c r="G221" i="4"/>
  <c r="H221" i="4"/>
  <c r="I221" i="4"/>
  <c r="G231" i="4"/>
  <c r="C275" i="4"/>
  <c r="C280" i="4"/>
  <c r="C285" i="4"/>
  <c r="C290" i="4"/>
  <c r="C295" i="4"/>
  <c r="L1" i="5"/>
  <c r="M69" i="26"/>
  <c r="J35" i="26"/>
  <c r="J33" i="5" s="1"/>
  <c r="L33" i="5" s="1"/>
  <c r="J37" i="26"/>
  <c r="J199" i="5" s="1"/>
  <c r="J42" i="26"/>
  <c r="L27" i="26"/>
  <c r="L41" i="26"/>
  <c r="L45" i="26"/>
  <c r="M18" i="26"/>
  <c r="M35" i="26"/>
  <c r="J31" i="26"/>
  <c r="J243" i="5" s="1"/>
  <c r="L243" i="5" s="1"/>
  <c r="J53" i="26"/>
  <c r="J81" i="26"/>
  <c r="I12" i="89"/>
  <c r="L73" i="26"/>
  <c r="J82" i="26"/>
  <c r="J72" i="26"/>
  <c r="L81" i="26"/>
  <c r="M59" i="26"/>
  <c r="M36" i="26"/>
  <c r="M39" i="26"/>
  <c r="M83" i="26"/>
  <c r="M40" i="26"/>
  <c r="M94" i="26"/>
  <c r="M89" i="26"/>
  <c r="M86" i="26"/>
  <c r="M75" i="26"/>
  <c r="M66" i="26"/>
  <c r="M74" i="26"/>
  <c r="M92" i="26"/>
  <c r="L82" i="26"/>
  <c r="L56" i="26"/>
  <c r="L91" i="26"/>
  <c r="L57" i="26"/>
  <c r="L52" i="26"/>
  <c r="L43" i="26"/>
  <c r="L95" i="26"/>
  <c r="L79" i="26"/>
  <c r="L77" i="26"/>
  <c r="L71" i="26"/>
  <c r="L78" i="26"/>
  <c r="L80" i="26"/>
  <c r="L70" i="26"/>
  <c r="O2036" i="1" l="1"/>
  <c r="G121" i="4"/>
  <c r="O2013" i="246"/>
  <c r="R2013" i="246" s="1"/>
  <c r="M2042" i="1"/>
  <c r="O2012" i="246"/>
  <c r="R2012" i="246" s="1"/>
  <c r="M2041" i="1"/>
  <c r="G351" i="4"/>
  <c r="O2063" i="1"/>
  <c r="O2088" i="1"/>
  <c r="M44" i="26"/>
  <c r="M50" i="26"/>
  <c r="M1308" i="1"/>
  <c r="O1280" i="246"/>
  <c r="R1296" i="1"/>
  <c r="R1268" i="246"/>
  <c r="O1285" i="246"/>
  <c r="M1313" i="1"/>
  <c r="M1330" i="1"/>
  <c r="O1302" i="246"/>
  <c r="O1292" i="246"/>
  <c r="M1320" i="1"/>
  <c r="O1294" i="1"/>
  <c r="O1086" i="1"/>
  <c r="O832" i="1"/>
  <c r="O876" i="1"/>
  <c r="O1097" i="246"/>
  <c r="M1097" i="1"/>
  <c r="M1105" i="1"/>
  <c r="O1105" i="246"/>
  <c r="R1112" i="246"/>
  <c r="S1112" i="246"/>
  <c r="L51" i="26"/>
  <c r="M47" i="26"/>
  <c r="A47" i="26" s="1"/>
  <c r="M37" i="26"/>
  <c r="M32" i="26"/>
  <c r="M1112" i="1"/>
  <c r="M2186" i="1"/>
  <c r="R2186" i="1" s="1"/>
  <c r="O840" i="246"/>
  <c r="R840" i="246" s="1"/>
  <c r="M840" i="1"/>
  <c r="R840" i="1" s="1"/>
  <c r="O2156" i="246"/>
  <c r="R2156" i="246" s="1"/>
  <c r="O364" i="246"/>
  <c r="L38" i="26"/>
  <c r="M2295" i="1"/>
  <c r="R2295" i="1" s="1"/>
  <c r="O1003" i="246"/>
  <c r="R1003" i="246" s="1"/>
  <c r="O2265" i="246"/>
  <c r="R2265" i="246" s="1"/>
  <c r="M1003" i="1"/>
  <c r="R1003" i="1" s="1"/>
  <c r="J247" i="5"/>
  <c r="L247" i="5" s="1"/>
  <c r="M363" i="1"/>
  <c r="O1393" i="246"/>
  <c r="R1393" i="246" s="1"/>
  <c r="M1421" i="1"/>
  <c r="R1421" i="1" s="1"/>
  <c r="O1402" i="246"/>
  <c r="M1430" i="1"/>
  <c r="M1457" i="1"/>
  <c r="M1466" i="1"/>
  <c r="S1466" i="1" s="1"/>
  <c r="M1461" i="1" s="1"/>
  <c r="O1488" i="1"/>
  <c r="O805" i="1"/>
  <c r="M813" i="1"/>
  <c r="O813" i="246"/>
  <c r="R813" i="246" s="1"/>
  <c r="J163" i="5"/>
  <c r="L163" i="5" s="1"/>
  <c r="O269" i="1" s="1"/>
  <c r="J90" i="5"/>
  <c r="L90" i="5" s="1"/>
  <c r="O970" i="246" s="1"/>
  <c r="J332" i="5"/>
  <c r="L332" i="5" s="1"/>
  <c r="G16" i="229" s="1"/>
  <c r="J348" i="5"/>
  <c r="O884" i="246"/>
  <c r="R884" i="246" s="1"/>
  <c r="O885" i="246"/>
  <c r="R885" i="246" s="1"/>
  <c r="O886" i="246"/>
  <c r="R886" i="246" s="1"/>
  <c r="O1406" i="1"/>
  <c r="M1217" i="246"/>
  <c r="M1238" i="1"/>
  <c r="M1218" i="246"/>
  <c r="M1239" i="1"/>
  <c r="H1210" i="246"/>
  <c r="H1231" i="1"/>
  <c r="J1210" i="246"/>
  <c r="J1231" i="1"/>
  <c r="K1210" i="246"/>
  <c r="K1231" i="1"/>
  <c r="K1218" i="246"/>
  <c r="K1239" i="1"/>
  <c r="H1217" i="246"/>
  <c r="H1238" i="1"/>
  <c r="H1218" i="246"/>
  <c r="H1239" i="1"/>
  <c r="J1217" i="246"/>
  <c r="J1238" i="1"/>
  <c r="J1218" i="246"/>
  <c r="J1239" i="1"/>
  <c r="K1217" i="246"/>
  <c r="K1238" i="1"/>
  <c r="M2135" i="1"/>
  <c r="M2105" i="246"/>
  <c r="M2262" i="1"/>
  <c r="O2220" i="246"/>
  <c r="R2220" i="246" s="1"/>
  <c r="M2249" i="1"/>
  <c r="M1775" i="1"/>
  <c r="O1746" i="246"/>
  <c r="R1746" i="246" s="1"/>
  <c r="O1738" i="246"/>
  <c r="R1738" i="246" s="1"/>
  <c r="M1767" i="1"/>
  <c r="M526" i="1"/>
  <c r="O526" i="246"/>
  <c r="R526" i="246" s="1"/>
  <c r="O1739" i="246"/>
  <c r="R1739" i="246" s="1"/>
  <c r="M1768" i="1"/>
  <c r="O1712" i="246"/>
  <c r="R1712" i="246" s="1"/>
  <c r="M1741" i="1"/>
  <c r="O515" i="246"/>
  <c r="M515" i="1"/>
  <c r="C244" i="1"/>
  <c r="O2175" i="246"/>
  <c r="R2175" i="246" s="1"/>
  <c r="O2178" i="246"/>
  <c r="R2178" i="246" s="1"/>
  <c r="O2264" i="246"/>
  <c r="R2264" i="246" s="1"/>
  <c r="O1000" i="246"/>
  <c r="R1000" i="246" s="1"/>
  <c r="O1001" i="246"/>
  <c r="R1001" i="246" s="1"/>
  <c r="O2259" i="246"/>
  <c r="O2236" i="246"/>
  <c r="R2236" i="246" s="1"/>
  <c r="O836" i="246"/>
  <c r="R836" i="246" s="1"/>
  <c r="O2152" i="246"/>
  <c r="R2152" i="246" s="1"/>
  <c r="O2262" i="246"/>
  <c r="R2262" i="246" s="1"/>
  <c r="O1002" i="246"/>
  <c r="R1002" i="246" s="1"/>
  <c r="O2227" i="246"/>
  <c r="R2227" i="246" s="1"/>
  <c r="O838" i="246"/>
  <c r="R838" i="246" s="1"/>
  <c r="O2154" i="246"/>
  <c r="R2154" i="246" s="1"/>
  <c r="O839" i="246"/>
  <c r="R839" i="246" s="1"/>
  <c r="O2155" i="246"/>
  <c r="R2155" i="246" s="1"/>
  <c r="O2167" i="246"/>
  <c r="R2167" i="246" s="1"/>
  <c r="O2179" i="246"/>
  <c r="R2179" i="246" s="1"/>
  <c r="O999" i="246"/>
  <c r="O2263" i="246"/>
  <c r="R2263" i="246" s="1"/>
  <c r="O2232" i="246"/>
  <c r="R2232" i="246" s="1"/>
  <c r="O2218" i="246"/>
  <c r="R2218" i="246" s="1"/>
  <c r="M2248" i="1"/>
  <c r="O2234" i="246"/>
  <c r="R2234" i="246" s="1"/>
  <c r="O837" i="246"/>
  <c r="R837" i="246" s="1"/>
  <c r="O2153" i="246"/>
  <c r="R2153" i="246" s="1"/>
  <c r="O2226" i="246"/>
  <c r="R2226" i="246" s="1"/>
  <c r="O978" i="246"/>
  <c r="O2173" i="246"/>
  <c r="R2173" i="246" s="1"/>
  <c r="O2239" i="246"/>
  <c r="R2239" i="246" s="1"/>
  <c r="O909" i="246"/>
  <c r="O2174" i="246"/>
  <c r="R2174" i="246" s="1"/>
  <c r="M2247" i="1"/>
  <c r="O2217" i="246"/>
  <c r="R2217" i="246" s="1"/>
  <c r="O2228" i="246"/>
  <c r="R2228" i="246" s="1"/>
  <c r="I15" i="89"/>
  <c r="O883" i="246"/>
  <c r="R883" i="246" s="1"/>
  <c r="O2151" i="246"/>
  <c r="O835" i="246"/>
  <c r="K246" i="89"/>
  <c r="K14" i="89" s="1"/>
  <c r="K390" i="89"/>
  <c r="K285" i="89"/>
  <c r="K212" i="89"/>
  <c r="G19" i="240"/>
  <c r="H6" i="240"/>
  <c r="Q2" i="5"/>
  <c r="O2989" i="1"/>
  <c r="O2333" i="1"/>
  <c r="O2416" i="1"/>
  <c r="O2744" i="1"/>
  <c r="O3072" i="1"/>
  <c r="O2661" i="1"/>
  <c r="I39" i="4"/>
  <c r="M884" i="1"/>
  <c r="M883" i="1"/>
  <c r="M886" i="1"/>
  <c r="M885" i="1"/>
  <c r="L20" i="26"/>
  <c r="L22" i="26"/>
  <c r="J355" i="5"/>
  <c r="J354" i="5"/>
  <c r="J14" i="5"/>
  <c r="L14" i="5" s="1"/>
  <c r="J15" i="5"/>
  <c r="L15" i="5" s="1"/>
  <c r="L15" i="26"/>
  <c r="L24" i="26"/>
  <c r="L21" i="26"/>
  <c r="L29" i="26"/>
  <c r="L65" i="26"/>
  <c r="M2258" i="1"/>
  <c r="L17" i="26"/>
  <c r="L59" i="26"/>
  <c r="A59" i="26" s="1"/>
  <c r="L63" i="26"/>
  <c r="M78" i="26"/>
  <c r="A78" i="26" s="1"/>
  <c r="M84" i="26"/>
  <c r="A84" i="26" s="1"/>
  <c r="L31" i="26"/>
  <c r="M62" i="26"/>
  <c r="A62" i="26" s="1"/>
  <c r="L48" i="26"/>
  <c r="L75" i="26"/>
  <c r="A75" i="26" s="1"/>
  <c r="M91" i="26"/>
  <c r="A91" i="26" s="1"/>
  <c r="M85" i="26"/>
  <c r="A85" i="26" s="1"/>
  <c r="L69" i="26"/>
  <c r="A69" i="26" s="1"/>
  <c r="J187" i="5"/>
  <c r="M79" i="26"/>
  <c r="A79" i="26" s="1"/>
  <c r="M81" i="26"/>
  <c r="A81" i="26" s="1"/>
  <c r="L61" i="26"/>
  <c r="M82" i="26"/>
  <c r="A82" i="26" s="1"/>
  <c r="L87" i="26"/>
  <c r="A87" i="26" s="1"/>
  <c r="M88" i="26"/>
  <c r="A88" i="26" s="1"/>
  <c r="M53" i="26"/>
  <c r="A53" i="26" s="1"/>
  <c r="L50" i="26"/>
  <c r="M73" i="26"/>
  <c r="A73" i="26" s="1"/>
  <c r="L72" i="26"/>
  <c r="A72" i="26" s="1"/>
  <c r="L26" i="26"/>
  <c r="L33" i="26"/>
  <c r="M70" i="26"/>
  <c r="A70" i="26" s="1"/>
  <c r="L90" i="26"/>
  <c r="A90" i="26" s="1"/>
  <c r="H6" i="230"/>
  <c r="H6" i="229"/>
  <c r="J111" i="5"/>
  <c r="L111" i="5" s="1"/>
  <c r="J147" i="5"/>
  <c r="L147" i="5" s="1"/>
  <c r="O1030" i="246" s="1"/>
  <c r="R1030" i="246" s="1"/>
  <c r="M1029" i="1"/>
  <c r="R1029" i="1" s="1"/>
  <c r="J198" i="5"/>
  <c r="E130" i="231"/>
  <c r="M30" i="26"/>
  <c r="M22" i="26"/>
  <c r="M46" i="26"/>
  <c r="M56" i="26"/>
  <c r="A56" i="26" s="1"/>
  <c r="J190" i="5"/>
  <c r="M1035" i="1"/>
  <c r="M972" i="1"/>
  <c r="M25" i="26"/>
  <c r="M27" i="26"/>
  <c r="A27" i="26" s="1"/>
  <c r="J13" i="89"/>
  <c r="I13" i="89"/>
  <c r="J189" i="5"/>
  <c r="H6" i="206"/>
  <c r="L19" i="26"/>
  <c r="M34" i="26"/>
  <c r="M28" i="26"/>
  <c r="J197" i="5"/>
  <c r="L197" i="5" s="1"/>
  <c r="M31" i="26"/>
  <c r="L23" i="26"/>
  <c r="J49" i="5"/>
  <c r="L49" i="5" s="1"/>
  <c r="J205" i="5"/>
  <c r="J150" i="5"/>
  <c r="L150" i="5" s="1"/>
  <c r="O1033" i="246" s="1"/>
  <c r="R1033" i="246" s="1"/>
  <c r="J120" i="5"/>
  <c r="L120" i="5" s="1"/>
  <c r="O2231" i="246" s="1"/>
  <c r="R2231" i="246" s="1"/>
  <c r="J182" i="5"/>
  <c r="L182" i="5" s="1"/>
  <c r="L18" i="26"/>
  <c r="A18" i="26" s="1"/>
  <c r="M15" i="26"/>
  <c r="D1719" i="1"/>
  <c r="I16" i="89"/>
  <c r="J16" i="89"/>
  <c r="O1543" i="1"/>
  <c r="O1512" i="1"/>
  <c r="M1002" i="1"/>
  <c r="M999" i="1"/>
  <c r="M1000" i="1"/>
  <c r="M1001" i="1"/>
  <c r="K1" i="192"/>
  <c r="K1" i="190"/>
  <c r="O938" i="1"/>
  <c r="O1872" i="1"/>
  <c r="O1688" i="1"/>
  <c r="O2011" i="1"/>
  <c r="O963" i="1"/>
  <c r="O1936" i="1"/>
  <c r="O1715" i="1"/>
  <c r="O906" i="1"/>
  <c r="O1760" i="1"/>
  <c r="O1632" i="1"/>
  <c r="O1988" i="1"/>
  <c r="O1737" i="1"/>
  <c r="M978" i="1"/>
  <c r="L126" i="5"/>
  <c r="L129" i="5"/>
  <c r="O2240" i="246" s="1"/>
  <c r="R2240" i="246" s="1"/>
  <c r="L17" i="5"/>
  <c r="L70" i="5"/>
  <c r="O2180" i="246" s="1"/>
  <c r="R2180" i="246" s="1"/>
  <c r="L390" i="5"/>
  <c r="L151" i="5"/>
  <c r="O1034" i="246" s="1"/>
  <c r="R1034" i="246" s="1"/>
  <c r="L64" i="5"/>
  <c r="O2177" i="246" s="1"/>
  <c r="R2177" i="246" s="1"/>
  <c r="L104" i="5"/>
  <c r="O2221" i="246" s="1"/>
  <c r="R2221" i="246" s="1"/>
  <c r="L122" i="5"/>
  <c r="O2233" i="246" s="1"/>
  <c r="R2233" i="246" s="1"/>
  <c r="L154" i="5"/>
  <c r="L105" i="5"/>
  <c r="O2222" i="246" s="1"/>
  <c r="R2222" i="246" s="1"/>
  <c r="L48" i="5"/>
  <c r="O2170" i="246" s="1"/>
  <c r="R2170" i="246" s="1"/>
  <c r="L389" i="5"/>
  <c r="L41" i="5"/>
  <c r="O2166" i="246" s="1"/>
  <c r="R2166" i="246" s="1"/>
  <c r="L127" i="5"/>
  <c r="O2238" i="246" s="1"/>
  <c r="R2238" i="246" s="1"/>
  <c r="L72" i="5"/>
  <c r="O2182" i="246" s="1"/>
  <c r="R2182" i="246" s="1"/>
  <c r="L50" i="5"/>
  <c r="O2172" i="246" s="1"/>
  <c r="R2172" i="246" s="1"/>
  <c r="L391" i="5"/>
  <c r="L62" i="5"/>
  <c r="O910" i="246" s="1"/>
  <c r="R910" i="246" s="1"/>
  <c r="H10" i="187"/>
  <c r="H52" i="187"/>
  <c r="H35" i="187"/>
  <c r="H83" i="187"/>
  <c r="H69" i="187"/>
  <c r="H10" i="178"/>
  <c r="H61" i="167"/>
  <c r="H44" i="167"/>
  <c r="H6" i="168"/>
  <c r="H10" i="167"/>
  <c r="H28" i="178"/>
  <c r="H6" i="169"/>
  <c r="H81" i="167"/>
  <c r="H27" i="167"/>
  <c r="M41" i="26"/>
  <c r="A41" i="26" s="1"/>
  <c r="M45" i="26"/>
  <c r="A45" i="26" s="1"/>
  <c r="M42" i="26"/>
  <c r="A42" i="26" s="1"/>
  <c r="M48" i="26"/>
  <c r="L46" i="26"/>
  <c r="M49" i="26"/>
  <c r="A49" i="26" s="1"/>
  <c r="M65" i="26"/>
  <c r="L37" i="26"/>
  <c r="A37" i="26" s="1"/>
  <c r="M54" i="26"/>
  <c r="A54" i="26" s="1"/>
  <c r="M60" i="26"/>
  <c r="A60" i="26" s="1"/>
  <c r="L39" i="26"/>
  <c r="A39" i="26" s="1"/>
  <c r="L68" i="26"/>
  <c r="A68" i="26" s="1"/>
  <c r="M57" i="26"/>
  <c r="A57" i="26" s="1"/>
  <c r="M61" i="26"/>
  <c r="M52" i="26"/>
  <c r="A52" i="26" s="1"/>
  <c r="M63" i="26"/>
  <c r="M51" i="26"/>
  <c r="A51" i="26" s="1"/>
  <c r="M38" i="26"/>
  <c r="M58" i="26"/>
  <c r="A58" i="26" s="1"/>
  <c r="M55" i="26"/>
  <c r="A55" i="26" s="1"/>
  <c r="L35" i="26"/>
  <c r="A35" i="26" s="1"/>
  <c r="L40" i="26"/>
  <c r="A40" i="26" s="1"/>
  <c r="M43" i="26"/>
  <c r="A43" i="26" s="1"/>
  <c r="M64" i="26"/>
  <c r="A64" i="26" s="1"/>
  <c r="M67" i="26"/>
  <c r="A67" i="26" s="1"/>
  <c r="J382" i="5"/>
  <c r="J363" i="5"/>
  <c r="J11" i="5"/>
  <c r="L11" i="5" s="1"/>
  <c r="J209" i="5"/>
  <c r="J276" i="5"/>
  <c r="L276" i="5" s="1"/>
  <c r="M29" i="26"/>
  <c r="M23" i="26"/>
  <c r="M26" i="26"/>
  <c r="M24" i="26"/>
  <c r="A16" i="149"/>
  <c r="A15" i="149"/>
  <c r="L25" i="26"/>
  <c r="L28" i="26"/>
  <c r="M33" i="26"/>
  <c r="L32" i="26"/>
  <c r="L34" i="26"/>
  <c r="L30" i="26"/>
  <c r="A20" i="149"/>
  <c r="A19" i="149"/>
  <c r="A17" i="149"/>
  <c r="J231" i="5"/>
  <c r="L231" i="5" s="1"/>
  <c r="O1111" i="246" s="1"/>
  <c r="M2217" i="1"/>
  <c r="M2221" i="1"/>
  <c r="M21" i="26"/>
  <c r="M20" i="26"/>
  <c r="L16" i="26"/>
  <c r="M17" i="26"/>
  <c r="M19" i="26"/>
  <c r="K1" i="136"/>
  <c r="K15" i="89"/>
  <c r="M2274" i="1"/>
  <c r="M2195" i="1"/>
  <c r="M2211" i="1"/>
  <c r="M2259" i="1"/>
  <c r="M2272" i="1"/>
  <c r="M2204" i="1"/>
  <c r="M2218" i="1"/>
  <c r="M2219" i="1"/>
  <c r="M2269" i="1"/>
  <c r="M2271" i="1"/>
  <c r="M2216" i="1"/>
  <c r="M2215" i="1"/>
  <c r="M2220" i="1"/>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367" i="26"/>
  <c r="A467" i="26"/>
  <c r="A225" i="26"/>
  <c r="A233" i="26"/>
  <c r="A371" i="26"/>
  <c r="A435" i="26"/>
  <c r="A443" i="26"/>
  <c r="A481" i="26"/>
  <c r="A71" i="26"/>
  <c r="A471"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152" i="26"/>
  <c r="A205" i="26"/>
  <c r="A209" i="26"/>
  <c r="A378" i="26"/>
  <c r="A420" i="26"/>
  <c r="A432" i="26"/>
  <c r="A66"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419" i="26"/>
  <c r="A115" i="26"/>
  <c r="A119" i="26"/>
  <c r="A123" i="26"/>
  <c r="A149" i="26"/>
  <c r="A153" i="26"/>
  <c r="M16" i="26"/>
  <c r="J168" i="5"/>
  <c r="L168" i="5" s="1"/>
  <c r="A464" i="26"/>
  <c r="A468" i="26"/>
  <c r="A163" i="26"/>
  <c r="A167" i="26"/>
  <c r="A220" i="26"/>
  <c r="A236" i="26"/>
  <c r="A239" i="26"/>
  <c r="A243" i="26"/>
  <c r="A247" i="26"/>
  <c r="A251" i="26"/>
  <c r="A400" i="26"/>
  <c r="A402" i="26"/>
  <c r="A404" i="26"/>
  <c r="A408" i="26"/>
  <c r="A414" i="26"/>
  <c r="A137" i="26"/>
  <c r="A164" i="26"/>
  <c r="A242" i="26"/>
  <c r="A445"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A206" i="26"/>
  <c r="A214" i="26"/>
  <c r="A224" i="26"/>
  <c r="A232" i="26"/>
  <c r="A273" i="26"/>
  <c r="A308" i="26"/>
  <c r="A354" i="26"/>
  <c r="A416" i="26"/>
  <c r="A480" i="26"/>
  <c r="A89" i="26"/>
  <c r="A116" i="26"/>
  <c r="A146" i="26"/>
  <c r="A184" i="26"/>
  <c r="A186" i="26"/>
  <c r="A258" i="26"/>
  <c r="A260" i="26"/>
  <c r="A292" i="26"/>
  <c r="A332" i="26"/>
  <c r="A386" i="26"/>
  <c r="A460"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44" i="26"/>
  <c r="A77" i="26"/>
  <c r="A83" i="26"/>
  <c r="A86" i="26"/>
  <c r="A94" i="26"/>
  <c r="A97" i="26"/>
  <c r="A95" i="26"/>
  <c r="A102" i="26"/>
  <c r="A36" i="26"/>
  <c r="A74" i="26"/>
  <c r="A76" i="26"/>
  <c r="H231" i="4"/>
  <c r="O2239" i="1"/>
  <c r="O1022" i="1"/>
  <c r="O1657" i="1"/>
  <c r="O2156" i="1"/>
  <c r="J214" i="4"/>
  <c r="J221" i="4"/>
  <c r="D1723" i="1"/>
  <c r="H6" i="124"/>
  <c r="O1834" i="1"/>
  <c r="O354" i="1"/>
  <c r="N1" i="5"/>
  <c r="O1962" i="1"/>
  <c r="O1795" i="1"/>
  <c r="O1574" i="1"/>
  <c r="O500" i="1"/>
  <c r="F108" i="4"/>
  <c r="O416" i="1"/>
  <c r="M2294" i="1"/>
  <c r="M2170" i="1"/>
  <c r="M2264" i="1"/>
  <c r="M2169" i="1"/>
  <c r="M980" i="1"/>
  <c r="M2197" i="1"/>
  <c r="M2199" i="1"/>
  <c r="M2292" i="1"/>
  <c r="M2167" i="1"/>
  <c r="M2257" i="1"/>
  <c r="M2168" i="1"/>
  <c r="A93" i="26"/>
  <c r="M2185" i="1"/>
  <c r="M839" i="1"/>
  <c r="M2171" i="1"/>
  <c r="M837" i="1"/>
  <c r="M2183" i="1"/>
  <c r="M2289" i="1"/>
  <c r="E214" i="4"/>
  <c r="M2045" i="1" l="1"/>
  <c r="O2016" i="246"/>
  <c r="R2016" i="246" s="1"/>
  <c r="O2014" i="246"/>
  <c r="R2014" i="246" s="1"/>
  <c r="M2043" i="1"/>
  <c r="O2015" i="246"/>
  <c r="R2015" i="246" s="1"/>
  <c r="M2044" i="1"/>
  <c r="R1307" i="246"/>
  <c r="R1335" i="1"/>
  <c r="S1292" i="246"/>
  <c r="R1292" i="246"/>
  <c r="R1309" i="246"/>
  <c r="R1308" i="246"/>
  <c r="R1337" i="1"/>
  <c r="R1336" i="1"/>
  <c r="A32" i="26"/>
  <c r="A50" i="26"/>
  <c r="A38" i="26"/>
  <c r="O1281" i="246"/>
  <c r="M1309" i="1"/>
  <c r="R1265" i="246"/>
  <c r="R1300" i="246"/>
  <c r="R1266" i="246"/>
  <c r="R1297" i="246"/>
  <c r="R1258" i="246"/>
  <c r="R1276" i="246"/>
  <c r="R1260" i="246"/>
  <c r="R1273" i="246"/>
  <c r="R1310" i="246"/>
  <c r="R1279" i="246"/>
  <c r="R1272" i="246"/>
  <c r="R1269" i="246"/>
  <c r="R1261" i="246"/>
  <c r="R1296" i="246"/>
  <c r="R1274" i="246"/>
  <c r="R1271" i="246"/>
  <c r="R1301" i="246"/>
  <c r="R1263" i="246"/>
  <c r="R1298" i="246"/>
  <c r="R1259" i="246"/>
  <c r="R1277" i="246"/>
  <c r="R1278" i="246"/>
  <c r="R1304" i="246"/>
  <c r="R1275" i="246"/>
  <c r="R1305" i="246"/>
  <c r="R1267" i="246"/>
  <c r="R1302" i="246"/>
  <c r="R1264" i="246"/>
  <c r="R1299" i="246"/>
  <c r="R1270" i="246"/>
  <c r="R1262" i="246"/>
  <c r="R1311" i="246"/>
  <c r="R1306" i="246"/>
  <c r="R1303" i="246"/>
  <c r="R1339" i="1"/>
  <c r="R1306" i="1"/>
  <c r="R1326" i="1"/>
  <c r="R1303" i="1"/>
  <c r="R1295" i="1"/>
  <c r="R1328" i="1"/>
  <c r="R1292" i="1"/>
  <c r="R1325" i="1"/>
  <c r="R1288" i="1"/>
  <c r="R1290" i="1"/>
  <c r="R1307" i="1"/>
  <c r="R1300" i="1"/>
  <c r="R1332" i="1"/>
  <c r="R1297" i="1"/>
  <c r="R1329" i="1"/>
  <c r="R1331" i="1"/>
  <c r="R1302" i="1"/>
  <c r="R1334" i="1"/>
  <c r="R1298" i="1"/>
  <c r="R1294" i="1"/>
  <c r="R1327" i="1"/>
  <c r="R1286" i="1"/>
  <c r="R1304" i="1"/>
  <c r="R1338" i="1"/>
  <c r="R1301" i="1"/>
  <c r="R1333" i="1"/>
  <c r="R1289" i="1"/>
  <c r="R1293" i="1"/>
  <c r="R1330" i="1"/>
  <c r="R1299" i="1"/>
  <c r="R1291" i="1"/>
  <c r="R1324" i="1"/>
  <c r="R1287" i="1"/>
  <c r="R1305" i="1"/>
  <c r="S1320" i="1"/>
  <c r="R1320" i="1"/>
  <c r="S1313" i="1"/>
  <c r="M1310" i="1" s="1"/>
  <c r="R1310" i="1" s="1"/>
  <c r="R1313" i="1"/>
  <c r="R1280" i="246"/>
  <c r="S1280" i="246"/>
  <c r="R1285" i="246"/>
  <c r="S1285" i="246"/>
  <c r="O1282" i="246" s="1"/>
  <c r="R1282" i="246" s="1"/>
  <c r="S1308" i="1"/>
  <c r="R1308" i="1"/>
  <c r="S1097" i="1"/>
  <c r="R1097" i="1"/>
  <c r="R1111" i="246"/>
  <c r="S1111" i="246"/>
  <c r="O1108" i="246" s="1"/>
  <c r="R1108" i="246" s="1"/>
  <c r="R1105" i="246"/>
  <c r="S1105" i="246"/>
  <c r="S1097" i="246"/>
  <c r="R1097" i="246"/>
  <c r="S1112" i="1"/>
  <c r="R1105" i="1"/>
  <c r="S1105" i="1"/>
  <c r="M1111" i="1"/>
  <c r="R996" i="246"/>
  <c r="O996" i="246"/>
  <c r="S996" i="246" s="1"/>
  <c r="O2148" i="246"/>
  <c r="O861" i="246"/>
  <c r="R861" i="246" s="1"/>
  <c r="R1430" i="1"/>
  <c r="S1430" i="1"/>
  <c r="S1402" i="246"/>
  <c r="R1402" i="246"/>
  <c r="R1447" i="1"/>
  <c r="V1461" i="1"/>
  <c r="M970" i="1"/>
  <c r="M967" i="1" s="1"/>
  <c r="O2260" i="246"/>
  <c r="R2260" i="246" s="1"/>
  <c r="O814" i="246"/>
  <c r="R814" i="246" s="1"/>
  <c r="M814" i="1"/>
  <c r="O538" i="246"/>
  <c r="R538" i="246" s="1"/>
  <c r="O268" i="246"/>
  <c r="R1265" i="1"/>
  <c r="R1244" i="246"/>
  <c r="R1238" i="246" s="1"/>
  <c r="M1600" i="1"/>
  <c r="R1600" i="1" s="1"/>
  <c r="O1571" i="246"/>
  <c r="R1571" i="246" s="1"/>
  <c r="O2136" i="246"/>
  <c r="R2136" i="246" s="1"/>
  <c r="G1202" i="1"/>
  <c r="O1217" i="246"/>
  <c r="J1214" i="246"/>
  <c r="K1214" i="246"/>
  <c r="O1218" i="246"/>
  <c r="K1235" i="1"/>
  <c r="J1235" i="1"/>
  <c r="M1235" i="1"/>
  <c r="O1239" i="1"/>
  <c r="M1210" i="246"/>
  <c r="O1210" i="246" s="1"/>
  <c r="M1231" i="1"/>
  <c r="O1231" i="1" s="1"/>
  <c r="O1238" i="1"/>
  <c r="H1235" i="1"/>
  <c r="H1214" i="246"/>
  <c r="M1214" i="246"/>
  <c r="O1781" i="246"/>
  <c r="R1781" i="246" s="1"/>
  <c r="M1810" i="1"/>
  <c r="R1810" i="1" s="1"/>
  <c r="O2130" i="246"/>
  <c r="M2260" i="1"/>
  <c r="M1776" i="1"/>
  <c r="O527" i="246"/>
  <c r="M527" i="1"/>
  <c r="O1747" i="246"/>
  <c r="R1747" i="246" s="1"/>
  <c r="R515" i="246"/>
  <c r="O2176" i="246"/>
  <c r="R2176" i="246" s="1"/>
  <c r="O2237" i="246"/>
  <c r="R2237" i="246" s="1"/>
  <c r="R999" i="246"/>
  <c r="R2259" i="246"/>
  <c r="O2230" i="246"/>
  <c r="R2230" i="246" s="1"/>
  <c r="O2171" i="246"/>
  <c r="R2171" i="246" s="1"/>
  <c r="R909" i="246"/>
  <c r="O923" i="246"/>
  <c r="R978" i="246"/>
  <c r="R970" i="246"/>
  <c r="O967" i="246"/>
  <c r="R364" i="246"/>
  <c r="S364" i="246"/>
  <c r="R2151" i="246"/>
  <c r="O2225" i="246"/>
  <c r="O882" i="246"/>
  <c r="R835" i="246"/>
  <c r="I17" i="89"/>
  <c r="I394" i="89" s="1"/>
  <c r="K13" i="89"/>
  <c r="J17" i="89"/>
  <c r="J394" i="89" s="1"/>
  <c r="I40" i="4"/>
  <c r="G33" i="240"/>
  <c r="A17" i="26"/>
  <c r="A15" i="26"/>
  <c r="M882" i="1"/>
  <c r="A20" i="26"/>
  <c r="A33" i="26"/>
  <c r="A22" i="26"/>
  <c r="A24" i="26"/>
  <c r="A21" i="26"/>
  <c r="A29" i="26"/>
  <c r="A63" i="26"/>
  <c r="A31" i="26"/>
  <c r="A65" i="26"/>
  <c r="A26" i="26"/>
  <c r="A48" i="26"/>
  <c r="A61" i="26"/>
  <c r="M1030" i="1"/>
  <c r="R1030" i="1" s="1"/>
  <c r="F130" i="231"/>
  <c r="A30" i="26"/>
  <c r="A46" i="26"/>
  <c r="E335" i="4"/>
  <c r="A28" i="26"/>
  <c r="G20" i="168"/>
  <c r="A34" i="26"/>
  <c r="A25" i="26"/>
  <c r="A19" i="26"/>
  <c r="A23" i="26"/>
  <c r="K12" i="89"/>
  <c r="K16" i="89"/>
  <c r="M1033" i="1"/>
  <c r="M1034" i="1"/>
  <c r="M910" i="1"/>
  <c r="M2210" i="1"/>
  <c r="M2166" i="1"/>
  <c r="M2214" i="1"/>
  <c r="M2213" i="1"/>
  <c r="A16" i="26"/>
  <c r="M838" i="1"/>
  <c r="M2293" i="1"/>
  <c r="M996" i="1"/>
  <c r="S996" i="1" s="1"/>
  <c r="M2290" i="1"/>
  <c r="M2203" i="1"/>
  <c r="M981" i="1"/>
  <c r="M2184" i="1"/>
  <c r="M2255" i="1"/>
  <c r="M911" i="1"/>
  <c r="M2256" i="1"/>
  <c r="M2273" i="1"/>
  <c r="M538" i="1"/>
  <c r="M2266" i="1"/>
  <c r="M2209" i="1"/>
  <c r="M2200" i="1"/>
  <c r="M2251" i="1"/>
  <c r="M2201" i="1"/>
  <c r="M2205" i="1"/>
  <c r="M909" i="1"/>
  <c r="M2212" i="1"/>
  <c r="M2261" i="1"/>
  <c r="M2252" i="1"/>
  <c r="M2270" i="1"/>
  <c r="M2160" i="1"/>
  <c r="S2160" i="1" s="1"/>
  <c r="M2208" i="1"/>
  <c r="M2206" i="1"/>
  <c r="M2263" i="1"/>
  <c r="M2196" i="1"/>
  <c r="M2207" i="1"/>
  <c r="M2267" i="1"/>
  <c r="M2202" i="1"/>
  <c r="M2268" i="1"/>
  <c r="R1316" i="1" l="1"/>
  <c r="R1311" i="1"/>
  <c r="R1312" i="1"/>
  <c r="R1315" i="1"/>
  <c r="R1309" i="1"/>
  <c r="S1309" i="1"/>
  <c r="R1288" i="246"/>
  <c r="R1284" i="246"/>
  <c r="R1283" i="246"/>
  <c r="R1287" i="246"/>
  <c r="R1281" i="246"/>
  <c r="S1281" i="246"/>
  <c r="R1114" i="246"/>
  <c r="R1109" i="246"/>
  <c r="R1113" i="246"/>
  <c r="R1110" i="246"/>
  <c r="S1111" i="1"/>
  <c r="M1108" i="1" s="1"/>
  <c r="R1452" i="1"/>
  <c r="R1465" i="1"/>
  <c r="R1455" i="1"/>
  <c r="R1459" i="1"/>
  <c r="R1461" i="1"/>
  <c r="R1469" i="1"/>
  <c r="R1448" i="1"/>
  <c r="R1466" i="1"/>
  <c r="R1460" i="1"/>
  <c r="R1457" i="1"/>
  <c r="R1451" i="1"/>
  <c r="R1463" i="1"/>
  <c r="R1449" i="1"/>
  <c r="R1462" i="1"/>
  <c r="R1468" i="1"/>
  <c r="R1470" i="1"/>
  <c r="R1450" i="1"/>
  <c r="R1464" i="1"/>
  <c r="R1454" i="1"/>
  <c r="R865" i="246"/>
  <c r="R830" i="246"/>
  <c r="R825" i="246"/>
  <c r="R826" i="246"/>
  <c r="R833" i="246"/>
  <c r="R829" i="246"/>
  <c r="R824" i="246"/>
  <c r="R867" i="246"/>
  <c r="R832" i="246"/>
  <c r="R828" i="246"/>
  <c r="R866" i="246"/>
  <c r="R831" i="246"/>
  <c r="R827" i="246"/>
  <c r="R1254" i="246"/>
  <c r="R1240" i="246"/>
  <c r="R1236" i="246"/>
  <c r="R1255" i="246"/>
  <c r="R1241" i="246"/>
  <c r="R1237" i="246"/>
  <c r="R1257" i="246"/>
  <c r="R1243" i="246"/>
  <c r="R1239" i="246"/>
  <c r="R1256" i="246"/>
  <c r="R1242" i="246"/>
  <c r="R1249" i="246"/>
  <c r="R1252" i="246"/>
  <c r="R1251" i="246"/>
  <c r="R1253" i="246"/>
  <c r="R1247" i="246"/>
  <c r="R1245" i="246"/>
  <c r="R1248" i="246"/>
  <c r="R1250" i="246"/>
  <c r="R1246" i="246"/>
  <c r="R1285" i="1"/>
  <c r="R1260" i="1"/>
  <c r="R1275" i="1"/>
  <c r="R1262" i="1"/>
  <c r="R1283" i="1"/>
  <c r="R1267" i="1"/>
  <c r="R1280" i="1"/>
  <c r="R1276" i="1"/>
  <c r="R1266" i="1"/>
  <c r="R1263" i="1"/>
  <c r="R1273" i="1"/>
  <c r="R1271" i="1"/>
  <c r="R1258" i="1"/>
  <c r="R1278" i="1"/>
  <c r="R1259" i="1"/>
  <c r="R1279" i="1"/>
  <c r="R1264" i="1"/>
  <c r="R1270" i="1"/>
  <c r="R1274" i="1"/>
  <c r="R1284" i="1"/>
  <c r="R1277" i="1"/>
  <c r="R1261" i="1"/>
  <c r="R1257" i="1"/>
  <c r="R1281" i="1"/>
  <c r="R1272" i="1"/>
  <c r="R1269" i="1"/>
  <c r="R1282" i="1"/>
  <c r="R1268" i="1"/>
  <c r="O1214" i="246"/>
  <c r="O1235" i="1"/>
  <c r="R923" i="246"/>
  <c r="R901" i="246" s="1"/>
  <c r="U923" i="246"/>
  <c r="R527" i="246"/>
  <c r="R967" i="246"/>
  <c r="S967" i="246"/>
  <c r="R2130" i="246"/>
  <c r="S2130" i="246"/>
  <c r="R1004" i="246"/>
  <c r="R998" i="246"/>
  <c r="R997" i="246"/>
  <c r="L108" i="5"/>
  <c r="L264" i="5"/>
  <c r="I41" i="4"/>
  <c r="U364" i="246"/>
  <c r="R882" i="246"/>
  <c r="O889" i="246"/>
  <c r="U889" i="246" s="1"/>
  <c r="R2225" i="246"/>
  <c r="R859" i="246"/>
  <c r="R864" i="246"/>
  <c r="R862" i="246"/>
  <c r="R860" i="246"/>
  <c r="R834" i="246"/>
  <c r="R863" i="246"/>
  <c r="S2148" i="246"/>
  <c r="R2148" i="246"/>
  <c r="R365" i="246"/>
  <c r="L256" i="5"/>
  <c r="K17" i="89"/>
  <c r="K394" i="89" s="1"/>
  <c r="G130" i="231"/>
  <c r="J143" i="5"/>
  <c r="L143" i="5" s="1"/>
  <c r="O1026" i="246" s="1"/>
  <c r="R1026" i="246" s="1"/>
  <c r="S967" i="1"/>
  <c r="J67" i="26"/>
  <c r="J33" i="26"/>
  <c r="M889" i="1"/>
  <c r="V889" i="1" s="1"/>
  <c r="M835" i="1"/>
  <c r="D2" i="5"/>
  <c r="M923" i="1"/>
  <c r="V923" i="1" s="1"/>
  <c r="J1221" i="246" l="1"/>
  <c r="J1242" i="1"/>
  <c r="H1221" i="246"/>
  <c r="H1242" i="1"/>
  <c r="L272" i="5"/>
  <c r="L46" i="5"/>
  <c r="M943" i="1" s="1"/>
  <c r="M944" i="1"/>
  <c r="O944" i="246"/>
  <c r="R944" i="246" s="1"/>
  <c r="R904" i="246"/>
  <c r="R925" i="246"/>
  <c r="R908" i="246"/>
  <c r="R900" i="246"/>
  <c r="R929" i="246"/>
  <c r="R928" i="246"/>
  <c r="R899" i="246"/>
  <c r="R905" i="246"/>
  <c r="R924" i="246"/>
  <c r="R902" i="246"/>
  <c r="R906" i="246"/>
  <c r="R903" i="246"/>
  <c r="R926" i="246"/>
  <c r="R927" i="246"/>
  <c r="R898" i="246"/>
  <c r="R907" i="246"/>
  <c r="R922" i="246"/>
  <c r="R921" i="246"/>
  <c r="I42" i="4"/>
  <c r="D246" i="1" s="1"/>
  <c r="R889" i="246"/>
  <c r="R888" i="246" s="1"/>
  <c r="R2131" i="246"/>
  <c r="R974" i="246"/>
  <c r="R968" i="246"/>
  <c r="R969" i="246"/>
  <c r="R973" i="246"/>
  <c r="R2160" i="246"/>
  <c r="R2150" i="246"/>
  <c r="R2149" i="246"/>
  <c r="R2157" i="246"/>
  <c r="L45" i="5"/>
  <c r="E131" i="231"/>
  <c r="J343" i="5"/>
  <c r="J398" i="5"/>
  <c r="M1026" i="1"/>
  <c r="J204" i="5"/>
  <c r="J400" i="5"/>
  <c r="L400" i="5" s="1"/>
  <c r="J68" i="26"/>
  <c r="J86" i="5" s="1"/>
  <c r="L86" i="5" s="1"/>
  <c r="M836" i="1"/>
  <c r="M861" i="1" s="1"/>
  <c r="M2182" i="1"/>
  <c r="D277" i="246" l="1"/>
  <c r="D246" i="246"/>
  <c r="D278" i="1"/>
  <c r="D234" i="1"/>
  <c r="D234" i="246"/>
  <c r="D180" i="246"/>
  <c r="D233" i="246"/>
  <c r="D233" i="1"/>
  <c r="D101" i="1"/>
  <c r="D101" i="246"/>
  <c r="D178" i="1"/>
  <c r="K1221" i="246"/>
  <c r="K1242" i="1"/>
  <c r="O943" i="246"/>
  <c r="R943" i="246" s="1"/>
  <c r="C1531" i="246"/>
  <c r="D302" i="1"/>
  <c r="D3087" i="1"/>
  <c r="C1559" i="1"/>
  <c r="M942" i="1"/>
  <c r="O942" i="246"/>
  <c r="R942" i="246" s="1"/>
  <c r="D2923" i="1"/>
  <c r="D3251" i="1"/>
  <c r="D300" i="246"/>
  <c r="D2431" i="1"/>
  <c r="D2401" i="246"/>
  <c r="D2759" i="1"/>
  <c r="D2595" i="1"/>
  <c r="D2729" i="246"/>
  <c r="D2565" i="246"/>
  <c r="D299" i="246"/>
  <c r="D301" i="1"/>
  <c r="D131" i="1"/>
  <c r="D75" i="246"/>
  <c r="D131" i="246"/>
  <c r="D75" i="1"/>
  <c r="D2255" i="1"/>
  <c r="D881" i="246"/>
  <c r="D881" i="1"/>
  <c r="D229" i="1"/>
  <c r="D294" i="1" s="1"/>
  <c r="D229" i="246"/>
  <c r="D295" i="246" s="1"/>
  <c r="D2225" i="246"/>
  <c r="R892" i="246"/>
  <c r="R887" i="246"/>
  <c r="R890" i="246"/>
  <c r="R891" i="246" s="1"/>
  <c r="O979" i="246"/>
  <c r="O2261" i="246"/>
  <c r="O2256" i="246" s="1"/>
  <c r="R2161" i="246"/>
  <c r="R2158" i="246"/>
  <c r="F131" i="231"/>
  <c r="M979" i="1"/>
  <c r="M975" i="1" s="1"/>
  <c r="M2291" i="1"/>
  <c r="M2286" i="1" s="1"/>
  <c r="V363" i="1"/>
  <c r="S363" i="1"/>
  <c r="R2261" i="246" l="1"/>
  <c r="R374" i="246"/>
  <c r="S374" i="246"/>
  <c r="R979" i="246"/>
  <c r="O975" i="246"/>
  <c r="R2159" i="246"/>
  <c r="G131" i="231"/>
  <c r="L44" i="5"/>
  <c r="L236" i="5"/>
  <c r="S2286" i="1"/>
  <c r="S373" i="1"/>
  <c r="O1115" i="246" l="1"/>
  <c r="S1115" i="246" s="1"/>
  <c r="M1115" i="1"/>
  <c r="S1115" i="1" s="1"/>
  <c r="O941" i="246"/>
  <c r="M941" i="1"/>
  <c r="R375" i="246"/>
  <c r="R2256" i="246"/>
  <c r="S2256" i="246"/>
  <c r="R975" i="246"/>
  <c r="S975" i="246"/>
  <c r="O1007" i="246" s="1"/>
  <c r="O2168" i="246"/>
  <c r="O366" i="246"/>
  <c r="E132" i="231"/>
  <c r="F132" i="231" s="1"/>
  <c r="G132" i="231" s="1"/>
  <c r="M2198" i="1"/>
  <c r="M2192" i="1" s="1"/>
  <c r="S975" i="1"/>
  <c r="M1007" i="1" l="1"/>
  <c r="V373" i="1" s="1"/>
  <c r="R1007" i="246"/>
  <c r="U374" i="246"/>
  <c r="R2257" i="246"/>
  <c r="R2266" i="246"/>
  <c r="R995" i="246"/>
  <c r="R977" i="246"/>
  <c r="R994" i="246"/>
  <c r="R976" i="246"/>
  <c r="R366" i="246"/>
  <c r="S366" i="246"/>
  <c r="R2168" i="246"/>
  <c r="O2162" i="246"/>
  <c r="R941" i="246"/>
  <c r="E133" i="231"/>
  <c r="F133" i="231" s="1"/>
  <c r="G133" i="231" s="1"/>
  <c r="S2192" i="1"/>
  <c r="R965" i="246" l="1"/>
  <c r="R966" i="246" s="1"/>
  <c r="R1009" i="246"/>
  <c r="R964" i="246"/>
  <c r="R1011" i="246"/>
  <c r="R958" i="246"/>
  <c r="R959" i="246"/>
  <c r="R960" i="246"/>
  <c r="R1012" i="246"/>
  <c r="R962" i="246"/>
  <c r="R961" i="246"/>
  <c r="R1005" i="246"/>
  <c r="R957" i="246"/>
  <c r="R1010" i="246"/>
  <c r="R1013" i="246"/>
  <c r="R1006" i="246"/>
  <c r="R956" i="246"/>
  <c r="R955" i="246"/>
  <c r="R1008" i="246"/>
  <c r="R963" i="246"/>
  <c r="R2267" i="246"/>
  <c r="R2258" i="246"/>
  <c r="R367" i="246"/>
  <c r="R2162" i="246"/>
  <c r="S2162" i="246"/>
  <c r="E134" i="231"/>
  <c r="F134" i="231" s="1"/>
  <c r="G134" i="231" s="1"/>
  <c r="R2268" i="246" l="1"/>
  <c r="R2269" i="246" s="1"/>
  <c r="R2270" i="246" s="1"/>
  <c r="R2192" i="246"/>
  <c r="R2163" i="246"/>
  <c r="E135" i="231"/>
  <c r="F135" i="231" s="1"/>
  <c r="G135" i="231" s="1"/>
  <c r="R2164" i="246" l="1"/>
  <c r="E136" i="231"/>
  <c r="F136" i="231" s="1"/>
  <c r="G136" i="231" s="1"/>
  <c r="E137" i="231" l="1"/>
  <c r="F137" i="231" s="1"/>
  <c r="G137" i="231" s="1"/>
  <c r="E138" i="231" l="1"/>
  <c r="F138" i="231" s="1"/>
  <c r="G138" i="231" s="1"/>
  <c r="E139" i="231" l="1"/>
  <c r="F139" i="231" s="1"/>
  <c r="G139" i="231" s="1"/>
  <c r="E140" i="231" l="1"/>
  <c r="F140" i="231" s="1"/>
  <c r="G140" i="231" s="1"/>
  <c r="E141" i="231" l="1"/>
  <c r="F141" i="231" s="1"/>
  <c r="G141" i="231" s="1"/>
  <c r="E142" i="231" l="1"/>
  <c r="F142" i="231" s="1"/>
  <c r="G142" i="231" s="1"/>
  <c r="E143" i="231" l="1"/>
  <c r="F143" i="231" s="1"/>
  <c r="G143" i="231" s="1"/>
  <c r="E144" i="231" l="1"/>
  <c r="F144" i="231" s="1"/>
  <c r="G144" i="231" s="1"/>
  <c r="E145" i="231" l="1"/>
  <c r="F145" i="231" s="1"/>
  <c r="G145" i="231" s="1"/>
  <c r="E146" i="231" l="1"/>
  <c r="F146" i="231" s="1"/>
  <c r="G146" i="231" s="1"/>
  <c r="E147" i="231" l="1"/>
  <c r="F147" i="231" s="1"/>
  <c r="G147" i="231" s="1"/>
  <c r="E148" i="231" l="1"/>
  <c r="F148" i="231" s="1"/>
  <c r="G148" i="231" s="1"/>
  <c r="E149" i="231" l="1"/>
  <c r="F149" i="231" s="1"/>
  <c r="G149" i="231" s="1"/>
  <c r="E150" i="231" l="1"/>
  <c r="F150" i="231" s="1"/>
  <c r="G150" i="231" s="1"/>
  <c r="E151" i="231" l="1"/>
  <c r="F151" i="231" s="1"/>
  <c r="G151" i="231" s="1"/>
  <c r="E152" i="231" l="1"/>
  <c r="F152" i="231" s="1"/>
  <c r="G152" i="231" s="1"/>
  <c r="L280" i="5"/>
  <c r="L109" i="5"/>
  <c r="M1221" i="246" l="1"/>
  <c r="O1221" i="246" s="1"/>
  <c r="M1242" i="1"/>
  <c r="O945" i="246"/>
  <c r="M945" i="1"/>
  <c r="M948" i="1" s="1"/>
  <c r="O2224" i="246"/>
  <c r="E153" i="231"/>
  <c r="F153" i="231" s="1"/>
  <c r="G153" i="231" s="1"/>
  <c r="M2254" i="1"/>
  <c r="O1242" i="1" l="1"/>
  <c r="J18" i="26"/>
  <c r="J17" i="26"/>
  <c r="V948" i="1"/>
  <c r="R2224" i="246"/>
  <c r="R945" i="246"/>
  <c r="O948" i="246"/>
  <c r="E154" i="231"/>
  <c r="F154" i="231" s="1"/>
  <c r="G154" i="231" s="1"/>
  <c r="J224" i="5" l="1"/>
  <c r="L224" i="5" s="1"/>
  <c r="J16" i="5"/>
  <c r="L16" i="5" s="1"/>
  <c r="R948" i="246"/>
  <c r="R940" i="246" s="1"/>
  <c r="U948" i="246"/>
  <c r="E155" i="231"/>
  <c r="F155" i="231" s="1"/>
  <c r="G155" i="231" s="1"/>
  <c r="M1904" i="1" l="1"/>
  <c r="O1891" i="246"/>
  <c r="S1891" i="246" s="1"/>
  <c r="O1875" i="246"/>
  <c r="R935" i="246"/>
  <c r="R932" i="246"/>
  <c r="R931" i="246"/>
  <c r="R939" i="246"/>
  <c r="R954" i="246"/>
  <c r="R930" i="246"/>
  <c r="R950" i="246"/>
  <c r="R952" i="246"/>
  <c r="R933" i="246"/>
  <c r="R936" i="246"/>
  <c r="R946" i="246"/>
  <c r="R951" i="246"/>
  <c r="R949" i="246"/>
  <c r="R937" i="246"/>
  <c r="R947" i="246"/>
  <c r="R953" i="246"/>
  <c r="R934" i="246"/>
  <c r="R938" i="246"/>
  <c r="E156" i="231"/>
  <c r="F156" i="231" s="1"/>
  <c r="G156" i="231" s="1"/>
  <c r="R1875" i="246" l="1"/>
  <c r="S1875" i="246"/>
  <c r="S1904" i="1"/>
  <c r="R1904" i="1"/>
  <c r="E157" i="231"/>
  <c r="F157" i="231" s="1"/>
  <c r="G157" i="231" s="1"/>
  <c r="J78" i="26"/>
  <c r="G484" i="26"/>
  <c r="E158" i="231" l="1"/>
  <c r="F158" i="231" s="1"/>
  <c r="G158" i="231" s="1"/>
  <c r="H484" i="26"/>
  <c r="C280" i="1"/>
  <c r="C283" i="1" l="1"/>
  <c r="C298" i="1" s="1"/>
  <c r="E159" i="231"/>
  <c r="F159" i="231" s="1"/>
  <c r="G159" i="231" s="1"/>
  <c r="E160" i="231" l="1"/>
  <c r="F160" i="231" s="1"/>
  <c r="G160" i="231" s="1"/>
  <c r="C301" i="1" l="1"/>
  <c r="E161" i="231"/>
  <c r="F161" i="231" s="1"/>
  <c r="G161" i="231" s="1"/>
  <c r="C312" i="1" l="1"/>
  <c r="C318" i="1" s="1"/>
  <c r="C323" i="1" s="1"/>
  <c r="E162" i="231"/>
  <c r="F162" i="231" s="1"/>
  <c r="G162" i="231" s="1"/>
  <c r="C327" i="1" l="1"/>
  <c r="E163" i="231"/>
  <c r="F163" i="231" s="1"/>
  <c r="G163" i="231" s="1"/>
  <c r="E164" i="231" l="1"/>
  <c r="F164" i="231" s="1"/>
  <c r="G164" i="231" s="1"/>
  <c r="E165" i="231" l="1"/>
  <c r="F165" i="231" s="1"/>
  <c r="G165" i="231" s="1"/>
  <c r="E166" i="231" l="1"/>
  <c r="F166" i="231" s="1"/>
  <c r="G166" i="231" s="1"/>
  <c r="E167" i="231" l="1"/>
  <c r="F167" i="231" s="1"/>
  <c r="G167" i="231" s="1"/>
  <c r="M2181" i="1"/>
  <c r="M2178" i="1" s="1"/>
  <c r="J28" i="149"/>
  <c r="I165" i="136" s="1"/>
  <c r="F484" i="149"/>
  <c r="F486" i="149" s="1"/>
  <c r="F9" i="149" s="1"/>
  <c r="E168" i="231" l="1"/>
  <c r="F168" i="231" s="1"/>
  <c r="G168" i="231" s="1"/>
  <c r="I166" i="136"/>
  <c r="S2178" i="1"/>
  <c r="I167" i="136"/>
  <c r="G5" i="136"/>
  <c r="I5" i="136" s="1"/>
  <c r="F8" i="149"/>
  <c r="D8" i="149" s="1"/>
  <c r="O2277" i="246" l="1"/>
  <c r="M2307" i="1"/>
  <c r="O2305" i="246"/>
  <c r="S2305" i="246" s="1"/>
  <c r="M2335" i="1"/>
  <c r="S2335" i="1" s="1"/>
  <c r="O2499" i="1"/>
  <c r="S2499" i="1" s="1"/>
  <c r="E169" i="231"/>
  <c r="F169" i="231" s="1"/>
  <c r="G169" i="231" s="1"/>
  <c r="G403" i="136"/>
  <c r="G2" i="136" s="1"/>
  <c r="O2450" i="246" l="1"/>
  <c r="O2430" i="246"/>
  <c r="C2430" i="246" s="1"/>
  <c r="O2388" i="246"/>
  <c r="O2445" i="246"/>
  <c r="O2372" i="246"/>
  <c r="C2372" i="246" s="1"/>
  <c r="O2337" i="246"/>
  <c r="O2323" i="246"/>
  <c r="C2323" i="246" s="1"/>
  <c r="O2517" i="1"/>
  <c r="C2517" i="1" s="1"/>
  <c r="O2566" i="1"/>
  <c r="C2566" i="1" s="1"/>
  <c r="O2624" i="1"/>
  <c r="C2624" i="1" s="1"/>
  <c r="O2582" i="1"/>
  <c r="O2531" i="1"/>
  <c r="O2639" i="1"/>
  <c r="O2644" i="1"/>
  <c r="M2402" i="1"/>
  <c r="M2475" i="1"/>
  <c r="M2418" i="1"/>
  <c r="Z2418" i="1" s="1"/>
  <c r="M2460" i="1"/>
  <c r="M2367" i="1"/>
  <c r="M2480" i="1"/>
  <c r="R2323" i="1" s="1"/>
  <c r="R2339" i="1" s="1"/>
  <c r="M2353" i="1"/>
  <c r="E170" i="231"/>
  <c r="F170" i="231" s="1"/>
  <c r="G170" i="231" s="1"/>
  <c r="R2471" i="1" l="1"/>
  <c r="R2441" i="1"/>
  <c r="R2456" i="1"/>
  <c r="R2363" i="1"/>
  <c r="C2644" i="1"/>
  <c r="R2487" i="1"/>
  <c r="C2450" i="246"/>
  <c r="R2293" i="246"/>
  <c r="Y2402" i="1"/>
  <c r="Z2402" i="1"/>
  <c r="Y2480" i="1"/>
  <c r="Z2480" i="1"/>
  <c r="Y2460" i="1"/>
  <c r="Z2460" i="1"/>
  <c r="C2388" i="246"/>
  <c r="U2388" i="246"/>
  <c r="Y2353" i="1"/>
  <c r="Z2353" i="1"/>
  <c r="R2425" i="1"/>
  <c r="C2582" i="1"/>
  <c r="V2582" i="1"/>
  <c r="Y2418" i="1"/>
  <c r="C2418" i="1" s="1"/>
  <c r="V2418" i="1"/>
  <c r="E171" i="231"/>
  <c r="F171" i="231" s="1"/>
  <c r="G171" i="231" s="1"/>
  <c r="C2353" i="1" l="1"/>
  <c r="C2460" i="1"/>
  <c r="C2480" i="1"/>
  <c r="C2402" i="1"/>
  <c r="R2441" i="246"/>
  <c r="R2411" i="246"/>
  <c r="R2635" i="1"/>
  <c r="R2605" i="1"/>
  <c r="R2426" i="246"/>
  <c r="R2333" i="246"/>
  <c r="R2620" i="1"/>
  <c r="R2527" i="1"/>
  <c r="R2422" i="246"/>
  <c r="R2374" i="246"/>
  <c r="R2375" i="246"/>
  <c r="R2377" i="1"/>
  <c r="R2405" i="1"/>
  <c r="R2569" i="1"/>
  <c r="R2568" i="1"/>
  <c r="R2430" i="246"/>
  <c r="R2318" i="246"/>
  <c r="R2403" i="246"/>
  <c r="R2428" i="246"/>
  <c r="R2415" i="246"/>
  <c r="R2298" i="246"/>
  <c r="R2390" i="246"/>
  <c r="R2450" i="246"/>
  <c r="R2344" i="246"/>
  <c r="R2339" i="246"/>
  <c r="R2369" i="246" s="1"/>
  <c r="R2406" i="246"/>
  <c r="R2301" i="246"/>
  <c r="R2356" i="246"/>
  <c r="R2404" i="246"/>
  <c r="R2297" i="246"/>
  <c r="R2353" i="246"/>
  <c r="R2388" i="246"/>
  <c r="R2330" i="246"/>
  <c r="R2346" i="246"/>
  <c r="R2343" i="246"/>
  <c r="R2437" i="246"/>
  <c r="R2302" i="246"/>
  <c r="R2425" i="246"/>
  <c r="R2373" i="246"/>
  <c r="R2417" i="246"/>
  <c r="R2304" i="246"/>
  <c r="R2429" i="246"/>
  <c r="R2396" i="246"/>
  <c r="R2371" i="246"/>
  <c r="R2391" i="246"/>
  <c r="R2392" i="246" s="1"/>
  <c r="R2393" i="246" s="1"/>
  <c r="R2300" i="246"/>
  <c r="R2377" i="246"/>
  <c r="R2400" i="246"/>
  <c r="R2347" i="246"/>
  <c r="R2378" i="246"/>
  <c r="R2295" i="246"/>
  <c r="R2383" i="246"/>
  <c r="R2342" i="246"/>
  <c r="R2309" i="246"/>
  <c r="R2320" i="246" s="1"/>
  <c r="R2303" i="246"/>
  <c r="R2316" i="246"/>
  <c r="R2349" i="246"/>
  <c r="R2454" i="246"/>
  <c r="R2365" i="246"/>
  <c r="R2432" i="246"/>
  <c r="R2433" i="246" s="1"/>
  <c r="R2434" i="246" s="1"/>
  <c r="R2368" i="246"/>
  <c r="R2410" i="246"/>
  <c r="R2350" i="246"/>
  <c r="R2412" i="246"/>
  <c r="R2362" i="246"/>
  <c r="R2319" i="246"/>
  <c r="R2399" i="246"/>
  <c r="R2370" i="246"/>
  <c r="R2315" i="246"/>
  <c r="R2328" i="246"/>
  <c r="R2299" i="246"/>
  <c r="R2435" i="246"/>
  <c r="R2357" i="246"/>
  <c r="R2332" i="246"/>
  <c r="R2407" i="246"/>
  <c r="R2402" i="246"/>
  <c r="R2398" i="246"/>
  <c r="R2379" i="246"/>
  <c r="R2345" i="246"/>
  <c r="R2361" i="246"/>
  <c r="R2305" i="246"/>
  <c r="R2306" i="246" s="1"/>
  <c r="R2405" i="246"/>
  <c r="R2409" i="246"/>
  <c r="R2395" i="246"/>
  <c r="R2451" i="246"/>
  <c r="R2314" i="246"/>
  <c r="R2313" i="246"/>
  <c r="R2325" i="246"/>
  <c r="R2334" i="246" s="1"/>
  <c r="R2335" i="246" s="1"/>
  <c r="R2336" i="246" s="1"/>
  <c r="R2401" i="246"/>
  <c r="R2363" i="246"/>
  <c r="R2294" i="246"/>
  <c r="R2452" i="246"/>
  <c r="R2307" i="246"/>
  <c r="R2308" i="246" s="1"/>
  <c r="R2421" i="246"/>
  <c r="R2380" i="246"/>
  <c r="R2359" i="246"/>
  <c r="R2355" i="246"/>
  <c r="R2354" i="246"/>
  <c r="R2389" i="246"/>
  <c r="R2366" i="246"/>
  <c r="R2438" i="246"/>
  <c r="R2348" i="246"/>
  <c r="R2367" i="246"/>
  <c r="R2364" i="246"/>
  <c r="R2394" i="246"/>
  <c r="R2384" i="246"/>
  <c r="R2440" i="246"/>
  <c r="R2456" i="246"/>
  <c r="R2296" i="246"/>
  <c r="R2453" i="246"/>
  <c r="R2455" i="246"/>
  <c r="R2414" i="246"/>
  <c r="R2312" i="246"/>
  <c r="R2351" i="246"/>
  <c r="R2420" i="246"/>
  <c r="R2431" i="246"/>
  <c r="R2376" i="246"/>
  <c r="R2439" i="246"/>
  <c r="R2387" i="246"/>
  <c r="R2360" i="246"/>
  <c r="R2352" i="246"/>
  <c r="R2448" i="246"/>
  <c r="R2397" i="246"/>
  <c r="R2329" i="246"/>
  <c r="R2381" i="246"/>
  <c r="R2419" i="246"/>
  <c r="R2449" i="246"/>
  <c r="R2423" i="246"/>
  <c r="R2424" i="246"/>
  <c r="R2385" i="246"/>
  <c r="R2416" i="246"/>
  <c r="R2382" i="246"/>
  <c r="R2358" i="246"/>
  <c r="R2447" i="246"/>
  <c r="R2408" i="246"/>
  <c r="R2386" i="246"/>
  <c r="R2317" i="246"/>
  <c r="R2418" i="246"/>
  <c r="R2372" i="246"/>
  <c r="R2413" i="246"/>
  <c r="R2436" i="246"/>
  <c r="R2331" i="246"/>
  <c r="R2503" i="1"/>
  <c r="R2634" i="1"/>
  <c r="R2538" i="1"/>
  <c r="R2632" i="1"/>
  <c r="R2545" i="1"/>
  <c r="R2616" i="1"/>
  <c r="R2607" i="1"/>
  <c r="R2506" i="1"/>
  <c r="R2509" i="1"/>
  <c r="R2600" i="1"/>
  <c r="R2560" i="1"/>
  <c r="R2612" i="1"/>
  <c r="R2561" i="1"/>
  <c r="R2554" i="1"/>
  <c r="R2550" i="1"/>
  <c r="R2562" i="1"/>
  <c r="R2598" i="1"/>
  <c r="R2610" i="1"/>
  <c r="R2599" i="1"/>
  <c r="R2601" i="1"/>
  <c r="R2525" i="1"/>
  <c r="R2592" i="1"/>
  <c r="R2582" i="1"/>
  <c r="R2573" i="1"/>
  <c r="R2566" i="1"/>
  <c r="R2580" i="1"/>
  <c r="R2564" i="1"/>
  <c r="R2567" i="1"/>
  <c r="R2650" i="1"/>
  <c r="R2524" i="1"/>
  <c r="R2613" i="1"/>
  <c r="R2508" i="1"/>
  <c r="R2539" i="1"/>
  <c r="R2559" i="1"/>
  <c r="R2603" i="1"/>
  <c r="R2557" i="1"/>
  <c r="R2590" i="1"/>
  <c r="R2507" i="1"/>
  <c r="R2555" i="1"/>
  <c r="R2591" i="1"/>
  <c r="R2493" i="1"/>
  <c r="R2646" i="1"/>
  <c r="R2577" i="1"/>
  <c r="R2583" i="1"/>
  <c r="R2644" i="1"/>
  <c r="R2575" i="1"/>
  <c r="R2540" i="1"/>
  <c r="R2609" i="1"/>
  <c r="R2626" i="1"/>
  <c r="R2510" i="1"/>
  <c r="R2594" i="1"/>
  <c r="R2618" i="1"/>
  <c r="R2619" i="1"/>
  <c r="R2544" i="1"/>
  <c r="R2501" i="1"/>
  <c r="R2502" i="1" s="1"/>
  <c r="R2498" i="1"/>
  <c r="R2488" i="1"/>
  <c r="R2495" i="1"/>
  <c r="R2489" i="1"/>
  <c r="R2574" i="1"/>
  <c r="R2584" i="1"/>
  <c r="R2645" i="1"/>
  <c r="R2579" i="1"/>
  <c r="R2513" i="1"/>
  <c r="R2536" i="1"/>
  <c r="R2551" i="1"/>
  <c r="R2522" i="1"/>
  <c r="R2606" i="1"/>
  <c r="R2552" i="1"/>
  <c r="R2512" i="1"/>
  <c r="R2631" i="1"/>
  <c r="R2597" i="1"/>
  <c r="R2593" i="1"/>
  <c r="R2604" i="1"/>
  <c r="R2511" i="1"/>
  <c r="R2547" i="1"/>
  <c r="R2543" i="1"/>
  <c r="R2595" i="1"/>
  <c r="R2533" i="1"/>
  <c r="R2585" i="1"/>
  <c r="R2588" i="1"/>
  <c r="R2553" i="1"/>
  <c r="R2629" i="1"/>
  <c r="R2519" i="1"/>
  <c r="R2491" i="1"/>
  <c r="R2570" i="1"/>
  <c r="R2492" i="1"/>
  <c r="R2578" i="1"/>
  <c r="R2624" i="1"/>
  <c r="R2496" i="1"/>
  <c r="R2494" i="1"/>
  <c r="R2647" i="1"/>
  <c r="R2642" i="1"/>
  <c r="R2648" i="1"/>
  <c r="R2571" i="1"/>
  <c r="R2625" i="1"/>
  <c r="R2622" i="1"/>
  <c r="R2542" i="1"/>
  <c r="R2633" i="1"/>
  <c r="R2523" i="1"/>
  <c r="R2602" i="1"/>
  <c r="R2611" i="1"/>
  <c r="R2608" i="1"/>
  <c r="R2537" i="1"/>
  <c r="R2614" i="1"/>
  <c r="R2630" i="1"/>
  <c r="R2556" i="1"/>
  <c r="R2623" i="1"/>
  <c r="R2643" i="1"/>
  <c r="R2497" i="1"/>
  <c r="R2490" i="1"/>
  <c r="R2581" i="1"/>
  <c r="R2565" i="1"/>
  <c r="R2615" i="1"/>
  <c r="R2546" i="1"/>
  <c r="R2641" i="1"/>
  <c r="R2549" i="1"/>
  <c r="R2589" i="1"/>
  <c r="R2617" i="1"/>
  <c r="R2548" i="1"/>
  <c r="R2596" i="1"/>
  <c r="R2541" i="1"/>
  <c r="R2526" i="1"/>
  <c r="R2558" i="1"/>
  <c r="R2649" i="1"/>
  <c r="R2499" i="1"/>
  <c r="R2500" i="1" s="1"/>
  <c r="R2572" i="1"/>
  <c r="R2576" i="1"/>
  <c r="R2402" i="1"/>
  <c r="R2326" i="1"/>
  <c r="R2481" i="1"/>
  <c r="R2483" i="1"/>
  <c r="R2438" i="1"/>
  <c r="R2344" i="1"/>
  <c r="R2355" i="1"/>
  <c r="R2357" i="1" s="1"/>
  <c r="R2455" i="1"/>
  <c r="R2418" i="1"/>
  <c r="R2325" i="1"/>
  <c r="R2467" i="1"/>
  <c r="R2426" i="1"/>
  <c r="R2444" i="1"/>
  <c r="R2478" i="1"/>
  <c r="R2440" i="1"/>
  <c r="R2452" i="1"/>
  <c r="R2417" i="1"/>
  <c r="R2400" i="1"/>
  <c r="R2480" i="1"/>
  <c r="R2420" i="1"/>
  <c r="R2477" i="1"/>
  <c r="R2462" i="1"/>
  <c r="R2463" i="1" s="1"/>
  <c r="R2464" i="1" s="1"/>
  <c r="R2395" i="1"/>
  <c r="R2408" i="1"/>
  <c r="R2443" i="1"/>
  <c r="R2413" i="1"/>
  <c r="R2373" i="1"/>
  <c r="R2437" i="1"/>
  <c r="R2359" i="1"/>
  <c r="R2397" i="1"/>
  <c r="R2442" i="1"/>
  <c r="R2342" i="1"/>
  <c r="R2465" i="1"/>
  <c r="R2485" i="1"/>
  <c r="R2360" i="1"/>
  <c r="R2435" i="1"/>
  <c r="R2327" i="1"/>
  <c r="R2386" i="1"/>
  <c r="R2431" i="1"/>
  <c r="R2337" i="1"/>
  <c r="R2338" i="1" s="1"/>
  <c r="R2345" i="1"/>
  <c r="R2449" i="1"/>
  <c r="R2401" i="1"/>
  <c r="R2409" i="1"/>
  <c r="R2429" i="1"/>
  <c r="R2380" i="1"/>
  <c r="R2453" i="1"/>
  <c r="R2331" i="1"/>
  <c r="R2335" i="1"/>
  <c r="R2336" i="1" s="1"/>
  <c r="R2334" i="1"/>
  <c r="R2432" i="1"/>
  <c r="R2403" i="1"/>
  <c r="R2407" i="1"/>
  <c r="R2324" i="1"/>
  <c r="R2436" i="1"/>
  <c r="R2369" i="1"/>
  <c r="R2370" i="1" s="1"/>
  <c r="R2371" i="1" s="1"/>
  <c r="R2482" i="1"/>
  <c r="R2484" i="1"/>
  <c r="R2450" i="1"/>
  <c r="R2446" i="1"/>
  <c r="R2414" i="1"/>
  <c r="R2434" i="1"/>
  <c r="R2415" i="1"/>
  <c r="R2391" i="1"/>
  <c r="R2404" i="1"/>
  <c r="R2424" i="1"/>
  <c r="R2439" i="1"/>
  <c r="R2347" i="1"/>
  <c r="R2460" i="1"/>
  <c r="R2410" i="1"/>
  <c r="R2332" i="1"/>
  <c r="R2385" i="1"/>
  <c r="R2393" i="1"/>
  <c r="R2433" i="1"/>
  <c r="R2458" i="1"/>
  <c r="R2448" i="1"/>
  <c r="R2447" i="1"/>
  <c r="R2454" i="1"/>
  <c r="R2374" i="1"/>
  <c r="R2376" i="1"/>
  <c r="R2361" i="1"/>
  <c r="R2406" i="1"/>
  <c r="R2419" i="1"/>
  <c r="R2384" i="1"/>
  <c r="R2392" i="1"/>
  <c r="R2412" i="1"/>
  <c r="R2445" i="1"/>
  <c r="R2350" i="1"/>
  <c r="R2389" i="1"/>
  <c r="R2372" i="1"/>
  <c r="R2428" i="1"/>
  <c r="R2343" i="1"/>
  <c r="R2396" i="1"/>
  <c r="R2378" i="1"/>
  <c r="R2358" i="1"/>
  <c r="R2333" i="1"/>
  <c r="R2375" i="1"/>
  <c r="R2459" i="1"/>
  <c r="R2427" i="1"/>
  <c r="R2421" i="1"/>
  <c r="R2422" i="1" s="1"/>
  <c r="R2423" i="1" s="1"/>
  <c r="R2383" i="1"/>
  <c r="R2451" i="1"/>
  <c r="R2379" i="1"/>
  <c r="R2430" i="1"/>
  <c r="R2470" i="1"/>
  <c r="R2330" i="1"/>
  <c r="R2349" i="1"/>
  <c r="R2411" i="1"/>
  <c r="R2390" i="1"/>
  <c r="R2382" i="1"/>
  <c r="R2362" i="1"/>
  <c r="R2416" i="1"/>
  <c r="R2398" i="1"/>
  <c r="R2394" i="1"/>
  <c r="R2486" i="1"/>
  <c r="R2469" i="1"/>
  <c r="R2329" i="1"/>
  <c r="R2466" i="1"/>
  <c r="R2468" i="1"/>
  <c r="R2387" i="1"/>
  <c r="R2479" i="1"/>
  <c r="R2328" i="1"/>
  <c r="R2348" i="1"/>
  <c r="R2388" i="1"/>
  <c r="R2461" i="1"/>
  <c r="R2346" i="1"/>
  <c r="R2381" i="1"/>
  <c r="E172" i="231"/>
  <c r="F172" i="231" s="1"/>
  <c r="G172" i="231" s="1"/>
  <c r="R2399" i="1" l="1"/>
  <c r="R2472" i="1"/>
  <c r="R2473" i="1" s="1"/>
  <c r="R2474" i="1" s="1"/>
  <c r="R2475" i="1" s="1"/>
  <c r="R2476" i="1" s="1"/>
  <c r="R2340" i="246"/>
  <c r="R2341" i="246" s="1"/>
  <c r="R2427" i="246"/>
  <c r="R2310" i="246"/>
  <c r="R2311" i="246" s="1"/>
  <c r="R2321" i="246"/>
  <c r="R2322" i="246" s="1"/>
  <c r="R2323" i="246" s="1"/>
  <c r="R2324" i="246" s="1"/>
  <c r="R2442" i="246"/>
  <c r="R2443" i="246" s="1"/>
  <c r="R2444" i="246" s="1"/>
  <c r="R2445" i="246" s="1"/>
  <c r="R2446" i="246" s="1"/>
  <c r="R2327" i="246"/>
  <c r="R2326" i="246"/>
  <c r="R2337" i="246"/>
  <c r="R2338" i="246" s="1"/>
  <c r="R2520" i="1"/>
  <c r="R2531" i="1"/>
  <c r="R2532" i="1" s="1"/>
  <c r="R2521" i="1"/>
  <c r="R2528" i="1"/>
  <c r="R2529" i="1" s="1"/>
  <c r="R2530" i="1" s="1"/>
  <c r="R2586" i="1"/>
  <c r="R2587" i="1" s="1"/>
  <c r="R2621" i="1"/>
  <c r="R2627" i="1"/>
  <c r="R2628" i="1" s="1"/>
  <c r="R2636" i="1"/>
  <c r="R2637" i="1" s="1"/>
  <c r="R2638" i="1" s="1"/>
  <c r="R2639" i="1" s="1"/>
  <c r="R2640" i="1" s="1"/>
  <c r="R2563" i="1"/>
  <c r="R2534" i="1"/>
  <c r="R2535" i="1" s="1"/>
  <c r="R2504" i="1"/>
  <c r="R2505" i="1" s="1"/>
  <c r="R2514" i="1"/>
  <c r="R2515" i="1"/>
  <c r="R2516" i="1" s="1"/>
  <c r="R2517" i="1" s="1"/>
  <c r="R2518" i="1" s="1"/>
  <c r="R2367" i="1"/>
  <c r="R2368" i="1" s="1"/>
  <c r="R2356" i="1"/>
  <c r="R2340" i="1"/>
  <c r="R2341" i="1" s="1"/>
  <c r="R2364" i="1" s="1"/>
  <c r="R2365" i="1" s="1"/>
  <c r="R2366" i="1" s="1"/>
  <c r="R2457" i="1"/>
  <c r="R2351" i="1"/>
  <c r="R2352" i="1" s="1"/>
  <c r="R2353" i="1" s="1"/>
  <c r="R2354" i="1" s="1"/>
  <c r="E173" i="231"/>
  <c r="F173" i="231" s="1"/>
  <c r="G173" i="231" s="1"/>
  <c r="E174" i="231" l="1"/>
  <c r="F174" i="231" s="1"/>
  <c r="G174" i="231" s="1"/>
  <c r="E175" i="231" l="1"/>
  <c r="F175" i="231" s="1"/>
  <c r="G175" i="231" s="1"/>
  <c r="N360" i="5"/>
  <c r="H24" i="187" s="1"/>
  <c r="H26" i="187" s="1"/>
  <c r="O1661" i="1" l="1"/>
  <c r="U1661" i="1" s="1"/>
  <c r="E176" i="231"/>
  <c r="F176" i="231" s="1"/>
  <c r="G176" i="231" s="1"/>
  <c r="I360" i="5"/>
  <c r="L360" i="5" s="1"/>
  <c r="O1632" i="246" l="1"/>
  <c r="R1632" i="246" s="1"/>
  <c r="R1633" i="246" s="1"/>
  <c r="R1634" i="246" s="1"/>
  <c r="R1635" i="246" s="1"/>
  <c r="G24" i="187"/>
  <c r="G26" i="187" s="1"/>
  <c r="E177" i="231"/>
  <c r="F177" i="231" s="1"/>
  <c r="G177" i="231" s="1"/>
  <c r="M1661" i="1"/>
  <c r="S1661" i="1" s="1"/>
  <c r="N34" i="5"/>
  <c r="S1632" i="246" l="1"/>
  <c r="E178" i="231"/>
  <c r="F178" i="231" s="1"/>
  <c r="G178" i="231" s="1"/>
  <c r="R1661" i="1"/>
  <c r="R1662" i="1" s="1"/>
  <c r="R1663" i="1" s="1"/>
  <c r="R1664" i="1" s="1"/>
  <c r="N38" i="5"/>
  <c r="E179" i="231" l="1"/>
  <c r="F179" i="231" s="1"/>
  <c r="G179" i="231" s="1"/>
  <c r="N37" i="5"/>
  <c r="N36" i="5"/>
  <c r="R2308" i="1" l="1"/>
  <c r="R2309" i="1"/>
  <c r="E180" i="231"/>
  <c r="F180" i="231" s="1"/>
  <c r="G180" i="231" s="1"/>
  <c r="Y2309" i="1" l="1"/>
  <c r="U2309" i="1"/>
  <c r="Z2309" i="1"/>
  <c r="X3136" i="1"/>
  <c r="X2808" i="1"/>
  <c r="E181" i="231"/>
  <c r="F181" i="231" s="1"/>
  <c r="G181" i="231" s="1"/>
  <c r="Y2308" i="1"/>
  <c r="Z2308" i="1"/>
  <c r="U2308" i="1"/>
  <c r="D2309" i="1" l="1"/>
  <c r="D2308" i="1"/>
  <c r="E182" i="231"/>
  <c r="F182" i="231" s="1"/>
  <c r="G182" i="231" s="1"/>
  <c r="N227" i="5"/>
  <c r="E183" i="231" l="1"/>
  <c r="F183" i="231" s="1"/>
  <c r="G183" i="231" s="1"/>
  <c r="N138" i="5"/>
  <c r="N137" i="5"/>
  <c r="O2278" i="1" s="1"/>
  <c r="R2278" i="1" s="1"/>
  <c r="N136" i="5"/>
  <c r="O2277" i="1" s="1"/>
  <c r="R2277" i="1" s="1"/>
  <c r="N135" i="5"/>
  <c r="O2276" i="1" s="1"/>
  <c r="R2276" i="1" s="1"/>
  <c r="N134" i="5"/>
  <c r="O2275" i="1" s="1"/>
  <c r="R2275" i="1" s="1"/>
  <c r="E184" i="231" l="1"/>
  <c r="F184" i="231" s="1"/>
  <c r="G184" i="231" s="1"/>
  <c r="O2279" i="1"/>
  <c r="N190" i="5"/>
  <c r="O1803" i="1" s="1"/>
  <c r="N198" i="5"/>
  <c r="O1811" i="1" s="1"/>
  <c r="N191" i="5"/>
  <c r="O1804" i="1" s="1"/>
  <c r="N195" i="5"/>
  <c r="O1808" i="1" s="1"/>
  <c r="E185" i="231" l="1"/>
  <c r="F185" i="231" s="1"/>
  <c r="G185" i="231" s="1"/>
  <c r="H14" i="168"/>
  <c r="H21" i="168"/>
  <c r="H13" i="168"/>
  <c r="H18" i="168"/>
  <c r="I195" i="5"/>
  <c r="N201" i="5"/>
  <c r="N192" i="5"/>
  <c r="O1805" i="1" s="1"/>
  <c r="I191" i="5"/>
  <c r="I198" i="5"/>
  <c r="I190" i="5"/>
  <c r="L190" i="5" s="1"/>
  <c r="O1774" i="246" s="1"/>
  <c r="R1774" i="246" s="1"/>
  <c r="N200" i="5"/>
  <c r="H26" i="168" s="1"/>
  <c r="N210" i="5"/>
  <c r="N208" i="5"/>
  <c r="N207" i="5"/>
  <c r="O1816" i="1" l="1"/>
  <c r="U1816" i="1" s="1"/>
  <c r="I200" i="5"/>
  <c r="L200" i="5" s="1"/>
  <c r="M1803" i="1"/>
  <c r="R1803" i="1" s="1"/>
  <c r="E186" i="231"/>
  <c r="F186" i="231" s="1"/>
  <c r="G186" i="231" s="1"/>
  <c r="H15" i="168"/>
  <c r="G13" i="168"/>
  <c r="O1845" i="1"/>
  <c r="H16" i="169"/>
  <c r="O1842" i="1"/>
  <c r="H13" i="169"/>
  <c r="O1843" i="1"/>
  <c r="H14" i="169"/>
  <c r="I210" i="5"/>
  <c r="L210" i="5" s="1"/>
  <c r="O1816" i="246" s="1"/>
  <c r="R1816" i="246" s="1"/>
  <c r="N193" i="5"/>
  <c r="O1806" i="1" s="1"/>
  <c r="I208" i="5"/>
  <c r="L208" i="5" s="1"/>
  <c r="O1814" i="246" s="1"/>
  <c r="R1814" i="246" s="1"/>
  <c r="I201" i="5"/>
  <c r="L201" i="5" s="1"/>
  <c r="N199" i="5"/>
  <c r="O1812" i="1" s="1"/>
  <c r="E300" i="4"/>
  <c r="I192" i="5"/>
  <c r="L192" i="5" s="1"/>
  <c r="O1776" i="246" s="1"/>
  <c r="R1776" i="246" s="1"/>
  <c r="I207" i="5"/>
  <c r="L207" i="5" s="1"/>
  <c r="O1813" i="246" s="1"/>
  <c r="R1813" i="246" s="1"/>
  <c r="N194" i="5"/>
  <c r="O1807" i="1" s="1"/>
  <c r="O1787" i="246" l="1"/>
  <c r="S1787" i="246" s="1"/>
  <c r="G26" i="168"/>
  <c r="M1805" i="1"/>
  <c r="R1805" i="1" s="1"/>
  <c r="M1816" i="1"/>
  <c r="R1816" i="1" s="1"/>
  <c r="H22" i="168"/>
  <c r="E187" i="231"/>
  <c r="F187" i="231" s="1"/>
  <c r="G187" i="231" s="1"/>
  <c r="H17" i="168"/>
  <c r="G15" i="168"/>
  <c r="H16" i="168"/>
  <c r="M1842" i="1"/>
  <c r="R1842" i="1" s="1"/>
  <c r="G13" i="169"/>
  <c r="M1843" i="1"/>
  <c r="R1843" i="1" s="1"/>
  <c r="G14" i="169"/>
  <c r="M1845" i="1"/>
  <c r="R1845" i="1" s="1"/>
  <c r="G16" i="169"/>
  <c r="I199" i="5"/>
  <c r="L199" i="5" s="1"/>
  <c r="I194" i="5"/>
  <c r="I193" i="5"/>
  <c r="E310" i="4"/>
  <c r="R1787" i="246" l="1"/>
  <c r="R1784" i="246" s="1"/>
  <c r="M1812" i="1"/>
  <c r="R1812" i="1" s="1"/>
  <c r="O1783" i="246"/>
  <c r="R1783" i="246" s="1"/>
  <c r="R1813" i="1"/>
  <c r="R1814" i="1"/>
  <c r="R1815" i="1"/>
  <c r="E188" i="231"/>
  <c r="F188" i="231" s="1"/>
  <c r="G188" i="231" s="1"/>
  <c r="G22" i="168"/>
  <c r="S1816" i="1"/>
  <c r="E345" i="4"/>
  <c r="N174" i="5"/>
  <c r="N173" i="5"/>
  <c r="N171" i="5"/>
  <c r="N81" i="5"/>
  <c r="N80" i="5"/>
  <c r="N79" i="5"/>
  <c r="N78" i="5"/>
  <c r="N111" i="5"/>
  <c r="N112" i="5"/>
  <c r="N18" i="5"/>
  <c r="N29" i="5"/>
  <c r="N30" i="5"/>
  <c r="N75" i="5"/>
  <c r="N76" i="5"/>
  <c r="N77" i="5"/>
  <c r="N130" i="5"/>
  <c r="N131" i="5"/>
  <c r="O2272" i="1" s="1"/>
  <c r="R2272" i="1" s="1"/>
  <c r="N132" i="5"/>
  <c r="O2273" i="1" s="1"/>
  <c r="R2273" i="1" s="1"/>
  <c r="N113" i="5"/>
  <c r="N114" i="5"/>
  <c r="N19" i="5"/>
  <c r="N20" i="5"/>
  <c r="N399" i="5"/>
  <c r="N397" i="5"/>
  <c r="N392" i="5"/>
  <c r="N388" i="5"/>
  <c r="O2042" i="1" s="1"/>
  <c r="R2042" i="1" s="1"/>
  <c r="N387" i="5"/>
  <c r="O2041" i="1" s="1"/>
  <c r="R2041" i="1" s="1"/>
  <c r="N384" i="5"/>
  <c r="N377" i="5"/>
  <c r="N365" i="5"/>
  <c r="N312" i="5"/>
  <c r="N306" i="5"/>
  <c r="N301" i="5"/>
  <c r="N282" i="5"/>
  <c r="N278" i="5"/>
  <c r="N274" i="5"/>
  <c r="N270" i="5"/>
  <c r="N266" i="5"/>
  <c r="N262" i="5"/>
  <c r="N258" i="5"/>
  <c r="N254" i="5"/>
  <c r="N237" i="5"/>
  <c r="O1112" i="1" s="1"/>
  <c r="N234" i="5"/>
  <c r="N219" i="5"/>
  <c r="N182" i="5"/>
  <c r="N181" i="5"/>
  <c r="N179" i="5"/>
  <c r="N178" i="5"/>
  <c r="O1768" i="1" s="1"/>
  <c r="R1768" i="1" s="1"/>
  <c r="N177" i="5"/>
  <c r="O1767" i="1" s="1"/>
  <c r="R1767" i="1" s="1"/>
  <c r="N175" i="5"/>
  <c r="N167" i="5"/>
  <c r="N166" i="5"/>
  <c r="N165" i="5"/>
  <c r="N164" i="5"/>
  <c r="N163" i="5"/>
  <c r="N159" i="5"/>
  <c r="N158" i="5"/>
  <c r="N153" i="5"/>
  <c r="N133" i="5"/>
  <c r="O2274" i="1" s="1"/>
  <c r="R2274" i="1" s="1"/>
  <c r="N128" i="5"/>
  <c r="O2269" i="1" s="1"/>
  <c r="R2269" i="1" s="1"/>
  <c r="N125" i="5"/>
  <c r="N124" i="5"/>
  <c r="N123" i="5"/>
  <c r="O2264" i="1" s="1"/>
  <c r="R2264" i="1" s="1"/>
  <c r="N121" i="5"/>
  <c r="N119" i="5"/>
  <c r="O2259" i="1" s="1"/>
  <c r="R2259" i="1" s="1"/>
  <c r="N118" i="5"/>
  <c r="O2258" i="1" s="1"/>
  <c r="R2258" i="1" s="1"/>
  <c r="N117" i="5"/>
  <c r="N116" i="5"/>
  <c r="O2256" i="1" s="1"/>
  <c r="R2256" i="1" s="1"/>
  <c r="N115" i="5"/>
  <c r="N107" i="5"/>
  <c r="N103" i="5"/>
  <c r="O2249" i="1" s="1"/>
  <c r="R2249" i="1" s="1"/>
  <c r="N101" i="5"/>
  <c r="N100" i="5"/>
  <c r="N99" i="5"/>
  <c r="N95" i="5"/>
  <c r="N94" i="5"/>
  <c r="N89" i="5"/>
  <c r="N88" i="5"/>
  <c r="O981" i="1" s="1"/>
  <c r="R981" i="1" s="1"/>
  <c r="N87" i="5"/>
  <c r="O980" i="1" s="1"/>
  <c r="R980" i="1" s="1"/>
  <c r="N83" i="5"/>
  <c r="N71" i="5"/>
  <c r="N69" i="5"/>
  <c r="N67" i="5"/>
  <c r="N66" i="5"/>
  <c r="N63" i="5"/>
  <c r="O911" i="1" s="1"/>
  <c r="R911" i="1" s="1"/>
  <c r="N60" i="5"/>
  <c r="N59" i="5"/>
  <c r="N58" i="5"/>
  <c r="N57" i="5"/>
  <c r="N56" i="5"/>
  <c r="N54" i="5"/>
  <c r="N53" i="5"/>
  <c r="O2204" i="1" s="1"/>
  <c r="R2204" i="1" s="1"/>
  <c r="N52" i="5"/>
  <c r="N51" i="5"/>
  <c r="N47" i="5"/>
  <c r="O2199" i="1" s="1"/>
  <c r="R2199" i="1" s="1"/>
  <c r="N42" i="5"/>
  <c r="O2197" i="1" s="1"/>
  <c r="R2197" i="1" s="1"/>
  <c r="N40" i="5"/>
  <c r="N32" i="5"/>
  <c r="N31" i="5"/>
  <c r="N25" i="5"/>
  <c r="N24" i="5"/>
  <c r="N23" i="5"/>
  <c r="N22" i="5"/>
  <c r="N21" i="5"/>
  <c r="N15" i="5"/>
  <c r="N14" i="5"/>
  <c r="N13" i="5"/>
  <c r="N10" i="5"/>
  <c r="O813" i="1" s="1"/>
  <c r="R813" i="1" s="1"/>
  <c r="U1112" i="1" l="1"/>
  <c r="R1112" i="1"/>
  <c r="O2247" i="1"/>
  <c r="H19" i="240"/>
  <c r="O2169" i="1"/>
  <c r="R2169" i="1" s="1"/>
  <c r="O2167" i="1"/>
  <c r="R2167" i="1" s="1"/>
  <c r="O2219" i="1"/>
  <c r="R2219" i="1" s="1"/>
  <c r="O2170" i="1"/>
  <c r="R2170" i="1" s="1"/>
  <c r="O2168" i="1"/>
  <c r="R2168" i="1" s="1"/>
  <c r="O2220" i="1"/>
  <c r="R2220" i="1" s="1"/>
  <c r="O2171" i="1"/>
  <c r="R2171" i="1" s="1"/>
  <c r="O2221" i="1"/>
  <c r="R2221" i="1" s="1"/>
  <c r="O2217" i="1"/>
  <c r="R2217" i="1" s="1"/>
  <c r="O2218" i="1"/>
  <c r="R2218" i="1" s="1"/>
  <c r="D893" i="246"/>
  <c r="O882" i="1"/>
  <c r="D893" i="1"/>
  <c r="O526" i="1"/>
  <c r="R526" i="1" s="1"/>
  <c r="O1775" i="1"/>
  <c r="R1775" i="1" s="1"/>
  <c r="O1776" i="1"/>
  <c r="R1776" i="1" s="1"/>
  <c r="O527" i="1"/>
  <c r="R527" i="1" s="1"/>
  <c r="O1742" i="1"/>
  <c r="O516" i="1"/>
  <c r="O1741" i="1"/>
  <c r="R1741" i="1" s="1"/>
  <c r="O515" i="1"/>
  <c r="R515" i="1" s="1"/>
  <c r="R1786" i="246"/>
  <c r="R1785" i="246"/>
  <c r="O883" i="1"/>
  <c r="R883" i="1" s="1"/>
  <c r="O885" i="1"/>
  <c r="R885" i="1" s="1"/>
  <c r="O886" i="1"/>
  <c r="R886" i="1" s="1"/>
  <c r="O884" i="1"/>
  <c r="R884" i="1" s="1"/>
  <c r="O478" i="1"/>
  <c r="X478" i="1" s="1"/>
  <c r="I377" i="5"/>
  <c r="L377" i="5" s="1"/>
  <c r="O478" i="246" s="1"/>
  <c r="I392" i="5"/>
  <c r="L392" i="5" s="1"/>
  <c r="O2014" i="1"/>
  <c r="E189" i="231"/>
  <c r="F189" i="231" s="1"/>
  <c r="G189" i="231" s="1"/>
  <c r="O2257" i="1"/>
  <c r="R2257" i="1" s="1"/>
  <c r="O2211" i="1"/>
  <c r="R2211" i="1" s="1"/>
  <c r="O2271" i="1"/>
  <c r="R2271" i="1" s="1"/>
  <c r="O2195" i="1"/>
  <c r="R2195" i="1" s="1"/>
  <c r="O2216" i="1"/>
  <c r="R2216" i="1" s="1"/>
  <c r="O2215" i="1"/>
  <c r="R2215" i="1" s="1"/>
  <c r="O538" i="1"/>
  <c r="R538" i="1" s="1"/>
  <c r="N12" i="5"/>
  <c r="N27" i="5"/>
  <c r="N252" i="5"/>
  <c r="H1209" i="1" s="1"/>
  <c r="N260" i="5"/>
  <c r="J1209" i="1" s="1"/>
  <c r="N268" i="5"/>
  <c r="K1209" i="1" s="1"/>
  <c r="N61" i="5"/>
  <c r="O838" i="1"/>
  <c r="R838" i="1" s="1"/>
  <c r="O2184" i="1"/>
  <c r="R2184" i="1" s="1"/>
  <c r="N98" i="5"/>
  <c r="N156" i="5"/>
  <c r="N253" i="5"/>
  <c r="H1216" i="1" s="1"/>
  <c r="N261" i="5"/>
  <c r="J1216" i="1" s="1"/>
  <c r="N269" i="5"/>
  <c r="K1216" i="1" s="1"/>
  <c r="N353" i="5"/>
  <c r="O837" i="1"/>
  <c r="R837" i="1" s="1"/>
  <c r="O2183" i="1"/>
  <c r="R2183" i="1" s="1"/>
  <c r="O2255" i="1"/>
  <c r="R2255" i="1" s="1"/>
  <c r="O839" i="1"/>
  <c r="R839" i="1" s="1"/>
  <c r="O2185" i="1"/>
  <c r="R2185" i="1" s="1"/>
  <c r="N84" i="5"/>
  <c r="N90" i="5"/>
  <c r="O1002" i="1"/>
  <c r="R1002" i="1" s="1"/>
  <c r="O2292" i="1"/>
  <c r="R2292" i="1" s="1"/>
  <c r="N120" i="5"/>
  <c r="O2266" i="1"/>
  <c r="R2266" i="1" s="1"/>
  <c r="N140" i="5"/>
  <c r="N152" i="5"/>
  <c r="O1035" i="1" s="1"/>
  <c r="R1035" i="1" s="1"/>
  <c r="N228" i="5"/>
  <c r="N250" i="5"/>
  <c r="N273" i="5"/>
  <c r="K1217" i="1" s="1"/>
  <c r="N341" i="5"/>
  <c r="N358" i="5"/>
  <c r="N373" i="5"/>
  <c r="N378" i="5"/>
  <c r="N74" i="5"/>
  <c r="O2182" i="1"/>
  <c r="R2182" i="1" s="1"/>
  <c r="O836" i="1"/>
  <c r="R836" i="1" s="1"/>
  <c r="N85" i="5"/>
  <c r="N55" i="5"/>
  <c r="N65" i="5"/>
  <c r="N93" i="5"/>
  <c r="N110" i="5"/>
  <c r="N184" i="5"/>
  <c r="N318" i="5"/>
  <c r="O1000" i="1"/>
  <c r="R1000" i="1" s="1"/>
  <c r="O2294" i="1"/>
  <c r="R2294" i="1" s="1"/>
  <c r="O1001" i="1"/>
  <c r="R1001" i="1" s="1"/>
  <c r="O2289" i="1"/>
  <c r="N257" i="5"/>
  <c r="H1217" i="1" s="1"/>
  <c r="N265" i="5"/>
  <c r="J1217" i="1" s="1"/>
  <c r="N39" i="5"/>
  <c r="N43" i="5"/>
  <c r="N68" i="5"/>
  <c r="N82" i="5"/>
  <c r="N92" i="5"/>
  <c r="O972" i="1" s="1"/>
  <c r="R972" i="1" s="1"/>
  <c r="N97" i="5"/>
  <c r="N141" i="5"/>
  <c r="N277" i="5"/>
  <c r="M1216" i="1" s="1"/>
  <c r="N281" i="5"/>
  <c r="M1217" i="1" s="1"/>
  <c r="N73" i="5"/>
  <c r="N28" i="5"/>
  <c r="N371" i="5"/>
  <c r="N394" i="5"/>
  <c r="N390" i="5"/>
  <c r="O2044" i="1" s="1"/>
  <c r="R2044" i="1" s="1"/>
  <c r="N151" i="5"/>
  <c r="O1034" i="1" s="1"/>
  <c r="R1034" i="1" s="1"/>
  <c r="N389" i="5"/>
  <c r="O2043" i="1" s="1"/>
  <c r="R2043" i="1" s="1"/>
  <c r="N162" i="5"/>
  <c r="N370" i="5"/>
  <c r="N391" i="5"/>
  <c r="O2045" i="1" s="1"/>
  <c r="R2045" i="1" s="1"/>
  <c r="N364" i="5"/>
  <c r="N375" i="5"/>
  <c r="N383" i="5"/>
  <c r="N400" i="5"/>
  <c r="N26" i="5"/>
  <c r="N206" i="5"/>
  <c r="N352" i="5"/>
  <c r="H30" i="229" s="1"/>
  <c r="N329" i="5"/>
  <c r="N331" i="5"/>
  <c r="H15" i="229" s="1"/>
  <c r="N205" i="5"/>
  <c r="N348" i="5"/>
  <c r="H26" i="229" s="1"/>
  <c r="N212" i="5"/>
  <c r="N168" i="5"/>
  <c r="N214" i="5"/>
  <c r="N204" i="5"/>
  <c r="N356" i="5"/>
  <c r="N340" i="5"/>
  <c r="N355" i="5"/>
  <c r="N311" i="5"/>
  <c r="N351" i="5"/>
  <c r="H29" i="229" s="1"/>
  <c r="N380" i="5"/>
  <c r="N279" i="5"/>
  <c r="M1206" i="1" s="1"/>
  <c r="N218" i="5"/>
  <c r="N369" i="5"/>
  <c r="N217" i="5"/>
  <c r="N213" i="5"/>
  <c r="N251" i="5"/>
  <c r="H1205" i="1" s="1"/>
  <c r="N259" i="5"/>
  <c r="J1205" i="1" s="1"/>
  <c r="N309" i="5"/>
  <c r="N349" i="5"/>
  <c r="H27" i="229" s="1"/>
  <c r="N376" i="5"/>
  <c r="N215" i="5"/>
  <c r="N180" i="5"/>
  <c r="O1774" i="1" s="1"/>
  <c r="N216" i="5"/>
  <c r="N314" i="5"/>
  <c r="N307" i="5"/>
  <c r="I307" i="5" s="1"/>
  <c r="N315" i="5"/>
  <c r="N316" i="5"/>
  <c r="N263" i="5"/>
  <c r="J1206" i="1" s="1"/>
  <c r="N255" i="5"/>
  <c r="H1206" i="1" s="1"/>
  <c r="N172" i="5"/>
  <c r="O514" i="1" s="1"/>
  <c r="N271" i="5"/>
  <c r="K1206" i="1" s="1"/>
  <c r="N310" i="5"/>
  <c r="N176" i="5"/>
  <c r="N267" i="5"/>
  <c r="K1205" i="1" s="1"/>
  <c r="N320" i="5"/>
  <c r="H10" i="229" s="1"/>
  <c r="N333" i="5"/>
  <c r="N188" i="5"/>
  <c r="N393" i="5"/>
  <c r="N308" i="5"/>
  <c r="N275" i="5"/>
  <c r="M1205" i="1" s="1"/>
  <c r="N368" i="5"/>
  <c r="N379" i="5"/>
  <c r="N395" i="5"/>
  <c r="O363" i="1" l="1"/>
  <c r="O2248" i="1"/>
  <c r="R2248" i="1" s="1"/>
  <c r="K1202" i="1"/>
  <c r="K1227" i="1"/>
  <c r="K1249" i="1" s="1"/>
  <c r="O1216" i="1"/>
  <c r="H1213" i="1"/>
  <c r="O1206" i="1"/>
  <c r="J1202" i="1"/>
  <c r="J1227" i="1"/>
  <c r="J1249" i="1" s="1"/>
  <c r="O1608" i="1"/>
  <c r="H18" i="229"/>
  <c r="M1213" i="1"/>
  <c r="M1202" i="1"/>
  <c r="O1601" i="1"/>
  <c r="H17" i="229"/>
  <c r="H1227" i="1"/>
  <c r="H1249" i="1" s="1"/>
  <c r="H1202" i="1"/>
  <c r="O1205" i="1"/>
  <c r="O1589" i="1"/>
  <c r="H13" i="229"/>
  <c r="O1217" i="1"/>
  <c r="K1213" i="1"/>
  <c r="J1213" i="1"/>
  <c r="O2172" i="1"/>
  <c r="R893" i="246"/>
  <c r="O1612" i="1"/>
  <c r="O2262" i="1"/>
  <c r="R2262" i="1" s="1"/>
  <c r="H17" i="178"/>
  <c r="O1696" i="1"/>
  <c r="O1610" i="1"/>
  <c r="O1609" i="1"/>
  <c r="O1613" i="1"/>
  <c r="H16" i="178"/>
  <c r="O1695" i="1"/>
  <c r="H15" i="178"/>
  <c r="O1694" i="1"/>
  <c r="O1771" i="1"/>
  <c r="U1771" i="1" s="1"/>
  <c r="O1766" i="1"/>
  <c r="O1763" i="1" s="1"/>
  <c r="O525" i="1"/>
  <c r="O530" i="1" s="1"/>
  <c r="H14" i="178"/>
  <c r="O1693" i="1"/>
  <c r="O1985" i="246"/>
  <c r="R478" i="246"/>
  <c r="U478" i="246"/>
  <c r="O1580" i="1"/>
  <c r="O1801" i="1"/>
  <c r="M478" i="1"/>
  <c r="O1599" i="1"/>
  <c r="M2014" i="1"/>
  <c r="R2014" i="1" s="1"/>
  <c r="E190" i="231"/>
  <c r="F190" i="231" s="1"/>
  <c r="G190" i="231" s="1"/>
  <c r="H11" i="168"/>
  <c r="O1850" i="1"/>
  <c r="H21" i="169"/>
  <c r="O1847" i="1"/>
  <c r="H18" i="169"/>
  <c r="O1848" i="1"/>
  <c r="H19" i="169"/>
  <c r="O1853" i="1"/>
  <c r="H24" i="169"/>
  <c r="O1851" i="1"/>
  <c r="H22" i="169"/>
  <c r="O1839" i="1"/>
  <c r="H10" i="169"/>
  <c r="O1852" i="1"/>
  <c r="H23" i="169"/>
  <c r="O1849" i="1"/>
  <c r="H20" i="169"/>
  <c r="O1840" i="1"/>
  <c r="H11" i="169"/>
  <c r="O1841" i="1"/>
  <c r="H12" i="169"/>
  <c r="O2203" i="1"/>
  <c r="R2203" i="1" s="1"/>
  <c r="I371" i="5"/>
  <c r="L371" i="5" s="1"/>
  <c r="O1970" i="1"/>
  <c r="I370" i="5"/>
  <c r="L370" i="5" s="1"/>
  <c r="O1969" i="1"/>
  <c r="O2208" i="1"/>
  <c r="R2208" i="1" s="1"/>
  <c r="O2214" i="1"/>
  <c r="R2214" i="1" s="1"/>
  <c r="O2261" i="1"/>
  <c r="R2261" i="1" s="1"/>
  <c r="O2205" i="1"/>
  <c r="R2205" i="1" s="1"/>
  <c r="R2247" i="1"/>
  <c r="O2213" i="1"/>
  <c r="R2213" i="1" s="1"/>
  <c r="O2209" i="1"/>
  <c r="R2209" i="1" s="1"/>
  <c r="R893" i="1"/>
  <c r="U363" i="1"/>
  <c r="I393" i="5"/>
  <c r="L393" i="5" s="1"/>
  <c r="O2015" i="1"/>
  <c r="O1548" i="1"/>
  <c r="I315" i="5"/>
  <c r="L315" i="5" s="1"/>
  <c r="O1520" i="246" s="1"/>
  <c r="R1520" i="246" s="1"/>
  <c r="I311" i="5"/>
  <c r="L311" i="5" s="1"/>
  <c r="O1491" i="246" s="1"/>
  <c r="R1491" i="246" s="1"/>
  <c r="O1519" i="1"/>
  <c r="I214" i="5"/>
  <c r="L214" i="5" s="1"/>
  <c r="O1820" i="246" s="1"/>
  <c r="R1820" i="246" s="1"/>
  <c r="I212" i="5"/>
  <c r="L212" i="5" s="1"/>
  <c r="O1818" i="246" s="1"/>
  <c r="R1818" i="246" s="1"/>
  <c r="N221" i="5"/>
  <c r="O1891" i="1" s="1"/>
  <c r="N276" i="5"/>
  <c r="M1209" i="1" s="1"/>
  <c r="O1209" i="1" s="1"/>
  <c r="N230" i="5"/>
  <c r="O1096" i="1" s="1"/>
  <c r="U1096" i="1" s="1"/>
  <c r="N50" i="5"/>
  <c r="N127" i="5"/>
  <c r="N226" i="5"/>
  <c r="N154" i="5"/>
  <c r="N126" i="5"/>
  <c r="N317" i="5"/>
  <c r="O1549" i="1"/>
  <c r="I316" i="5"/>
  <c r="L316" i="5" s="1"/>
  <c r="N169" i="5"/>
  <c r="I309" i="5"/>
  <c r="L309" i="5" s="1"/>
  <c r="O1489" i="246" s="1"/>
  <c r="R1489" i="246" s="1"/>
  <c r="O1517" i="1"/>
  <c r="O1968" i="1"/>
  <c r="I369" i="5"/>
  <c r="L369" i="5" s="1"/>
  <c r="I340" i="5"/>
  <c r="I348" i="5"/>
  <c r="L348" i="5" s="1"/>
  <c r="I205" i="5"/>
  <c r="L205" i="5" s="1"/>
  <c r="N231" i="5"/>
  <c r="O1111" i="1" s="1"/>
  <c r="N41" i="5"/>
  <c r="N122" i="5"/>
  <c r="I394" i="5"/>
  <c r="L394" i="5" s="1"/>
  <c r="O2016" i="1"/>
  <c r="H20" i="167"/>
  <c r="I379" i="5"/>
  <c r="L379" i="5" s="1"/>
  <c r="O1939" i="1"/>
  <c r="I188" i="5"/>
  <c r="L188" i="5" s="1"/>
  <c r="O1772" i="246" s="1"/>
  <c r="R1772" i="246" s="1"/>
  <c r="I267" i="5"/>
  <c r="L267" i="5" s="1"/>
  <c r="K1206" i="246" s="1"/>
  <c r="I172" i="5"/>
  <c r="L172" i="5" s="1"/>
  <c r="O514" i="246" s="1"/>
  <c r="O519" i="1"/>
  <c r="O457" i="1"/>
  <c r="O1740" i="1"/>
  <c r="I215" i="5"/>
  <c r="L215" i="5" s="1"/>
  <c r="O1821" i="246" s="1"/>
  <c r="R1821" i="246" s="1"/>
  <c r="I213" i="5"/>
  <c r="L213" i="5" s="1"/>
  <c r="O1819" i="246" s="1"/>
  <c r="R1819" i="246" s="1"/>
  <c r="I352" i="5"/>
  <c r="L352" i="5" s="1"/>
  <c r="I206" i="5"/>
  <c r="N374" i="5"/>
  <c r="O1516" i="1"/>
  <c r="I308" i="5"/>
  <c r="L308" i="5" s="1"/>
  <c r="O1488" i="246" s="1"/>
  <c r="R1488" i="246" s="1"/>
  <c r="I314" i="5"/>
  <c r="L314" i="5" s="1"/>
  <c r="O1519" i="246" s="1"/>
  <c r="R1519" i="246" s="1"/>
  <c r="O1547" i="1"/>
  <c r="I216" i="5"/>
  <c r="L216" i="5" s="1"/>
  <c r="O1822" i="246" s="1"/>
  <c r="R1822" i="246" s="1"/>
  <c r="I180" i="5"/>
  <c r="L180" i="5" s="1"/>
  <c r="I349" i="5"/>
  <c r="L349" i="5" s="1"/>
  <c r="I351" i="5"/>
  <c r="L351" i="5" s="1"/>
  <c r="N366" i="5"/>
  <c r="I204" i="5"/>
  <c r="L204" i="5" s="1"/>
  <c r="I331" i="5"/>
  <c r="I329" i="5"/>
  <c r="N144" i="5"/>
  <c r="N62" i="5"/>
  <c r="N143" i="5"/>
  <c r="N48" i="5"/>
  <c r="N149" i="5"/>
  <c r="N64" i="5"/>
  <c r="N70" i="5"/>
  <c r="O2210" i="1" s="1"/>
  <c r="R2210" i="1" s="1"/>
  <c r="N129" i="5"/>
  <c r="O2181" i="1"/>
  <c r="O2178" i="1" s="1"/>
  <c r="O835" i="1"/>
  <c r="O861" i="1" s="1"/>
  <c r="I368" i="5"/>
  <c r="L368" i="5" s="1"/>
  <c r="O1967" i="1"/>
  <c r="I217" i="5"/>
  <c r="L217" i="5" s="1"/>
  <c r="O1823" i="246" s="1"/>
  <c r="R1823" i="246" s="1"/>
  <c r="N49" i="5"/>
  <c r="R2289" i="1"/>
  <c r="I320" i="5"/>
  <c r="L320" i="5" s="1"/>
  <c r="G10" i="229" s="1"/>
  <c r="I310" i="5"/>
  <c r="L310" i="5" s="1"/>
  <c r="O1490" i="246" s="1"/>
  <c r="R1490" i="246" s="1"/>
  <c r="O1518" i="1"/>
  <c r="O428" i="1"/>
  <c r="O1515" i="1"/>
  <c r="L307" i="5"/>
  <c r="N354" i="5"/>
  <c r="I251" i="5"/>
  <c r="L251" i="5" s="1"/>
  <c r="H1206" i="246" s="1"/>
  <c r="N372" i="5"/>
  <c r="O1940" i="1"/>
  <c r="I380" i="5"/>
  <c r="L380" i="5" s="1"/>
  <c r="H37" i="167"/>
  <c r="N220" i="5"/>
  <c r="O1890" i="1" s="1"/>
  <c r="H91" i="167"/>
  <c r="O1943" i="1"/>
  <c r="I383" i="5"/>
  <c r="L383" i="5" s="1"/>
  <c r="H93" i="187"/>
  <c r="I364" i="5"/>
  <c r="L364" i="5" s="1"/>
  <c r="O1639" i="246" s="1"/>
  <c r="O1668" i="1"/>
  <c r="U1668" i="1" s="1"/>
  <c r="N150" i="5"/>
  <c r="N148" i="5"/>
  <c r="N396" i="5"/>
  <c r="N17" i="5"/>
  <c r="R882" i="1"/>
  <c r="O889" i="1"/>
  <c r="X889" i="1" s="1"/>
  <c r="O2017" i="1"/>
  <c r="I395" i="5"/>
  <c r="L395" i="5" s="1"/>
  <c r="O1988" i="246" s="1"/>
  <c r="R1988" i="246" s="1"/>
  <c r="I333" i="5"/>
  <c r="L333" i="5" s="1"/>
  <c r="O458" i="1"/>
  <c r="I176" i="5"/>
  <c r="L176" i="5" s="1"/>
  <c r="I376" i="5"/>
  <c r="L376" i="5" s="1"/>
  <c r="O1964" i="246" s="1"/>
  <c r="R1964" i="246" s="1"/>
  <c r="O1993" i="1"/>
  <c r="I259" i="5"/>
  <c r="L259" i="5" s="1"/>
  <c r="J1206" i="246" s="1"/>
  <c r="I218" i="5"/>
  <c r="L218" i="5" s="1"/>
  <c r="O1824" i="246" s="1"/>
  <c r="R1824" i="246" s="1"/>
  <c r="O1637" i="1"/>
  <c r="I355" i="5"/>
  <c r="L355" i="5" s="1"/>
  <c r="O1608" i="246" s="1"/>
  <c r="R1608" i="246" s="1"/>
  <c r="O1638" i="1"/>
  <c r="I356" i="5"/>
  <c r="L356" i="5" s="1"/>
  <c r="O1609" i="246" s="1"/>
  <c r="R1609" i="246" s="1"/>
  <c r="N11" i="5"/>
  <c r="O814" i="1" s="1"/>
  <c r="R814" i="1" s="1"/>
  <c r="I375" i="5"/>
  <c r="L375" i="5" s="1"/>
  <c r="O1963" i="246" s="1"/>
  <c r="R1963" i="246" s="1"/>
  <c r="O1992" i="1"/>
  <c r="N224" i="5"/>
  <c r="N72" i="5"/>
  <c r="N105" i="5"/>
  <c r="N104" i="5"/>
  <c r="N170" i="5"/>
  <c r="O2293" i="1"/>
  <c r="R2293" i="1" s="1"/>
  <c r="O999" i="1"/>
  <c r="R996" i="1" s="1"/>
  <c r="O978" i="1"/>
  <c r="O970" i="1"/>
  <c r="O2290" i="1"/>
  <c r="R2290" i="1" s="1"/>
  <c r="O909" i="1"/>
  <c r="U1891" i="1" l="1"/>
  <c r="O1921" i="1"/>
  <c r="U1921" i="1" s="1"/>
  <c r="O1920" i="1"/>
  <c r="U1920" i="1" s="1"/>
  <c r="U1890" i="1"/>
  <c r="O1878" i="1"/>
  <c r="I220" i="5"/>
  <c r="U1111" i="1"/>
  <c r="O1108" i="1" s="1"/>
  <c r="R1108" i="1" s="1"/>
  <c r="R1111" i="1"/>
  <c r="O1810" i="246"/>
  <c r="R1810" i="246" s="1"/>
  <c r="O1811" i="246"/>
  <c r="R1811" i="246" s="1"/>
  <c r="M1227" i="1"/>
  <c r="M1249" i="1" s="1"/>
  <c r="M1610" i="1"/>
  <c r="R1610" i="1" s="1"/>
  <c r="G27" i="229"/>
  <c r="M1613" i="1"/>
  <c r="R1613" i="1" s="1"/>
  <c r="G30" i="229"/>
  <c r="H33" i="240"/>
  <c r="M1212" i="1"/>
  <c r="O1202" i="1"/>
  <c r="O1227" i="1"/>
  <c r="J1212" i="1"/>
  <c r="M1601" i="1"/>
  <c r="R1601" i="1" s="1"/>
  <c r="G17" i="229"/>
  <c r="M1612" i="1"/>
  <c r="R1612" i="1" s="1"/>
  <c r="G29" i="229"/>
  <c r="M1609" i="1"/>
  <c r="R1609" i="1" s="1"/>
  <c r="G26" i="229"/>
  <c r="H1212" i="1"/>
  <c r="O1213" i="1"/>
  <c r="K1212" i="1"/>
  <c r="O2166" i="1"/>
  <c r="R2166" i="1" s="1"/>
  <c r="Z1878" i="1"/>
  <c r="E242" i="4"/>
  <c r="H1228" i="246"/>
  <c r="K1228" i="246"/>
  <c r="J1228" i="246"/>
  <c r="O525" i="246"/>
  <c r="R530" i="246" s="1"/>
  <c r="F234" i="4"/>
  <c r="O2260" i="1"/>
  <c r="R2260" i="1" s="1"/>
  <c r="L329" i="5"/>
  <c r="G13" i="229" s="1"/>
  <c r="O2160" i="1"/>
  <c r="M1695" i="1"/>
  <c r="R1695" i="1" s="1"/>
  <c r="O1666" i="246"/>
  <c r="R1666" i="246" s="1"/>
  <c r="O1667" i="246"/>
  <c r="R1667" i="246" s="1"/>
  <c r="M1696" i="1"/>
  <c r="R1696" i="1" s="1"/>
  <c r="O1986" i="246"/>
  <c r="R1986" i="246" s="1"/>
  <c r="O1665" i="246"/>
  <c r="R1665" i="246" s="1"/>
  <c r="M1694" i="1"/>
  <c r="R1694" i="1" s="1"/>
  <c r="M1774" i="1"/>
  <c r="R1771" i="1" s="1"/>
  <c r="R1772" i="1" s="1"/>
  <c r="O1745" i="246"/>
  <c r="O1742" i="246" s="1"/>
  <c r="O1737" i="246"/>
  <c r="O1734" i="246" s="1"/>
  <c r="M1766" i="1"/>
  <c r="U1763" i="1"/>
  <c r="O1745" i="1"/>
  <c r="X519" i="1" s="1"/>
  <c r="O1521" i="246"/>
  <c r="R1521" i="246" s="1"/>
  <c r="C1486" i="246"/>
  <c r="C1514" i="1"/>
  <c r="M1693" i="1"/>
  <c r="R1693" i="1" s="1"/>
  <c r="O1664" i="246"/>
  <c r="R1664" i="246" s="1"/>
  <c r="H12" i="178"/>
  <c r="O1691" i="1"/>
  <c r="D428" i="1"/>
  <c r="O1572" i="246"/>
  <c r="R1572" i="246" s="1"/>
  <c r="O1939" i="246"/>
  <c r="R1939" i="246" s="1"/>
  <c r="G15" i="178"/>
  <c r="O1941" i="246"/>
  <c r="R1941" i="246" s="1"/>
  <c r="G17" i="178"/>
  <c r="O1583" i="246"/>
  <c r="R1583" i="246" s="1"/>
  <c r="O1584" i="246"/>
  <c r="R1584" i="246" s="1"/>
  <c r="O1580" i="246"/>
  <c r="R1580" i="246" s="1"/>
  <c r="O1940" i="246"/>
  <c r="R1940" i="246" s="1"/>
  <c r="G16" i="178"/>
  <c r="O1938" i="246"/>
  <c r="R1938" i="246" s="1"/>
  <c r="G14" i="178"/>
  <c r="O1581" i="246"/>
  <c r="R1581" i="246" s="1"/>
  <c r="O458" i="246"/>
  <c r="R458" i="246" s="1"/>
  <c r="O1987" i="246"/>
  <c r="R1987" i="246" s="1"/>
  <c r="R1985" i="246"/>
  <c r="R1639" i="246"/>
  <c r="S1639" i="246"/>
  <c r="O1551" i="246"/>
  <c r="O428" i="246"/>
  <c r="O1487" i="246"/>
  <c r="D428" i="246"/>
  <c r="O1711" i="246"/>
  <c r="O479" i="1"/>
  <c r="V478" i="1"/>
  <c r="R478" i="1"/>
  <c r="M1801" i="1"/>
  <c r="R1801" i="1" s="1"/>
  <c r="M1580" i="1"/>
  <c r="E191" i="231"/>
  <c r="F191" i="231" s="1"/>
  <c r="G191" i="231" s="1"/>
  <c r="M1517" i="1"/>
  <c r="R1517" i="1" s="1"/>
  <c r="M1638" i="1"/>
  <c r="R1638" i="1" s="1"/>
  <c r="M1993" i="1"/>
  <c r="R1993" i="1" s="1"/>
  <c r="M1518" i="1"/>
  <c r="R1518" i="1" s="1"/>
  <c r="M1968" i="1"/>
  <c r="R1968" i="1" s="1"/>
  <c r="M1970" i="1"/>
  <c r="R1970" i="1" s="1"/>
  <c r="M2017" i="1"/>
  <c r="R2017" i="1" s="1"/>
  <c r="M1967" i="1"/>
  <c r="R1967" i="1" s="1"/>
  <c r="M1516" i="1"/>
  <c r="R1516" i="1" s="1"/>
  <c r="M1549" i="1"/>
  <c r="R1549" i="1" s="1"/>
  <c r="M1519" i="1"/>
  <c r="R1519" i="1" s="1"/>
  <c r="M1637" i="1"/>
  <c r="R1637" i="1" s="1"/>
  <c r="M1547" i="1"/>
  <c r="R1547" i="1" s="1"/>
  <c r="M1548" i="1"/>
  <c r="R1548" i="1" s="1"/>
  <c r="M1969" i="1"/>
  <c r="R1969" i="1" s="1"/>
  <c r="M1992" i="1"/>
  <c r="R1992" i="1" s="1"/>
  <c r="O1033" i="1"/>
  <c r="R1033" i="1" s="1"/>
  <c r="G11" i="168"/>
  <c r="O1032" i="1"/>
  <c r="O1522" i="1"/>
  <c r="X428" i="1" s="1"/>
  <c r="M1847" i="1"/>
  <c r="R1847" i="1" s="1"/>
  <c r="G18" i="169"/>
  <c r="M1839" i="1"/>
  <c r="R1839" i="1" s="1"/>
  <c r="G10" i="169"/>
  <c r="M1850" i="1"/>
  <c r="R1850" i="1" s="1"/>
  <c r="G21" i="169"/>
  <c r="M1849" i="1"/>
  <c r="R1849" i="1" s="1"/>
  <c r="G20" i="169"/>
  <c r="M1852" i="1"/>
  <c r="R1852" i="1" s="1"/>
  <c r="G23" i="169"/>
  <c r="M1848" i="1"/>
  <c r="R1848" i="1" s="1"/>
  <c r="G19" i="169"/>
  <c r="M1853" i="1"/>
  <c r="R1853" i="1" s="1"/>
  <c r="G24" i="169"/>
  <c r="M1851" i="1"/>
  <c r="R1851" i="1" s="1"/>
  <c r="G22" i="169"/>
  <c r="M1840" i="1"/>
  <c r="R1840" i="1" s="1"/>
  <c r="G11" i="169"/>
  <c r="R363" i="1"/>
  <c r="O2212" i="1"/>
  <c r="R2212" i="1" s="1"/>
  <c r="O910" i="1"/>
  <c r="R910" i="1" s="1"/>
  <c r="O1027" i="1"/>
  <c r="O2196" i="1"/>
  <c r="R2196" i="1" s="1"/>
  <c r="O2207" i="1"/>
  <c r="R2207" i="1" s="1"/>
  <c r="O2263" i="1"/>
  <c r="R2263" i="1" s="1"/>
  <c r="O2202" i="1"/>
  <c r="R2202" i="1" s="1"/>
  <c r="O2201" i="1"/>
  <c r="R2201" i="1" s="1"/>
  <c r="O2270" i="1"/>
  <c r="R2270" i="1" s="1"/>
  <c r="O2200" i="1"/>
  <c r="R2200" i="1" s="1"/>
  <c r="O2267" i="1"/>
  <c r="R2267" i="1" s="1"/>
  <c r="O505" i="1"/>
  <c r="O1031" i="1"/>
  <c r="O2251" i="1"/>
  <c r="R2251" i="1" s="1"/>
  <c r="O2252" i="1"/>
  <c r="R2252" i="1" s="1"/>
  <c r="O1026" i="1"/>
  <c r="R1026" i="1" s="1"/>
  <c r="O2268" i="1"/>
  <c r="R2268" i="1" s="1"/>
  <c r="N264" i="5"/>
  <c r="J1220" i="1" s="1"/>
  <c r="J1228" i="1" s="1"/>
  <c r="J1250" i="1" s="1"/>
  <c r="N381" i="5"/>
  <c r="I317" i="5"/>
  <c r="L317" i="5" s="1"/>
  <c r="O1522" i="246" s="1"/>
  <c r="R1522" i="246" s="1"/>
  <c r="O1550" i="1"/>
  <c r="N382" i="5"/>
  <c r="N313" i="5"/>
  <c r="O967" i="1"/>
  <c r="R970" i="1"/>
  <c r="R978" i="1"/>
  <c r="M458" i="1"/>
  <c r="R889" i="1"/>
  <c r="M1668" i="1"/>
  <c r="G93" i="187"/>
  <c r="G37" i="167"/>
  <c r="M1940" i="1"/>
  <c r="R1940" i="1" s="1"/>
  <c r="H39" i="178"/>
  <c r="O1697" i="1"/>
  <c r="I372" i="5"/>
  <c r="L372" i="5" s="1"/>
  <c r="I354" i="5"/>
  <c r="L354" i="5" s="1"/>
  <c r="O1636" i="1"/>
  <c r="R835" i="1"/>
  <c r="T211" i="5"/>
  <c r="I366" i="5"/>
  <c r="L366" i="5" s="1"/>
  <c r="O1965" i="1"/>
  <c r="M2015" i="1"/>
  <c r="N187" i="5"/>
  <c r="N362" i="5"/>
  <c r="N363" i="5"/>
  <c r="R909" i="1"/>
  <c r="M525" i="1"/>
  <c r="I396" i="5"/>
  <c r="L396" i="5" s="1"/>
  <c r="O1989" i="246" s="1"/>
  <c r="R1989" i="246" s="1"/>
  <c r="O2018" i="1"/>
  <c r="O2021" i="1" s="1"/>
  <c r="M428" i="1"/>
  <c r="M1515" i="1"/>
  <c r="R2181" i="1"/>
  <c r="N5" i="5"/>
  <c r="M514" i="1"/>
  <c r="M1939" i="1"/>
  <c r="R1939" i="1" s="1"/>
  <c r="G20" i="167"/>
  <c r="O456" i="1"/>
  <c r="I169" i="5"/>
  <c r="O1723" i="1"/>
  <c r="O504" i="1"/>
  <c r="N102" i="5"/>
  <c r="N209" i="5"/>
  <c r="N189" i="5"/>
  <c r="N108" i="5"/>
  <c r="O944" i="1" s="1"/>
  <c r="N350" i="5"/>
  <c r="H28" i="229" s="1"/>
  <c r="N16" i="5"/>
  <c r="N346" i="5"/>
  <c r="H24" i="229" s="1"/>
  <c r="N361" i="5"/>
  <c r="N142" i="5"/>
  <c r="O2206" i="1"/>
  <c r="O996" i="1"/>
  <c r="U996" i="1" s="1"/>
  <c r="R999" i="1"/>
  <c r="I275" i="5"/>
  <c r="L275" i="5" s="1"/>
  <c r="M1206" i="246" s="1"/>
  <c r="M1943" i="1"/>
  <c r="R1943" i="1" s="1"/>
  <c r="G91" i="167"/>
  <c r="L220" i="5"/>
  <c r="M1890" i="1" s="1"/>
  <c r="O477" i="1"/>
  <c r="I374" i="5"/>
  <c r="L374" i="5" s="1"/>
  <c r="O1991" i="1"/>
  <c r="O1996" i="1" s="1"/>
  <c r="M1740" i="1"/>
  <c r="E290" i="4"/>
  <c r="M2016" i="1"/>
  <c r="R2016" i="1" s="1"/>
  <c r="N45" i="5"/>
  <c r="M1920" i="1" l="1"/>
  <c r="S1920" i="1" s="1"/>
  <c r="S1890" i="1"/>
  <c r="O1916" i="1"/>
  <c r="X1916" i="1" s="1"/>
  <c r="O1887" i="1"/>
  <c r="R1114" i="1"/>
  <c r="R1113" i="1"/>
  <c r="R1110" i="1"/>
  <c r="R1109" i="1"/>
  <c r="O356" i="1"/>
  <c r="U356" i="1" s="1"/>
  <c r="O808" i="1"/>
  <c r="O817" i="1" s="1"/>
  <c r="O2136" i="1"/>
  <c r="R2136" i="1" s="1"/>
  <c r="O2106" i="246"/>
  <c r="R2106" i="246" s="1"/>
  <c r="X1202" i="1"/>
  <c r="O1212" i="1"/>
  <c r="J1223" i="1"/>
  <c r="X1227" i="1"/>
  <c r="O1249" i="1"/>
  <c r="M1228" i="246"/>
  <c r="O1206" i="246"/>
  <c r="O2135" i="1"/>
  <c r="R2135" i="1" s="1"/>
  <c r="O2105" i="246"/>
  <c r="R2105" i="246" s="1"/>
  <c r="O530" i="246"/>
  <c r="M1589" i="1"/>
  <c r="R1589" i="1" s="1"/>
  <c r="E251" i="4"/>
  <c r="O1560" i="246"/>
  <c r="R1560" i="246" s="1"/>
  <c r="R529" i="246"/>
  <c r="R524" i="246"/>
  <c r="R525" i="246"/>
  <c r="R528" i="246"/>
  <c r="R531" i="246"/>
  <c r="R523" i="246"/>
  <c r="R532" i="246"/>
  <c r="O1593" i="1"/>
  <c r="O942" i="1"/>
  <c r="R942" i="1" s="1"/>
  <c r="O1611" i="1"/>
  <c r="R1763" i="1"/>
  <c r="R1766" i="1" s="1"/>
  <c r="M1763" i="1"/>
  <c r="S1763" i="1" s="1"/>
  <c r="C1984" i="246"/>
  <c r="C2013" i="1"/>
  <c r="D479" i="1"/>
  <c r="X457" i="1"/>
  <c r="R1773" i="1"/>
  <c r="C1961" i="246"/>
  <c r="D477" i="1"/>
  <c r="C1990" i="1"/>
  <c r="R1777" i="1"/>
  <c r="R1774" i="1"/>
  <c r="R1742" i="246"/>
  <c r="S1742" i="246"/>
  <c r="V1774" i="1"/>
  <c r="M1771" i="1"/>
  <c r="S1771" i="1" s="1"/>
  <c r="V1766" i="1"/>
  <c r="S1734" i="246"/>
  <c r="R1734" i="246"/>
  <c r="O1662" i="246"/>
  <c r="M1691" i="1"/>
  <c r="R530" i="1"/>
  <c r="M530" i="1"/>
  <c r="D477" i="246"/>
  <c r="G12" i="178"/>
  <c r="O1607" i="246"/>
  <c r="R1487" i="246"/>
  <c r="O1494" i="246"/>
  <c r="R1494" i="246" s="1"/>
  <c r="R1503" i="246" s="1"/>
  <c r="O1668" i="246"/>
  <c r="R1668" i="246" s="1"/>
  <c r="D479" i="246"/>
  <c r="O1992" i="246"/>
  <c r="R1992" i="246" s="1"/>
  <c r="R428" i="246"/>
  <c r="R1551" i="246"/>
  <c r="O1962" i="246"/>
  <c r="O477" i="246"/>
  <c r="O1936" i="246"/>
  <c r="O479" i="246"/>
  <c r="O1802" i="1"/>
  <c r="O1800" i="1"/>
  <c r="M479" i="1"/>
  <c r="E192" i="231"/>
  <c r="F192" i="231" s="1"/>
  <c r="G192" i="231" s="1"/>
  <c r="M2018" i="1"/>
  <c r="M1550" i="1"/>
  <c r="R1550" i="1" s="1"/>
  <c r="R364" i="1"/>
  <c r="O1780" i="1"/>
  <c r="X458" i="1" s="1"/>
  <c r="H12" i="168"/>
  <c r="H10" i="168"/>
  <c r="O1844" i="1"/>
  <c r="H15" i="169"/>
  <c r="R1668" i="1"/>
  <c r="S1668" i="1"/>
  <c r="O923" i="1"/>
  <c r="O508" i="1"/>
  <c r="M504" i="1" s="1"/>
  <c r="X477" i="1"/>
  <c r="X479" i="1"/>
  <c r="I189" i="5"/>
  <c r="L189" i="5" s="1"/>
  <c r="O1773" i="246" s="1"/>
  <c r="R1773" i="246" s="1"/>
  <c r="R1515" i="1"/>
  <c r="M1522" i="1"/>
  <c r="R1522" i="1" s="1"/>
  <c r="R1532" i="1" s="1"/>
  <c r="I187" i="5"/>
  <c r="L187" i="5" s="1"/>
  <c r="O1771" i="246" s="1"/>
  <c r="R1771" i="246" s="1"/>
  <c r="R458" i="1"/>
  <c r="M1991" i="1"/>
  <c r="M477" i="1"/>
  <c r="O2158" i="1"/>
  <c r="R428" i="1"/>
  <c r="H62" i="187"/>
  <c r="I362" i="5"/>
  <c r="L362" i="5" s="1"/>
  <c r="O1637" i="246" s="1"/>
  <c r="O1666" i="1"/>
  <c r="U1666" i="1" s="1"/>
  <c r="R2015" i="1"/>
  <c r="M1965" i="1"/>
  <c r="R1965" i="1" s="1"/>
  <c r="X363" i="1"/>
  <c r="R861" i="1"/>
  <c r="G39" i="178"/>
  <c r="M1697" i="1"/>
  <c r="R1697" i="1" s="1"/>
  <c r="R967" i="1"/>
  <c r="U967" i="1"/>
  <c r="I382" i="5"/>
  <c r="L382" i="5" s="1"/>
  <c r="H74" i="167"/>
  <c r="O1942" i="1"/>
  <c r="I263" i="5"/>
  <c r="L263" i="5" s="1"/>
  <c r="J1207" i="246" s="1"/>
  <c r="N272" i="5"/>
  <c r="K1220" i="1" s="1"/>
  <c r="N256" i="5"/>
  <c r="H1220" i="1" s="1"/>
  <c r="I209" i="5"/>
  <c r="L209" i="5" s="1"/>
  <c r="O1815" i="246" s="1"/>
  <c r="R1815" i="246" s="1"/>
  <c r="O2250" i="1"/>
  <c r="R887" i="1"/>
  <c r="R892" i="1"/>
  <c r="R890" i="1"/>
  <c r="R891" i="1" s="1"/>
  <c r="R888" i="1"/>
  <c r="O429" i="1"/>
  <c r="O1546" i="1"/>
  <c r="O1553" i="1" s="1"/>
  <c r="I313" i="5"/>
  <c r="H54" i="167"/>
  <c r="O1941" i="1"/>
  <c r="I381" i="5"/>
  <c r="L381" i="5" s="1"/>
  <c r="N46" i="5"/>
  <c r="R2206" i="1"/>
  <c r="I346" i="5"/>
  <c r="L346" i="5" s="1"/>
  <c r="G24" i="229" s="1"/>
  <c r="I350" i="5"/>
  <c r="L350" i="5" s="1"/>
  <c r="L169" i="5"/>
  <c r="O504" i="246" s="1"/>
  <c r="U2160" i="1"/>
  <c r="R2160" i="1"/>
  <c r="H76" i="187"/>
  <c r="O1667" i="1"/>
  <c r="U1667" i="1" s="1"/>
  <c r="I363" i="5"/>
  <c r="L363" i="5" s="1"/>
  <c r="O1638" i="246" s="1"/>
  <c r="R997" i="1"/>
  <c r="R1004" i="1"/>
  <c r="R998" i="1"/>
  <c r="O2301" i="1"/>
  <c r="U2301" i="1" s="1"/>
  <c r="O1025" i="1"/>
  <c r="O375" i="1"/>
  <c r="U375" i="1" s="1"/>
  <c r="N343" i="5"/>
  <c r="R1580" i="1"/>
  <c r="O1665" i="1"/>
  <c r="U1665" i="1" s="1"/>
  <c r="I361" i="5"/>
  <c r="L361" i="5" s="1"/>
  <c r="O1636" i="246" s="1"/>
  <c r="H45" i="187"/>
  <c r="O2165" i="1"/>
  <c r="O358" i="1"/>
  <c r="R944" i="1"/>
  <c r="X456" i="1"/>
  <c r="U2178" i="1"/>
  <c r="R2178" i="1"/>
  <c r="M1636" i="1"/>
  <c r="R864" i="1" l="1"/>
  <c r="R831" i="1"/>
  <c r="R827" i="1"/>
  <c r="R866" i="1"/>
  <c r="R826" i="1"/>
  <c r="R830" i="1"/>
  <c r="R825" i="1"/>
  <c r="R865" i="1"/>
  <c r="R832" i="1"/>
  <c r="R828" i="1"/>
  <c r="R867" i="1"/>
  <c r="R833" i="1"/>
  <c r="R829" i="1"/>
  <c r="R824" i="1"/>
  <c r="X356" i="1"/>
  <c r="J1234" i="1"/>
  <c r="J1245" i="1"/>
  <c r="M1611" i="1"/>
  <c r="G28" i="229"/>
  <c r="O1590" i="1"/>
  <c r="H21" i="229"/>
  <c r="H1228" i="1"/>
  <c r="H1250" i="1" s="1"/>
  <c r="H1223" i="1"/>
  <c r="R1198" i="1"/>
  <c r="V1249" i="1"/>
  <c r="K1228" i="1"/>
  <c r="K1250" i="1" s="1"/>
  <c r="K1223" i="1"/>
  <c r="O1228" i="246"/>
  <c r="U1228" i="246" s="1"/>
  <c r="J1229" i="246"/>
  <c r="J1202" i="246"/>
  <c r="M1593" i="1"/>
  <c r="R1593" i="1" s="1"/>
  <c r="E263" i="4"/>
  <c r="R1770" i="1"/>
  <c r="O1596" i="1"/>
  <c r="U1596" i="1" s="1"/>
  <c r="O943" i="1"/>
  <c r="R943" i="1" s="1"/>
  <c r="R1764" i="1"/>
  <c r="R1765" i="1"/>
  <c r="R1769" i="1"/>
  <c r="R923" i="1"/>
  <c r="R925" i="1" s="1"/>
  <c r="X923" i="1"/>
  <c r="R1745" i="246"/>
  <c r="R1743" i="246"/>
  <c r="R1744" i="246"/>
  <c r="R1748" i="246"/>
  <c r="R1737" i="246"/>
  <c r="R1740" i="246"/>
  <c r="R1735" i="246"/>
  <c r="R1741" i="246"/>
  <c r="R1736" i="246"/>
  <c r="U428" i="246"/>
  <c r="O1564" i="246"/>
  <c r="R1564" i="246" s="1"/>
  <c r="O1582" i="246"/>
  <c r="R1979" i="246"/>
  <c r="R1978" i="246"/>
  <c r="R1975" i="246"/>
  <c r="R1991" i="246"/>
  <c r="R1982" i="246"/>
  <c r="R1980" i="246"/>
  <c r="R1994" i="246"/>
  <c r="R1981" i="246"/>
  <c r="R1993" i="246"/>
  <c r="R1990" i="246"/>
  <c r="R1996" i="246"/>
  <c r="R1976" i="246"/>
  <c r="R1995" i="246"/>
  <c r="R1974" i="246"/>
  <c r="R1983" i="246"/>
  <c r="R1998" i="246"/>
  <c r="R1997" i="246"/>
  <c r="R1984" i="246"/>
  <c r="R1977" i="246"/>
  <c r="S1637" i="246"/>
  <c r="R1637" i="246"/>
  <c r="R1936" i="246"/>
  <c r="R1962" i="246"/>
  <c r="O1967" i="246"/>
  <c r="R1967" i="246" s="1"/>
  <c r="S1636" i="246"/>
  <c r="R1636" i="246"/>
  <c r="R479" i="246"/>
  <c r="U479" i="246"/>
  <c r="R477" i="246"/>
  <c r="R1485" i="246"/>
  <c r="R1497" i="246"/>
  <c r="R1484" i="246"/>
  <c r="R1476" i="246"/>
  <c r="R1505" i="246"/>
  <c r="R1483" i="246"/>
  <c r="R1486" i="246"/>
  <c r="R1504" i="246"/>
  <c r="R1492" i="246"/>
  <c r="R1495" i="246"/>
  <c r="R1496" i="246" s="1"/>
  <c r="R1480" i="246"/>
  <c r="R1481" i="246"/>
  <c r="R1482" i="246"/>
  <c r="R1506" i="246"/>
  <c r="R1493" i="246"/>
  <c r="R1477" i="246"/>
  <c r="R1478" i="246"/>
  <c r="R1479" i="246"/>
  <c r="R1638" i="246"/>
  <c r="S1638" i="246"/>
  <c r="O1751" i="246"/>
  <c r="R1607" i="246"/>
  <c r="M1802" i="1"/>
  <c r="R1802" i="1" s="1"/>
  <c r="M1800" i="1"/>
  <c r="R1800" i="1" s="1"/>
  <c r="M2021" i="1"/>
  <c r="R2021" i="1" s="1"/>
  <c r="R863" i="1"/>
  <c r="E193" i="231"/>
  <c r="F193" i="231" s="1"/>
  <c r="G193" i="231" s="1"/>
  <c r="R1506" i="1"/>
  <c r="R1531" i="1"/>
  <c r="R1525" i="1"/>
  <c r="R2018" i="1"/>
  <c r="R2161" i="1"/>
  <c r="X530" i="1"/>
  <c r="G10" i="168"/>
  <c r="G12" i="168"/>
  <c r="M1844" i="1"/>
  <c r="R1844" i="1" s="1"/>
  <c r="G15" i="169"/>
  <c r="R529" i="1"/>
  <c r="R524" i="1"/>
  <c r="R528" i="1"/>
  <c r="R523" i="1"/>
  <c r="R532" i="1"/>
  <c r="R531" i="1"/>
  <c r="R525" i="1"/>
  <c r="L194" i="5"/>
  <c r="O1778" i="246" s="1"/>
  <c r="R1778" i="246" s="1"/>
  <c r="G403" i="5"/>
  <c r="G2" i="5" s="1"/>
  <c r="L193" i="5"/>
  <c r="O1777" i="246" s="1"/>
  <c r="R1777" i="246" s="1"/>
  <c r="U358" i="1"/>
  <c r="X508" i="1"/>
  <c r="V428" i="1"/>
  <c r="X429" i="1"/>
  <c r="R479" i="1"/>
  <c r="R2179" i="1"/>
  <c r="R2180" i="1"/>
  <c r="R2190" i="1"/>
  <c r="R2187" i="1"/>
  <c r="M1667" i="1"/>
  <c r="G76" i="187"/>
  <c r="I271" i="5"/>
  <c r="L271" i="5" s="1"/>
  <c r="K1207" i="246" s="1"/>
  <c r="R477" i="1"/>
  <c r="E285" i="4"/>
  <c r="E295" i="4"/>
  <c r="M1942" i="1"/>
  <c r="R1942" i="1" s="1"/>
  <c r="G74" i="167"/>
  <c r="U2158" i="1"/>
  <c r="R1991" i="1"/>
  <c r="M1996" i="1"/>
  <c r="R1996" i="1" s="1"/>
  <c r="N86" i="5"/>
  <c r="O373" i="1" s="1"/>
  <c r="R1636" i="1"/>
  <c r="I343" i="5"/>
  <c r="L343" i="5" s="1"/>
  <c r="R969" i="1"/>
  <c r="R968" i="1"/>
  <c r="R973" i="1"/>
  <c r="R974" i="1"/>
  <c r="R859" i="1"/>
  <c r="R834" i="1"/>
  <c r="R862" i="1"/>
  <c r="R860" i="1"/>
  <c r="G45" i="187"/>
  <c r="M1665" i="1"/>
  <c r="G54" i="167"/>
  <c r="M1941" i="1"/>
  <c r="R1941" i="1" s="1"/>
  <c r="N185" i="5"/>
  <c r="O2162" i="1"/>
  <c r="O1071" i="1"/>
  <c r="I255" i="5"/>
  <c r="L255" i="5" s="1"/>
  <c r="H1207" i="246" s="1"/>
  <c r="G62" i="187"/>
  <c r="M1666" i="1"/>
  <c r="R1513" i="1"/>
  <c r="R1512" i="1"/>
  <c r="R1511" i="1"/>
  <c r="R1510" i="1"/>
  <c r="R1514" i="1"/>
  <c r="R1521" i="1"/>
  <c r="R1509" i="1"/>
  <c r="R1508" i="1"/>
  <c r="R1507" i="1"/>
  <c r="R1520" i="1"/>
  <c r="R1505" i="1"/>
  <c r="R1504" i="1"/>
  <c r="R1534" i="1"/>
  <c r="R1523" i="1"/>
  <c r="R1524" i="1" s="1"/>
  <c r="R1533" i="1"/>
  <c r="R1196" i="1" l="1"/>
  <c r="R1191" i="1"/>
  <c r="R1254" i="1"/>
  <c r="R1197" i="1"/>
  <c r="R1193" i="1"/>
  <c r="R1255" i="1"/>
  <c r="R1195" i="1"/>
  <c r="R1190" i="1"/>
  <c r="R1253" i="1"/>
  <c r="R1192" i="1"/>
  <c r="R1194" i="1"/>
  <c r="R1256" i="1"/>
  <c r="R1200" i="1"/>
  <c r="R1199" i="1"/>
  <c r="R1252" i="1"/>
  <c r="R1611" i="1"/>
  <c r="R1251" i="1"/>
  <c r="R1235" i="1"/>
  <c r="R1248" i="1"/>
  <c r="R1238" i="1"/>
  <c r="R1207" i="1"/>
  <c r="R1245" i="1"/>
  <c r="R1224" i="1"/>
  <c r="R1210" i="1"/>
  <c r="R1225" i="1"/>
  <c r="R1217" i="1"/>
  <c r="R1234" i="1"/>
  <c r="R1241" i="1"/>
  <c r="R1232" i="1"/>
  <c r="R1211" i="1"/>
  <c r="R1250" i="1"/>
  <c r="R1229" i="1"/>
  <c r="R1231" i="1"/>
  <c r="R1228" i="1"/>
  <c r="R1213" i="1"/>
  <c r="R1246" i="1"/>
  <c r="R1242" i="1"/>
  <c r="R1227" i="1"/>
  <c r="R1202" i="1"/>
  <c r="R1223" i="1"/>
  <c r="R1236" i="1"/>
  <c r="R1218" i="1"/>
  <c r="R1201" i="1"/>
  <c r="R1249" i="1"/>
  <c r="R1205" i="1"/>
  <c r="R1204" i="1"/>
  <c r="R1214" i="1"/>
  <c r="R1233" i="1"/>
  <c r="R1212" i="1"/>
  <c r="R1206" i="1"/>
  <c r="R1215" i="1"/>
  <c r="R1203" i="1"/>
  <c r="R1239" i="1"/>
  <c r="R1226" i="1"/>
  <c r="R1222" i="1"/>
  <c r="R1216" i="1"/>
  <c r="R1240" i="1"/>
  <c r="R1219" i="1"/>
  <c r="R1247" i="1"/>
  <c r="R1209" i="1"/>
  <c r="R1244" i="1"/>
  <c r="R1230" i="1"/>
  <c r="R1243" i="1"/>
  <c r="R1221" i="1"/>
  <c r="R1220" i="1"/>
  <c r="R1208" i="1"/>
  <c r="R1237" i="1"/>
  <c r="K1234" i="1"/>
  <c r="K1245" i="1"/>
  <c r="E254" i="4"/>
  <c r="G21" i="229"/>
  <c r="H1234" i="1"/>
  <c r="H1245" i="1"/>
  <c r="R1198" i="246"/>
  <c r="K1229" i="246"/>
  <c r="K1202" i="246"/>
  <c r="H1229" i="246"/>
  <c r="H1202" i="246"/>
  <c r="J1224" i="246"/>
  <c r="J1213" i="246"/>
  <c r="J16" i="26"/>
  <c r="R901" i="1"/>
  <c r="R906" i="1"/>
  <c r="R929" i="1"/>
  <c r="R904" i="1"/>
  <c r="R928" i="1"/>
  <c r="R905" i="1"/>
  <c r="R922" i="1"/>
  <c r="R908" i="1"/>
  <c r="R907" i="1"/>
  <c r="R921" i="1"/>
  <c r="R903" i="1"/>
  <c r="R899" i="1"/>
  <c r="R900" i="1"/>
  <c r="R902" i="1"/>
  <c r="R927" i="1"/>
  <c r="R924" i="1"/>
  <c r="R898" i="1"/>
  <c r="R926" i="1"/>
  <c r="M1590" i="1"/>
  <c r="R1582" i="246"/>
  <c r="U477" i="246"/>
  <c r="R1751" i="246"/>
  <c r="O1561" i="246"/>
  <c r="U458" i="246"/>
  <c r="U530" i="246"/>
  <c r="R1965" i="246"/>
  <c r="R1953" i="246"/>
  <c r="R1971" i="246"/>
  <c r="R1958" i="246"/>
  <c r="R1968" i="246"/>
  <c r="R1956" i="246"/>
  <c r="R1954" i="246"/>
  <c r="R1961" i="246"/>
  <c r="R1959" i="246"/>
  <c r="R1952" i="246"/>
  <c r="R1957" i="246"/>
  <c r="R1951" i="246"/>
  <c r="R1966" i="246"/>
  <c r="R1955" i="246"/>
  <c r="R1973" i="246"/>
  <c r="R1960" i="246"/>
  <c r="R1970" i="246"/>
  <c r="R1972" i="246"/>
  <c r="R1969" i="246"/>
  <c r="O1798" i="1"/>
  <c r="M1807" i="1"/>
  <c r="R1807" i="1" s="1"/>
  <c r="M1806" i="1"/>
  <c r="R1806" i="1" s="1"/>
  <c r="R2005" i="1"/>
  <c r="R2023" i="1"/>
  <c r="R1982" i="1"/>
  <c r="R1998" i="1"/>
  <c r="E194" i="231"/>
  <c r="F194" i="231" s="1"/>
  <c r="G194" i="231" s="1"/>
  <c r="R2007" i="1"/>
  <c r="R2022" i="1"/>
  <c r="R2026" i="1"/>
  <c r="R2009" i="1"/>
  <c r="R2019" i="1"/>
  <c r="R2013" i="1"/>
  <c r="V479" i="1"/>
  <c r="R2011" i="1"/>
  <c r="R2025" i="1"/>
  <c r="R2006" i="1"/>
  <c r="R2024" i="1"/>
  <c r="R2004" i="1"/>
  <c r="R2027" i="1"/>
  <c r="R2008" i="1"/>
  <c r="R2012" i="1"/>
  <c r="R2020" i="1"/>
  <c r="R2003" i="1"/>
  <c r="R2010" i="1"/>
  <c r="R2191" i="1"/>
  <c r="R2188" i="1"/>
  <c r="M1780" i="1"/>
  <c r="V458" i="1" s="1"/>
  <c r="G16" i="168"/>
  <c r="G17" i="168"/>
  <c r="H8" i="168"/>
  <c r="R1666" i="1"/>
  <c r="S1666" i="1"/>
  <c r="R1665" i="1"/>
  <c r="S1665" i="1"/>
  <c r="R1667" i="1"/>
  <c r="S1667" i="1"/>
  <c r="E320" i="4"/>
  <c r="E315" i="4"/>
  <c r="U2162" i="1"/>
  <c r="V477" i="1"/>
  <c r="O979" i="1"/>
  <c r="O2291" i="1"/>
  <c r="O2286" i="1" s="1"/>
  <c r="X375" i="1"/>
  <c r="O361" i="1"/>
  <c r="I185" i="5"/>
  <c r="R1994" i="1"/>
  <c r="R1984" i="1"/>
  <c r="R1983" i="1"/>
  <c r="R1985" i="1"/>
  <c r="R2001" i="1"/>
  <c r="R1980" i="1"/>
  <c r="R1999" i="1"/>
  <c r="R2002" i="1"/>
  <c r="R1981" i="1"/>
  <c r="R1995" i="1"/>
  <c r="R2000" i="1"/>
  <c r="R1990" i="1"/>
  <c r="R1997" i="1"/>
  <c r="R1988" i="1"/>
  <c r="R1987" i="1"/>
  <c r="R1986" i="1"/>
  <c r="R1989" i="1"/>
  <c r="N186" i="5"/>
  <c r="J6" i="5" l="1"/>
  <c r="L6" i="5" s="1"/>
  <c r="M809" i="1" s="1"/>
  <c r="R809" i="1" s="1"/>
  <c r="J288" i="5"/>
  <c r="L288" i="5" s="1"/>
  <c r="R1192" i="246"/>
  <c r="R1194" i="246"/>
  <c r="R1235" i="246"/>
  <c r="R1195" i="246"/>
  <c r="R1190" i="246"/>
  <c r="R1200" i="246"/>
  <c r="R1197" i="246"/>
  <c r="R1193" i="246"/>
  <c r="R1234" i="246"/>
  <c r="R1196" i="246"/>
  <c r="R1191" i="246"/>
  <c r="R1233" i="246"/>
  <c r="R1219" i="246"/>
  <c r="R1199" i="246"/>
  <c r="J334" i="5"/>
  <c r="L334" i="5" s="1"/>
  <c r="M1602" i="1" s="1"/>
  <c r="R1602" i="1" s="1"/>
  <c r="J170" i="5"/>
  <c r="L170" i="5" s="1"/>
  <c r="J226" i="5"/>
  <c r="L226" i="5" s="1"/>
  <c r="R1205" i="246"/>
  <c r="R1210" i="246"/>
  <c r="R1227" i="246"/>
  <c r="R1224" i="246"/>
  <c r="R1228" i="246"/>
  <c r="R1211" i="246"/>
  <c r="R1208" i="246"/>
  <c r="R1204" i="246"/>
  <c r="R1232" i="246"/>
  <c r="R1222" i="246"/>
  <c r="R1201" i="246"/>
  <c r="R1225" i="246"/>
  <c r="R1220" i="246"/>
  <c r="R1213" i="246"/>
  <c r="R1217" i="246"/>
  <c r="R1230" i="246"/>
  <c r="R1229" i="246"/>
  <c r="R1226" i="246"/>
  <c r="R1221" i="246"/>
  <c r="R1209" i="246"/>
  <c r="R1207" i="246"/>
  <c r="R1206" i="246"/>
  <c r="R1218" i="246"/>
  <c r="R1214" i="246"/>
  <c r="R1202" i="246"/>
  <c r="R1215" i="246"/>
  <c r="R1223" i="246"/>
  <c r="R1203" i="246"/>
  <c r="R1216" i="246"/>
  <c r="R1212" i="246"/>
  <c r="R1231" i="246"/>
  <c r="K1224" i="246"/>
  <c r="K1213" i="246"/>
  <c r="H1213" i="246"/>
  <c r="H1224" i="246"/>
  <c r="J15" i="26"/>
  <c r="R1590" i="1"/>
  <c r="R1561" i="246"/>
  <c r="R1749" i="246"/>
  <c r="R1724" i="246"/>
  <c r="R1723" i="246"/>
  <c r="R1755" i="246"/>
  <c r="R1757" i="246"/>
  <c r="R1731" i="246"/>
  <c r="R1728" i="246"/>
  <c r="R1733" i="246"/>
  <c r="R1726" i="246"/>
  <c r="R1729" i="246"/>
  <c r="R1756" i="246"/>
  <c r="R1732" i="246"/>
  <c r="R1730" i="246"/>
  <c r="R1752" i="246"/>
  <c r="R1753" i="246"/>
  <c r="R1750" i="246"/>
  <c r="R1754" i="246"/>
  <c r="R1725" i="246"/>
  <c r="R1727" i="246"/>
  <c r="O1799" i="1"/>
  <c r="O1815" i="1" s="1"/>
  <c r="E195" i="231"/>
  <c r="F195" i="231" s="1"/>
  <c r="G195" i="231" s="1"/>
  <c r="R2189" i="1"/>
  <c r="V530" i="1"/>
  <c r="H9" i="168"/>
  <c r="H24" i="168" s="1"/>
  <c r="H28" i="168" s="1"/>
  <c r="H30" i="168" s="1"/>
  <c r="R1780" i="1"/>
  <c r="U373" i="1"/>
  <c r="R373" i="1"/>
  <c r="O466" i="1"/>
  <c r="O2190" i="1"/>
  <c r="R979" i="1"/>
  <c r="O975" i="1"/>
  <c r="I186" i="5"/>
  <c r="R2291" i="1"/>
  <c r="O2176" i="1"/>
  <c r="O1849" i="246" l="1"/>
  <c r="M1878" i="1"/>
  <c r="O1392" i="246"/>
  <c r="M1420" i="1"/>
  <c r="M1473" i="1"/>
  <c r="O426" i="246"/>
  <c r="M1429" i="1"/>
  <c r="S1429" i="1" s="1"/>
  <c r="M1424" i="1" s="1"/>
  <c r="O1401" i="246"/>
  <c r="S1401" i="246" s="1"/>
  <c r="O1396" i="246" s="1"/>
  <c r="M426" i="1"/>
  <c r="O809" i="246"/>
  <c r="R809" i="246" s="1"/>
  <c r="J232" i="5"/>
  <c r="L232" i="5" s="1"/>
  <c r="J139" i="5"/>
  <c r="L139" i="5" s="1"/>
  <c r="J303" i="5"/>
  <c r="L303" i="5" s="1"/>
  <c r="D427" i="246" s="1"/>
  <c r="J206" i="5"/>
  <c r="L206" i="5" s="1"/>
  <c r="O1812" i="246" s="1"/>
  <c r="R1812" i="246" s="1"/>
  <c r="J359" i="5"/>
  <c r="O1573" i="246"/>
  <c r="R1573" i="246" s="1"/>
  <c r="O505" i="246"/>
  <c r="O508" i="246" s="1"/>
  <c r="M505" i="1"/>
  <c r="M508" i="1" s="1"/>
  <c r="M456" i="1"/>
  <c r="O456" i="246"/>
  <c r="M1723" i="1"/>
  <c r="O1694" i="246"/>
  <c r="Y1878" i="1"/>
  <c r="R1878" i="1" s="1"/>
  <c r="W1849" i="246"/>
  <c r="R1849" i="246" s="1"/>
  <c r="J13" i="5"/>
  <c r="L13" i="5" s="1"/>
  <c r="O2135" i="246" s="1"/>
  <c r="R2135" i="246" s="1"/>
  <c r="J5" i="5"/>
  <c r="L5" i="5" s="1"/>
  <c r="U1797" i="1"/>
  <c r="O1819" i="1" s="1"/>
  <c r="X466" i="1" s="1"/>
  <c r="E196" i="231"/>
  <c r="F196" i="231" s="1"/>
  <c r="G196" i="231" s="1"/>
  <c r="R374" i="1"/>
  <c r="R1762" i="1"/>
  <c r="R1754" i="1"/>
  <c r="R1760" i="1"/>
  <c r="R1779" i="1"/>
  <c r="R1756" i="1"/>
  <c r="R1785" i="1"/>
  <c r="R1784" i="1"/>
  <c r="R1753" i="1"/>
  <c r="R1758" i="1"/>
  <c r="R1759" i="1"/>
  <c r="R1782" i="1"/>
  <c r="R1783" i="1"/>
  <c r="R1786" i="1"/>
  <c r="R1755" i="1"/>
  <c r="R1781" i="1"/>
  <c r="R1757" i="1"/>
  <c r="R1752" i="1"/>
  <c r="R1778" i="1"/>
  <c r="R1761" i="1"/>
  <c r="U975" i="1"/>
  <c r="O1007" i="1" s="1"/>
  <c r="R975" i="1"/>
  <c r="U2286" i="1"/>
  <c r="R2286" i="1"/>
  <c r="R1408" i="1" l="1"/>
  <c r="R1406" i="1" s="1"/>
  <c r="R1409" i="1"/>
  <c r="R1380" i="246"/>
  <c r="R1381" i="246"/>
  <c r="M1104" i="1"/>
  <c r="O1104" i="246"/>
  <c r="V426" i="1"/>
  <c r="R426" i="1"/>
  <c r="U426" i="246"/>
  <c r="R426" i="246"/>
  <c r="M2280" i="1"/>
  <c r="R2280" i="1" s="1"/>
  <c r="O2250" i="246"/>
  <c r="R2250" i="246" s="1"/>
  <c r="R1382" i="246"/>
  <c r="U1396" i="246"/>
  <c r="R1410" i="1"/>
  <c r="V1424" i="1"/>
  <c r="M427" i="1"/>
  <c r="R427" i="1" s="1"/>
  <c r="D427" i="1"/>
  <c r="C1499" i="1"/>
  <c r="M1491" i="1"/>
  <c r="M1496" i="1" s="1"/>
  <c r="C1490" i="1"/>
  <c r="O427" i="246"/>
  <c r="R427" i="246" s="1"/>
  <c r="M356" i="1"/>
  <c r="O357" i="246"/>
  <c r="M808" i="1"/>
  <c r="R808" i="1" s="1"/>
  <c r="O808" i="246"/>
  <c r="M1841" i="1"/>
  <c r="R1841" i="1" s="1"/>
  <c r="G12" i="169"/>
  <c r="U456" i="246"/>
  <c r="U508" i="246"/>
  <c r="V508" i="1"/>
  <c r="V456" i="1"/>
  <c r="M2165" i="1"/>
  <c r="R2165" i="1" s="1"/>
  <c r="M2158" i="1"/>
  <c r="O2128" i="246"/>
  <c r="E197" i="231"/>
  <c r="F197" i="231" s="1"/>
  <c r="G197" i="231" s="1"/>
  <c r="R2287" i="1"/>
  <c r="R2296" i="1"/>
  <c r="X373" i="1"/>
  <c r="R1007" i="1"/>
  <c r="R995" i="1"/>
  <c r="R994" i="1"/>
  <c r="R977" i="1"/>
  <c r="R976" i="1"/>
  <c r="R1433" i="1" l="1"/>
  <c r="R1435" i="1" s="1"/>
  <c r="R1437" i="1"/>
  <c r="R1405" i="246"/>
  <c r="R1406" i="246" s="1"/>
  <c r="R1409" i="246"/>
  <c r="R1436" i="1"/>
  <c r="R1434" i="1"/>
  <c r="R1408" i="246"/>
  <c r="R1407" i="246"/>
  <c r="R1444" i="246"/>
  <c r="R1447" i="246"/>
  <c r="R1451" i="246"/>
  <c r="R1445" i="246"/>
  <c r="R1446" i="246"/>
  <c r="R1448" i="246"/>
  <c r="R1449" i="246"/>
  <c r="R1443" i="246"/>
  <c r="R1450" i="246"/>
  <c r="R1370" i="246"/>
  <c r="R1373" i="246"/>
  <c r="R1479" i="1"/>
  <c r="R1476" i="1"/>
  <c r="R1477" i="1"/>
  <c r="R1407" i="1"/>
  <c r="R1473" i="1"/>
  <c r="R1400" i="1"/>
  <c r="R1478" i="1"/>
  <c r="R1403" i="1"/>
  <c r="R1404" i="1"/>
  <c r="R1401" i="1"/>
  <c r="R1405" i="1"/>
  <c r="R1475" i="1"/>
  <c r="R1399" i="1"/>
  <c r="R1471" i="1"/>
  <c r="R1474" i="1"/>
  <c r="R1398" i="1"/>
  <c r="R1402" i="1"/>
  <c r="R1472" i="1"/>
  <c r="R1375" i="246"/>
  <c r="R1376" i="246"/>
  <c r="R1378" i="246"/>
  <c r="R1372" i="246"/>
  <c r="R1379" i="246"/>
  <c r="R1374" i="246"/>
  <c r="R1377" i="246"/>
  <c r="R1371" i="246"/>
  <c r="R1104" i="246"/>
  <c r="S1104" i="246"/>
  <c r="O1101" i="246" s="1"/>
  <c r="R1101" i="246" s="1"/>
  <c r="S1104" i="1"/>
  <c r="M1101" i="1" s="1"/>
  <c r="R1101" i="1" s="1"/>
  <c r="R1104" i="1"/>
  <c r="R1404" i="246"/>
  <c r="R1399" i="246"/>
  <c r="R1389" i="246"/>
  <c r="R1403" i="246"/>
  <c r="R1387" i="246"/>
  <c r="R1384" i="246"/>
  <c r="R1386" i="246"/>
  <c r="R1396" i="246"/>
  <c r="R1390" i="246"/>
  <c r="R1392" i="246"/>
  <c r="R1395" i="246"/>
  <c r="R1394" i="246"/>
  <c r="R1401" i="246"/>
  <c r="R1400" i="246"/>
  <c r="R1385" i="246"/>
  <c r="R1397" i="246"/>
  <c r="R1398" i="246"/>
  <c r="R1383" i="246"/>
  <c r="R1422" i="1"/>
  <c r="R1412" i="1"/>
  <c r="R1423" i="1"/>
  <c r="R1411" i="1"/>
  <c r="R1415" i="1"/>
  <c r="R1420" i="1"/>
  <c r="R1426" i="1"/>
  <c r="R1413" i="1"/>
  <c r="R1417" i="1"/>
  <c r="R1418" i="1"/>
  <c r="R1425" i="1"/>
  <c r="R1431" i="1"/>
  <c r="R1414" i="1"/>
  <c r="R1429" i="1"/>
  <c r="R1428" i="1"/>
  <c r="R1427" i="1"/>
  <c r="R1424" i="1"/>
  <c r="R1432" i="1"/>
  <c r="R1491" i="1"/>
  <c r="R1474" i="246"/>
  <c r="O817" i="246"/>
  <c r="U357" i="246" s="1"/>
  <c r="R808" i="246"/>
  <c r="M817" i="1"/>
  <c r="V356" i="1" s="1"/>
  <c r="V427" i="1"/>
  <c r="R1496" i="1"/>
  <c r="S2128" i="246"/>
  <c r="R2128" i="246"/>
  <c r="R2129" i="246" s="1"/>
  <c r="S356" i="1"/>
  <c r="O260" i="1"/>
  <c r="M260" i="1" s="1"/>
  <c r="O259" i="246"/>
  <c r="S357" i="246"/>
  <c r="S2158" i="1"/>
  <c r="R2158" i="1"/>
  <c r="R2159" i="1" s="1"/>
  <c r="R957" i="1"/>
  <c r="R1009" i="1"/>
  <c r="E198" i="231"/>
  <c r="F198" i="231" s="1"/>
  <c r="G198" i="231" s="1"/>
  <c r="R2288" i="1"/>
  <c r="R2297" i="1"/>
  <c r="R1008" i="1"/>
  <c r="R962" i="1"/>
  <c r="R964" i="1"/>
  <c r="R958" i="1"/>
  <c r="R1005" i="1"/>
  <c r="R959" i="1"/>
  <c r="R956" i="1"/>
  <c r="R1013" i="1"/>
  <c r="R1010" i="1"/>
  <c r="R1012" i="1"/>
  <c r="R963" i="1"/>
  <c r="R1011" i="1"/>
  <c r="R960" i="1"/>
  <c r="R965" i="1"/>
  <c r="R966" i="1" s="1"/>
  <c r="R961" i="1"/>
  <c r="R955" i="1"/>
  <c r="R1006" i="1"/>
  <c r="R1411" i="246" l="1"/>
  <c r="R1416" i="246"/>
  <c r="R1417" i="246"/>
  <c r="R1412" i="246"/>
  <c r="R1414" i="246"/>
  <c r="R1410" i="246"/>
  <c r="R1418" i="246"/>
  <c r="R1413" i="246"/>
  <c r="R1415" i="246"/>
  <c r="R1444" i="1"/>
  <c r="R1445" i="1"/>
  <c r="R1446" i="1"/>
  <c r="R1439" i="1"/>
  <c r="R1442" i="1"/>
  <c r="R1441" i="1"/>
  <c r="R1438" i="1"/>
  <c r="R1440" i="1"/>
  <c r="R1443" i="1"/>
  <c r="R1102" i="1"/>
  <c r="R1106" i="1"/>
  <c r="R1103" i="1"/>
  <c r="R1107" i="1"/>
  <c r="R1103" i="246"/>
  <c r="R1107" i="246"/>
  <c r="R1102" i="246"/>
  <c r="R1106" i="246"/>
  <c r="U427" i="246"/>
  <c r="R1475" i="246"/>
  <c r="R1472" i="246"/>
  <c r="R1473" i="246"/>
  <c r="R1482" i="1"/>
  <c r="R1500" i="1"/>
  <c r="R1495" i="1"/>
  <c r="R1488" i="1"/>
  <c r="R1484" i="1"/>
  <c r="R1502" i="1"/>
  <c r="R1498" i="1"/>
  <c r="R1490" i="1"/>
  <c r="R1486" i="1"/>
  <c r="R1481" i="1"/>
  <c r="R1501" i="1"/>
  <c r="R1489" i="1"/>
  <c r="R1485" i="1"/>
  <c r="R1480" i="1"/>
  <c r="R1503" i="1"/>
  <c r="R1499" i="1"/>
  <c r="R1494" i="1"/>
  <c r="R1487" i="1"/>
  <c r="R1483" i="1"/>
  <c r="R1497" i="1"/>
  <c r="E199" i="231"/>
  <c r="F199" i="231" s="1"/>
  <c r="G199" i="231" s="1"/>
  <c r="R2298" i="1"/>
  <c r="R2299" i="1" s="1"/>
  <c r="R2300" i="1" s="1"/>
  <c r="E200" i="231" l="1"/>
  <c r="F200" i="231" s="1"/>
  <c r="G200" i="231" s="1"/>
  <c r="E201" i="231" l="1"/>
  <c r="F201" i="231" s="1"/>
  <c r="G201" i="231" s="1"/>
  <c r="E202" i="231" l="1"/>
  <c r="F202" i="231" s="1"/>
  <c r="G202" i="231" s="1"/>
  <c r="E203" i="231" l="1"/>
  <c r="F203" i="231" s="1"/>
  <c r="G203" i="231" s="1"/>
  <c r="E204" i="231" l="1"/>
  <c r="F204" i="231" s="1"/>
  <c r="G204" i="231" s="1"/>
  <c r="E205" i="231" l="1"/>
  <c r="F205" i="231" s="1"/>
  <c r="G205" i="231" s="1"/>
  <c r="E206" i="231" l="1"/>
  <c r="F206" i="231" s="1"/>
  <c r="G206" i="231" s="1"/>
  <c r="J149" i="5"/>
  <c r="L149" i="5" s="1"/>
  <c r="O1032" i="246" s="1"/>
  <c r="R1032" i="246" s="1"/>
  <c r="J142" i="5"/>
  <c r="L142" i="5" s="1"/>
  <c r="L185" i="5"/>
  <c r="J148" i="5"/>
  <c r="L148" i="5" s="1"/>
  <c r="O1031" i="246" s="1"/>
  <c r="R1031" i="246" s="1"/>
  <c r="J144" i="5"/>
  <c r="L144" i="5" s="1"/>
  <c r="O1027" i="246" s="1"/>
  <c r="R1027" i="246" s="1"/>
  <c r="M2104" i="246" l="1"/>
  <c r="H369" i="4"/>
  <c r="M2134" i="1"/>
  <c r="O2271" i="246"/>
  <c r="O1025" i="246"/>
  <c r="O376" i="246"/>
  <c r="O1769" i="246"/>
  <c r="M1798" i="1"/>
  <c r="R1798" i="1" s="1"/>
  <c r="J186" i="5"/>
  <c r="L186" i="5" s="1"/>
  <c r="O1770" i="246" s="1"/>
  <c r="R1770" i="246" s="1"/>
  <c r="J24" i="5"/>
  <c r="L24" i="5" s="1"/>
  <c r="E207" i="231"/>
  <c r="F207" i="231" s="1"/>
  <c r="G207" i="231" s="1"/>
  <c r="M1032" i="1"/>
  <c r="R1032" i="1" s="1"/>
  <c r="M1025" i="1"/>
  <c r="R1025" i="1" s="1"/>
  <c r="J196" i="5"/>
  <c r="L196" i="5" s="1"/>
  <c r="O1780" i="246" s="1"/>
  <c r="R1780" i="246" s="1"/>
  <c r="M1031" i="1"/>
  <c r="R1031" i="1" s="1"/>
  <c r="G8" i="168"/>
  <c r="J102" i="5"/>
  <c r="L102" i="5" s="1"/>
  <c r="L198" i="5"/>
  <c r="O1782" i="246" s="1"/>
  <c r="R1782" i="246" s="1"/>
  <c r="E275" i="4"/>
  <c r="J203" i="5"/>
  <c r="M1027" i="1"/>
  <c r="M2301" i="1"/>
  <c r="M375" i="1"/>
  <c r="O2219" i="246" l="1"/>
  <c r="R1025" i="246"/>
  <c r="O1071" i="246"/>
  <c r="R1071" i="246" s="1"/>
  <c r="R376" i="246"/>
  <c r="S376" i="246"/>
  <c r="S2271" i="246"/>
  <c r="R2271" i="246"/>
  <c r="R1769" i="246"/>
  <c r="M1809" i="1"/>
  <c r="R1809" i="1" s="1"/>
  <c r="M1811" i="1"/>
  <c r="R1811" i="1" s="1"/>
  <c r="M1799" i="1"/>
  <c r="R1799" i="1" s="1"/>
  <c r="E208" i="231"/>
  <c r="F208" i="231" s="1"/>
  <c r="G208" i="231" s="1"/>
  <c r="G19" i="168"/>
  <c r="E330" i="4"/>
  <c r="G9" i="168"/>
  <c r="M2250" i="1"/>
  <c r="G21" i="168"/>
  <c r="E340" i="4"/>
  <c r="E280" i="4"/>
  <c r="S2301" i="1"/>
  <c r="R2301" i="1"/>
  <c r="R1027" i="1"/>
  <c r="M1071" i="1"/>
  <c r="S375" i="1"/>
  <c r="R375" i="1"/>
  <c r="R1075" i="246" l="1"/>
  <c r="R1021" i="246"/>
  <c r="R1072" i="246"/>
  <c r="R1022" i="246"/>
  <c r="R1020" i="246"/>
  <c r="R1015" i="246"/>
  <c r="R1017" i="246"/>
  <c r="R1073" i="246"/>
  <c r="R1069" i="246"/>
  <c r="R1016" i="246"/>
  <c r="R1014" i="246"/>
  <c r="R1024" i="246"/>
  <c r="R1023" i="246"/>
  <c r="R1076" i="246"/>
  <c r="R1019" i="246"/>
  <c r="R1070" i="246"/>
  <c r="R1018" i="246"/>
  <c r="R1074" i="246"/>
  <c r="R1077" i="246"/>
  <c r="R377" i="246"/>
  <c r="U376" i="246"/>
  <c r="R2219" i="246"/>
  <c r="R1071" i="1"/>
  <c r="R1016" i="1" s="1"/>
  <c r="E209" i="231"/>
  <c r="F209" i="231" s="1"/>
  <c r="G209" i="231" s="1"/>
  <c r="R376" i="1"/>
  <c r="R2250" i="1"/>
  <c r="V375" i="1"/>
  <c r="R1018" i="1" l="1"/>
  <c r="R1076" i="1"/>
  <c r="R1072" i="1"/>
  <c r="R1073" i="1"/>
  <c r="R1014" i="1"/>
  <c r="R1070" i="1"/>
  <c r="R1015" i="1"/>
  <c r="R1020" i="1"/>
  <c r="R1017" i="1"/>
  <c r="R1022" i="1"/>
  <c r="R1077" i="1"/>
  <c r="R1024" i="1"/>
  <c r="R1074" i="1"/>
  <c r="R1019" i="1"/>
  <c r="R1069" i="1"/>
  <c r="R1023" i="1"/>
  <c r="R1021" i="1"/>
  <c r="R1075" i="1"/>
  <c r="E210" i="231"/>
  <c r="F210" i="231" s="1"/>
  <c r="G210" i="231" s="1"/>
  <c r="E211" i="231" l="1"/>
  <c r="F211" i="231" s="1"/>
  <c r="G211" i="231" s="1"/>
  <c r="E212" i="231" l="1"/>
  <c r="F212" i="231" s="1"/>
  <c r="G212" i="231" s="1"/>
  <c r="E213" i="231" l="1"/>
  <c r="F213" i="231" s="1"/>
  <c r="G213" i="231" s="1"/>
  <c r="J76" i="26"/>
  <c r="J195" i="5" s="1"/>
  <c r="L195" i="5" s="1"/>
  <c r="O1779" i="246" s="1"/>
  <c r="R1779" i="246" s="1"/>
  <c r="J77" i="26"/>
  <c r="M1808" i="1" l="1"/>
  <c r="R1808" i="1" s="1"/>
  <c r="E325" i="4"/>
  <c r="G18" i="168"/>
  <c r="E214" i="231"/>
  <c r="F214" i="231" s="1"/>
  <c r="G214" i="231" s="1"/>
  <c r="J47" i="26"/>
  <c r="J249" i="5" s="1"/>
  <c r="L249" i="5" s="1"/>
  <c r="J46" i="26"/>
  <c r="J155" i="5" s="1"/>
  <c r="L155" i="5" s="1"/>
  <c r="N109" i="5"/>
  <c r="O367" i="1" s="1"/>
  <c r="N280" i="5"/>
  <c r="M1220" i="1" s="1"/>
  <c r="O1293" i="246" l="1"/>
  <c r="M1321" i="1"/>
  <c r="O1303" i="246"/>
  <c r="M1331" i="1"/>
  <c r="M2265" i="1"/>
  <c r="R2265" i="1" s="1"/>
  <c r="O2235" i="246"/>
  <c r="R2235" i="246" s="1"/>
  <c r="O425" i="246"/>
  <c r="M425" i="1"/>
  <c r="M1228" i="1"/>
  <c r="M1250" i="1" s="1"/>
  <c r="M1223" i="1"/>
  <c r="O1220" i="1"/>
  <c r="O945" i="1"/>
  <c r="E215" i="231"/>
  <c r="F215" i="231" s="1"/>
  <c r="G215" i="231" s="1"/>
  <c r="J230" i="5"/>
  <c r="L230" i="5" s="1"/>
  <c r="J191" i="5"/>
  <c r="L191" i="5" s="1"/>
  <c r="I279" i="5"/>
  <c r="L279" i="5" s="1"/>
  <c r="M1207" i="246" s="1"/>
  <c r="O424" i="1"/>
  <c r="O2254" i="1"/>
  <c r="S1293" i="246" l="1"/>
  <c r="O1298" i="246" s="1"/>
  <c r="R1293" i="246"/>
  <c r="R425" i="1"/>
  <c r="R425" i="246"/>
  <c r="R1321" i="1"/>
  <c r="S1321" i="1"/>
  <c r="O1096" i="246"/>
  <c r="S1096" i="246" s="1"/>
  <c r="M1096" i="1"/>
  <c r="S1096" i="1" s="1"/>
  <c r="O1228" i="1"/>
  <c r="O1223" i="1"/>
  <c r="M1234" i="1"/>
  <c r="M1245" i="1"/>
  <c r="M1229" i="246"/>
  <c r="M1202" i="246"/>
  <c r="O1207" i="246"/>
  <c r="C1797" i="1"/>
  <c r="D478" i="1"/>
  <c r="D478" i="246"/>
  <c r="D466" i="1"/>
  <c r="C1768" i="246"/>
  <c r="D466" i="246"/>
  <c r="O1775" i="246"/>
  <c r="O466" i="246"/>
  <c r="O424" i="246"/>
  <c r="R424" i="246" s="1"/>
  <c r="M1804" i="1"/>
  <c r="E216" i="231"/>
  <c r="F216" i="231" s="1"/>
  <c r="G216" i="231" s="1"/>
  <c r="E305" i="4"/>
  <c r="G14" i="168"/>
  <c r="G24" i="168" s="1"/>
  <c r="G28" i="168" s="1"/>
  <c r="G30" i="168" s="1"/>
  <c r="M466" i="1"/>
  <c r="U367" i="1"/>
  <c r="R2254" i="1"/>
  <c r="O2244" i="1"/>
  <c r="M424" i="1"/>
  <c r="R424" i="1" s="1"/>
  <c r="R945" i="1"/>
  <c r="U1298" i="246" l="1"/>
  <c r="U1364" i="246"/>
  <c r="O1289" i="246"/>
  <c r="R1289" i="246" s="1"/>
  <c r="R1290" i="246" s="1"/>
  <c r="U425" i="246"/>
  <c r="M1326" i="1"/>
  <c r="V1392" i="1" s="1"/>
  <c r="M1317" i="1"/>
  <c r="R1317" i="1" s="1"/>
  <c r="X1223" i="1"/>
  <c r="X1231" i="1"/>
  <c r="O1234" i="1"/>
  <c r="O1245" i="1"/>
  <c r="V1245" i="1" s="1"/>
  <c r="X1228" i="1"/>
  <c r="O1250" i="1"/>
  <c r="V1250" i="1" s="1"/>
  <c r="M1213" i="246"/>
  <c r="M1224" i="246"/>
  <c r="O1229" i="246"/>
  <c r="U1229" i="246" s="1"/>
  <c r="O1202" i="246"/>
  <c r="X424" i="1"/>
  <c r="R466" i="246"/>
  <c r="R1775" i="246"/>
  <c r="O1786" i="246"/>
  <c r="R1790" i="246"/>
  <c r="S1768" i="246"/>
  <c r="O1790" i="246" s="1"/>
  <c r="U466" i="246" s="1"/>
  <c r="R1819" i="1"/>
  <c r="M1815" i="1"/>
  <c r="R1804" i="1"/>
  <c r="R466" i="1"/>
  <c r="E217" i="231"/>
  <c r="F217" i="231" s="1"/>
  <c r="G217" i="231" s="1"/>
  <c r="S1797" i="1"/>
  <c r="M1819" i="1" s="1"/>
  <c r="U2244" i="1"/>
  <c r="R1295" i="246" l="1"/>
  <c r="R1291" i="246"/>
  <c r="R1294" i="246"/>
  <c r="R1323" i="1"/>
  <c r="R1322" i="1"/>
  <c r="R1318" i="1"/>
  <c r="R1319" i="1"/>
  <c r="V1326" i="1"/>
  <c r="V425" i="1"/>
  <c r="O1224" i="246"/>
  <c r="U1232" i="246" s="1"/>
  <c r="U1202" i="246"/>
  <c r="O1213" i="246"/>
  <c r="R1793" i="246"/>
  <c r="R1794" i="246"/>
  <c r="R1759" i="246"/>
  <c r="R1764" i="246"/>
  <c r="R1766" i="246"/>
  <c r="R1762" i="246"/>
  <c r="R1795" i="246"/>
  <c r="R1796" i="246"/>
  <c r="R1767" i="246"/>
  <c r="R1765" i="246"/>
  <c r="R1791" i="246"/>
  <c r="R1789" i="246"/>
  <c r="R1763" i="246"/>
  <c r="R1760" i="246"/>
  <c r="R1761" i="246"/>
  <c r="R1792" i="246"/>
  <c r="R1758" i="246"/>
  <c r="R1768" i="246"/>
  <c r="R1788" i="246"/>
  <c r="R1817" i="1"/>
  <c r="R1796" i="1"/>
  <c r="R1790" i="1"/>
  <c r="R1788" i="1"/>
  <c r="R1797" i="1"/>
  <c r="R1825" i="1"/>
  <c r="R1820" i="1"/>
  <c r="R1789" i="1"/>
  <c r="R1822" i="1"/>
  <c r="R1794" i="1"/>
  <c r="R1792" i="1"/>
  <c r="R1791" i="1"/>
  <c r="R1824" i="1"/>
  <c r="R1821" i="1"/>
  <c r="R1787" i="1"/>
  <c r="R1818" i="1"/>
  <c r="R1823" i="1"/>
  <c r="R1795" i="1"/>
  <c r="R1793" i="1"/>
  <c r="E218" i="231"/>
  <c r="F218" i="231" s="1"/>
  <c r="G218" i="231" s="1"/>
  <c r="V466" i="1"/>
  <c r="U1224" i="246" l="1"/>
  <c r="V424" i="1"/>
  <c r="U424" i="246"/>
  <c r="E219" i="231"/>
  <c r="F219" i="231" s="1"/>
  <c r="G219" i="231" s="1"/>
  <c r="E220" i="231" l="1"/>
  <c r="F220" i="231" s="1"/>
  <c r="G220" i="231" s="1"/>
  <c r="N211" i="5"/>
  <c r="E221" i="231" l="1"/>
  <c r="F221" i="231" s="1"/>
  <c r="G221" i="231" s="1"/>
  <c r="O1846" i="1"/>
  <c r="H17" i="169"/>
  <c r="I211" i="5"/>
  <c r="L211" i="5" s="1"/>
  <c r="O1817" i="246" l="1"/>
  <c r="R1817" i="246" s="1"/>
  <c r="E222" i="231"/>
  <c r="F222" i="231" s="1"/>
  <c r="G222" i="231" s="1"/>
  <c r="M1846" i="1"/>
  <c r="R1846" i="1" s="1"/>
  <c r="G17" i="169"/>
  <c r="N367" i="5"/>
  <c r="N357" i="5"/>
  <c r="N183" i="5"/>
  <c r="H13" i="178" l="1"/>
  <c r="H19" i="178" s="1"/>
  <c r="H21" i="178" s="1"/>
  <c r="O1692" i="1"/>
  <c r="O1700" i="1" s="1"/>
  <c r="E223" i="231"/>
  <c r="F223" i="231" s="1"/>
  <c r="G223" i="231" s="1"/>
  <c r="H19" i="206"/>
  <c r="N344" i="5"/>
  <c r="H22" i="229" s="1"/>
  <c r="N359" i="5"/>
  <c r="N398" i="5"/>
  <c r="O536" i="1"/>
  <c r="I357" i="5"/>
  <c r="O1639" i="1"/>
  <c r="O1642" i="1" s="1"/>
  <c r="O438" i="1"/>
  <c r="O1966" i="1"/>
  <c r="O1973" i="1" s="1"/>
  <c r="I367" i="5"/>
  <c r="L367" i="5" s="1"/>
  <c r="O440" i="1"/>
  <c r="O476" i="1"/>
  <c r="H32" i="229" l="1"/>
  <c r="H34" i="229" s="1"/>
  <c r="O1591" i="1"/>
  <c r="O1577" i="1" s="1"/>
  <c r="U1577" i="1" s="1"/>
  <c r="O1617" i="1" s="1"/>
  <c r="C1935" i="246"/>
  <c r="C1964" i="1"/>
  <c r="D476" i="246"/>
  <c r="O1663" i="246"/>
  <c r="R1663" i="246" s="1"/>
  <c r="M1692" i="1"/>
  <c r="R1692" i="1" s="1"/>
  <c r="D476" i="1"/>
  <c r="M440" i="1"/>
  <c r="O440" i="246"/>
  <c r="G13" i="178"/>
  <c r="G19" i="178" s="1"/>
  <c r="G21" i="178" s="1"/>
  <c r="O1937" i="246"/>
  <c r="O476" i="246"/>
  <c r="E224" i="231"/>
  <c r="F224" i="231" s="1"/>
  <c r="G224" i="231" s="1"/>
  <c r="X476" i="1"/>
  <c r="H28" i="187"/>
  <c r="O439" i="1"/>
  <c r="I359" i="5"/>
  <c r="L359" i="5" s="1"/>
  <c r="O1660" i="1"/>
  <c r="X438" i="1"/>
  <c r="M1966" i="1"/>
  <c r="M476" i="1"/>
  <c r="X440" i="1"/>
  <c r="O1669" i="1"/>
  <c r="U1669" i="1" s="1"/>
  <c r="I398" i="5"/>
  <c r="L398" i="5" s="1"/>
  <c r="O1944" i="1"/>
  <c r="O1947" i="1" s="1"/>
  <c r="O475" i="1"/>
  <c r="I344" i="5"/>
  <c r="L344" i="5" s="1"/>
  <c r="O430" i="1"/>
  <c r="E257" i="4" l="1"/>
  <c r="G22" i="229"/>
  <c r="M1591" i="1"/>
  <c r="M1577" i="1" s="1"/>
  <c r="O1640" i="246"/>
  <c r="O475" i="246"/>
  <c r="O1631" i="246"/>
  <c r="O439" i="246"/>
  <c r="O1562" i="246"/>
  <c r="D1548" i="246" s="1"/>
  <c r="R440" i="246"/>
  <c r="R1937" i="246"/>
  <c r="O1944" i="246"/>
  <c r="R1944" i="246" s="1"/>
  <c r="R1662" i="246"/>
  <c r="O1671" i="246"/>
  <c r="R1671" i="246" s="1"/>
  <c r="R476" i="246"/>
  <c r="E225" i="231"/>
  <c r="F225" i="231" s="1"/>
  <c r="G225" i="231" s="1"/>
  <c r="O1664" i="1"/>
  <c r="U1660" i="1"/>
  <c r="O1672" i="1" s="1"/>
  <c r="X439" i="1" s="1"/>
  <c r="X475" i="1"/>
  <c r="G28" i="187"/>
  <c r="M439" i="1"/>
  <c r="M1660" i="1"/>
  <c r="X430" i="1"/>
  <c r="M1944" i="1"/>
  <c r="M1669" i="1"/>
  <c r="M475" i="1"/>
  <c r="R440" i="1"/>
  <c r="R1691" i="1"/>
  <c r="M1700" i="1"/>
  <c r="R1700" i="1" s="1"/>
  <c r="R476" i="1"/>
  <c r="M1973" i="1"/>
  <c r="R1973" i="1" s="1"/>
  <c r="R1975" i="1" s="1"/>
  <c r="R1966" i="1"/>
  <c r="R1926" i="246" l="1"/>
  <c r="R1929" i="246"/>
  <c r="R1925" i="246"/>
  <c r="R1928" i="246"/>
  <c r="R1927" i="246"/>
  <c r="R1930" i="246"/>
  <c r="R1591" i="1"/>
  <c r="D1577" i="1"/>
  <c r="U440" i="246"/>
  <c r="R475" i="246"/>
  <c r="R439" i="246"/>
  <c r="U476" i="246"/>
  <c r="R1676" i="246"/>
  <c r="R1656" i="246"/>
  <c r="R1658" i="246"/>
  <c r="R1669" i="246"/>
  <c r="R1673" i="246"/>
  <c r="R1672" i="246"/>
  <c r="R1653" i="246"/>
  <c r="R1655" i="246"/>
  <c r="R1654" i="246"/>
  <c r="R1657" i="246"/>
  <c r="R1670" i="246"/>
  <c r="R1674" i="246"/>
  <c r="R1652" i="246"/>
  <c r="R1651" i="246"/>
  <c r="R1677" i="246"/>
  <c r="R1661" i="246"/>
  <c r="R1660" i="246"/>
  <c r="R1675" i="246"/>
  <c r="R1659" i="246"/>
  <c r="R1562" i="246"/>
  <c r="O1548" i="246"/>
  <c r="S1631" i="246"/>
  <c r="R1631" i="246"/>
  <c r="O1635" i="246"/>
  <c r="R1947" i="246"/>
  <c r="R1946" i="246"/>
  <c r="R1945" i="246"/>
  <c r="R1942" i="246"/>
  <c r="R1933" i="246"/>
  <c r="R1934" i="246"/>
  <c r="R1949" i="246"/>
  <c r="R1932" i="246"/>
  <c r="R1943" i="246"/>
  <c r="R1950" i="246"/>
  <c r="R1931" i="246"/>
  <c r="R1935" i="246"/>
  <c r="R1948" i="246"/>
  <c r="R1640" i="246"/>
  <c r="S1640" i="246"/>
  <c r="S1577" i="1"/>
  <c r="R1577" i="1"/>
  <c r="R1682" i="1"/>
  <c r="R1702" i="1"/>
  <c r="E226" i="231"/>
  <c r="F226" i="231" s="1"/>
  <c r="G226" i="231" s="1"/>
  <c r="R1956" i="1"/>
  <c r="R1977" i="1"/>
  <c r="S1660" i="1"/>
  <c r="M1664" i="1"/>
  <c r="R1669" i="1"/>
  <c r="S1669" i="1"/>
  <c r="V440" i="1"/>
  <c r="R1972" i="1"/>
  <c r="R1960" i="1"/>
  <c r="R1963" i="1"/>
  <c r="R1957" i="1"/>
  <c r="R1961" i="1"/>
  <c r="R1958" i="1"/>
  <c r="R1979" i="1"/>
  <c r="R1978" i="1"/>
  <c r="R1954" i="1"/>
  <c r="R1964" i="1"/>
  <c r="R1974" i="1"/>
  <c r="R1971" i="1"/>
  <c r="R1962" i="1"/>
  <c r="R1959" i="1"/>
  <c r="R1976" i="1"/>
  <c r="R1955" i="1"/>
  <c r="V476" i="1"/>
  <c r="M1947" i="1"/>
  <c r="R1947" i="1" s="1"/>
  <c r="R1944" i="1"/>
  <c r="R1660" i="1"/>
  <c r="R1699" i="1"/>
  <c r="R1685" i="1"/>
  <c r="R1703" i="1"/>
  <c r="R1681" i="1"/>
  <c r="R1690" i="1"/>
  <c r="R1701" i="1"/>
  <c r="R1705" i="1"/>
  <c r="R1680" i="1"/>
  <c r="R1686" i="1"/>
  <c r="R1683" i="1"/>
  <c r="R1689" i="1"/>
  <c r="R1687" i="1"/>
  <c r="R1688" i="1"/>
  <c r="R1704" i="1"/>
  <c r="R1706" i="1"/>
  <c r="R1684" i="1"/>
  <c r="R1698" i="1"/>
  <c r="R475" i="1"/>
  <c r="R439" i="1"/>
  <c r="O1643" i="246" l="1"/>
  <c r="R1643" i="246" s="1"/>
  <c r="R1645" i="246" s="1"/>
  <c r="U475" i="246"/>
  <c r="S1548" i="246"/>
  <c r="R1548" i="246"/>
  <c r="R1578" i="1"/>
  <c r="R1579" i="1" s="1"/>
  <c r="R1594" i="1"/>
  <c r="R1595" i="1" s="1"/>
  <c r="R1930" i="1"/>
  <c r="R1949" i="1"/>
  <c r="E227" i="231"/>
  <c r="F227" i="231" s="1"/>
  <c r="G227" i="231" s="1"/>
  <c r="M1672" i="1"/>
  <c r="R1672" i="1" s="1"/>
  <c r="R1674" i="1" s="1"/>
  <c r="V475" i="1"/>
  <c r="R1946" i="1"/>
  <c r="R1945" i="1"/>
  <c r="R1929" i="1"/>
  <c r="R1950" i="1"/>
  <c r="R1936" i="1"/>
  <c r="R1952" i="1"/>
  <c r="R1938" i="1"/>
  <c r="R1932" i="1"/>
  <c r="R1928" i="1"/>
  <c r="R1934" i="1"/>
  <c r="R1933" i="1"/>
  <c r="R1951" i="1"/>
  <c r="R1937" i="1"/>
  <c r="R1953" i="1"/>
  <c r="R1935" i="1"/>
  <c r="R1948" i="1"/>
  <c r="R1931" i="1"/>
  <c r="R1623" i="246" l="1"/>
  <c r="R1624" i="246"/>
  <c r="R1642" i="246"/>
  <c r="R1622" i="246"/>
  <c r="R1626" i="246"/>
  <c r="R1625" i="246"/>
  <c r="R1629" i="246"/>
  <c r="R1650" i="246"/>
  <c r="U439" i="246"/>
  <c r="R1648" i="246"/>
  <c r="R1644" i="246"/>
  <c r="R1630" i="246"/>
  <c r="R1621" i="246"/>
  <c r="R1627" i="246"/>
  <c r="R1649" i="246"/>
  <c r="R1628" i="246"/>
  <c r="R1641" i="246"/>
  <c r="R1620" i="246"/>
  <c r="R1549" i="246"/>
  <c r="R1550" i="246" s="1"/>
  <c r="R1565" i="246"/>
  <c r="R1566" i="246" s="1"/>
  <c r="E228" i="231"/>
  <c r="F228" i="231" s="1"/>
  <c r="G228" i="231" s="1"/>
  <c r="R1679" i="1"/>
  <c r="R1651" i="1"/>
  <c r="R1657" i="1"/>
  <c r="R1658" i="1"/>
  <c r="R1653" i="1"/>
  <c r="R1655" i="1"/>
  <c r="R1650" i="1"/>
  <c r="R1673" i="1"/>
  <c r="R1678" i="1"/>
  <c r="R1654" i="1"/>
  <c r="R1659" i="1"/>
  <c r="R1652" i="1"/>
  <c r="R1670" i="1"/>
  <c r="R1677" i="1"/>
  <c r="V439" i="1"/>
  <c r="R1656" i="1"/>
  <c r="R1671" i="1"/>
  <c r="R1649" i="1"/>
  <c r="E229" i="231" l="1"/>
  <c r="F229" i="231" s="1"/>
  <c r="G229" i="231" s="1"/>
  <c r="E230" i="231" l="1"/>
  <c r="F230" i="231" s="1"/>
  <c r="G230" i="231" s="1"/>
  <c r="N35" i="5"/>
  <c r="E231" i="231" l="1"/>
  <c r="F231" i="231" s="1"/>
  <c r="G231" i="231" s="1"/>
  <c r="X2480" i="1" l="1"/>
  <c r="E232" i="231"/>
  <c r="F232" i="231" s="1"/>
  <c r="G232" i="231" s="1"/>
  <c r="U2307" i="1"/>
  <c r="E233" i="231" l="1"/>
  <c r="F233" i="231" s="1"/>
  <c r="G233" i="231" s="1"/>
  <c r="E234" i="231" l="1"/>
  <c r="F234" i="231" s="1"/>
  <c r="G234" i="231" s="1"/>
  <c r="N225" i="5"/>
  <c r="O1879" i="1" s="1"/>
  <c r="I221" i="5" l="1"/>
  <c r="Z1879" i="1"/>
  <c r="E235" i="231"/>
  <c r="F235" i="231" s="1"/>
  <c r="G235" i="231" s="1"/>
  <c r="O431" i="1"/>
  <c r="L221" i="5"/>
  <c r="M1891" i="1" s="1"/>
  <c r="O1882" i="1"/>
  <c r="O468" i="1"/>
  <c r="S1891" i="1" l="1"/>
  <c r="E236" i="231"/>
  <c r="F236" i="231" s="1"/>
  <c r="G236" i="231" s="1"/>
  <c r="M1887" i="1" l="1"/>
  <c r="V1887" i="1" s="1"/>
  <c r="W1858" i="246"/>
  <c r="D1858" i="246" s="1"/>
  <c r="E237" i="231"/>
  <c r="F237" i="231" s="1"/>
  <c r="G237" i="231" s="1"/>
  <c r="X468" i="1"/>
  <c r="X431" i="1"/>
  <c r="N160" i="5"/>
  <c r="X1882" i="1"/>
  <c r="Z1887" i="1" l="1"/>
  <c r="J22" i="26"/>
  <c r="J21" i="26"/>
  <c r="Y1887" i="1"/>
  <c r="E238" i="231"/>
  <c r="F238" i="231" s="1"/>
  <c r="G238" i="231" s="1"/>
  <c r="J162" i="5" l="1"/>
  <c r="L162" i="5" s="1"/>
  <c r="J174" i="5"/>
  <c r="L174" i="5" s="1"/>
  <c r="J227" i="5"/>
  <c r="L227" i="5" s="1"/>
  <c r="J331" i="5"/>
  <c r="L331" i="5" s="1"/>
  <c r="D1887" i="1"/>
  <c r="E239" i="231"/>
  <c r="F239" i="231" s="1"/>
  <c r="G239" i="231" s="1"/>
  <c r="M1742" i="1" l="1"/>
  <c r="R1745" i="1" s="1"/>
  <c r="O1713" i="246"/>
  <c r="M516" i="1"/>
  <c r="R519" i="1" s="1"/>
  <c r="O516" i="246"/>
  <c r="M457" i="1"/>
  <c r="O457" i="246"/>
  <c r="R457" i="246" s="1"/>
  <c r="G15" i="229"/>
  <c r="O1570" i="246"/>
  <c r="R1570" i="246" s="1"/>
  <c r="M1599" i="1"/>
  <c r="E240" i="231"/>
  <c r="F240" i="231" s="1"/>
  <c r="G240" i="231" s="1"/>
  <c r="R514" i="1" l="1"/>
  <c r="R513" i="1"/>
  <c r="R512" i="1"/>
  <c r="R511" i="1" s="1"/>
  <c r="R518" i="1"/>
  <c r="R517" i="1"/>
  <c r="R520" i="1"/>
  <c r="R1740" i="1"/>
  <c r="R1734" i="1"/>
  <c r="R1730" i="1"/>
  <c r="R1744" i="1"/>
  <c r="R1736" i="1"/>
  <c r="R1732" i="1"/>
  <c r="R1731" i="1"/>
  <c r="R1749" i="1"/>
  <c r="R1743" i="1"/>
  <c r="R1729" i="1"/>
  <c r="R1735" i="1"/>
  <c r="R1746" i="1"/>
  <c r="R1747" i="1"/>
  <c r="R1750" i="1"/>
  <c r="R1737" i="1"/>
  <c r="R1748" i="1"/>
  <c r="R1738" i="1"/>
  <c r="R1751" i="1"/>
  <c r="R1739" i="1"/>
  <c r="R1733" i="1"/>
  <c r="R457" i="1"/>
  <c r="R516" i="1"/>
  <c r="M519" i="1"/>
  <c r="R1713" i="246"/>
  <c r="R1716" i="246"/>
  <c r="O1716" i="246"/>
  <c r="U457" i="246" s="1"/>
  <c r="R516" i="246"/>
  <c r="O519" i="246"/>
  <c r="R519" i="246"/>
  <c r="R1742" i="1"/>
  <c r="M1745" i="1"/>
  <c r="V457" i="1" s="1"/>
  <c r="R1599" i="1"/>
  <c r="E241" i="231"/>
  <c r="F241" i="231" s="1"/>
  <c r="G241" i="231" s="1"/>
  <c r="R521" i="1" l="1"/>
  <c r="R522" i="1"/>
  <c r="U519" i="246"/>
  <c r="V519" i="1"/>
  <c r="R513" i="246"/>
  <c r="R514" i="246"/>
  <c r="R518" i="246"/>
  <c r="R512" i="246"/>
  <c r="R511" i="246" s="1"/>
  <c r="R517" i="246"/>
  <c r="R520" i="246"/>
  <c r="R1711" i="246"/>
  <c r="R1702" i="246"/>
  <c r="R1721" i="246"/>
  <c r="R1708" i="246"/>
  <c r="R1700" i="246"/>
  <c r="R1710" i="246"/>
  <c r="R1715" i="246"/>
  <c r="R1703" i="246"/>
  <c r="R1719" i="246"/>
  <c r="R1709" i="246"/>
  <c r="R1704" i="246"/>
  <c r="R1717" i="246"/>
  <c r="R1718" i="246"/>
  <c r="R1722" i="246"/>
  <c r="R1705" i="246"/>
  <c r="R1707" i="246"/>
  <c r="R1714" i="246"/>
  <c r="R1720" i="246"/>
  <c r="R1701" i="246"/>
  <c r="R1706" i="246"/>
  <c r="E242" i="231"/>
  <c r="F242" i="231" s="1"/>
  <c r="G242" i="231" s="1"/>
  <c r="R522" i="246" l="1"/>
  <c r="R521" i="246"/>
  <c r="E243" i="231"/>
  <c r="F243" i="231" s="1"/>
  <c r="G243" i="231" s="1"/>
  <c r="E244" i="231" l="1"/>
  <c r="F244" i="231" s="1"/>
  <c r="G244" i="231" s="1"/>
  <c r="E245" i="231" l="1"/>
  <c r="F245" i="231" s="1"/>
  <c r="G245" i="231" s="1"/>
  <c r="E246" i="231" l="1"/>
  <c r="F246" i="231" s="1"/>
  <c r="G246" i="231" s="1"/>
  <c r="E247" i="231" l="1"/>
  <c r="F247" i="231" s="1"/>
  <c r="G247" i="231" s="1"/>
  <c r="E248" i="231" l="1"/>
  <c r="F248" i="231" s="1"/>
  <c r="G248" i="231" s="1"/>
  <c r="E249" i="231" l="1"/>
  <c r="F249" i="231" s="1"/>
  <c r="G249" i="231" s="1"/>
  <c r="E250" i="231" l="1"/>
  <c r="F250" i="231" s="1"/>
  <c r="G250" i="231" s="1"/>
  <c r="E251" i="231" l="1"/>
  <c r="F251" i="231" s="1"/>
  <c r="G251" i="231" s="1"/>
  <c r="E252" i="231" l="1"/>
  <c r="F252" i="231" s="1"/>
  <c r="G252" i="231" s="1"/>
  <c r="E253" i="231" l="1"/>
  <c r="F253" i="231" s="1"/>
  <c r="G253" i="231" s="1"/>
  <c r="E254" i="231" l="1"/>
  <c r="F254" i="231" s="1"/>
  <c r="G254" i="231" s="1"/>
  <c r="E255" i="231" l="1"/>
  <c r="F255" i="231" s="1"/>
  <c r="G255" i="231" s="1"/>
  <c r="E256" i="231" l="1"/>
  <c r="F256" i="231" l="1"/>
  <c r="E258" i="231"/>
  <c r="F258" i="231" l="1"/>
  <c r="G256" i="231"/>
  <c r="E403" i="136"/>
  <c r="D2" i="136" s="1"/>
  <c r="H2" i="136" s="1"/>
  <c r="I403" i="136" l="1"/>
  <c r="I2" i="136" s="1"/>
  <c r="M365" i="1"/>
  <c r="F35" i="5"/>
  <c r="S365" i="1" l="1"/>
  <c r="F403" i="5"/>
  <c r="F2" i="5" s="1"/>
  <c r="K2" i="5" s="1"/>
  <c r="L35" i="5"/>
  <c r="R2276" i="246" l="1"/>
  <c r="U2450" i="246" l="1"/>
  <c r="R2277" i="246"/>
  <c r="W2277" i="246"/>
  <c r="D2277" i="246" s="1"/>
  <c r="S2277" i="246"/>
  <c r="R2307" i="1"/>
  <c r="R2306" i="1"/>
  <c r="V2644" i="1"/>
  <c r="Z2307" i="1"/>
  <c r="R2282" i="246"/>
  <c r="V2480" i="1"/>
  <c r="S2307" i="1"/>
  <c r="Y2307" i="1"/>
  <c r="D2307" i="1" l="1"/>
  <c r="R2280" i="246"/>
  <c r="R2283" i="246"/>
  <c r="R2281" i="246"/>
  <c r="R2312" i="1"/>
  <c r="R2311" i="1" l="1"/>
  <c r="R2313" i="1"/>
  <c r="R2310" i="1"/>
  <c r="J90" i="26" l="1"/>
  <c r="J91" i="26" l="1"/>
  <c r="N236" i="5" l="1"/>
  <c r="O1115" i="1" s="1"/>
  <c r="U1115" i="1" s="1"/>
  <c r="N44" i="5" l="1"/>
  <c r="O941" i="1" l="1"/>
  <c r="O948" i="1" s="1"/>
  <c r="X948" i="1" s="1"/>
  <c r="O2198" i="1"/>
  <c r="O365" i="1"/>
  <c r="U365" i="1" l="1"/>
  <c r="R365" i="1"/>
  <c r="O2192" i="1"/>
  <c r="R2198" i="1"/>
  <c r="R941" i="1"/>
  <c r="R948" i="1"/>
  <c r="R950" i="1" s="1"/>
  <c r="O371" i="1" l="1"/>
  <c r="O379" i="1"/>
  <c r="R366" i="1"/>
  <c r="R932" i="1"/>
  <c r="R952" i="1"/>
  <c r="R933" i="1"/>
  <c r="R938" i="1"/>
  <c r="R934" i="1"/>
  <c r="R940" i="1"/>
  <c r="R953" i="1"/>
  <c r="R946" i="1"/>
  <c r="R935" i="1"/>
  <c r="R949" i="1"/>
  <c r="R951" i="1"/>
  <c r="R936" i="1"/>
  <c r="R930" i="1"/>
  <c r="R947" i="1"/>
  <c r="R937" i="1"/>
  <c r="R931" i="1"/>
  <c r="R939" i="1"/>
  <c r="R954" i="1"/>
  <c r="R2192" i="1"/>
  <c r="U2192" i="1"/>
  <c r="O2225" i="1" l="1"/>
  <c r="O2241" i="1"/>
  <c r="O2304" i="1"/>
  <c r="O2299" i="1"/>
  <c r="O2284" i="1"/>
  <c r="O2312" i="1"/>
  <c r="R2222" i="1"/>
  <c r="R2193" i="1"/>
  <c r="X2241" i="1" l="1"/>
  <c r="R2194" i="1"/>
  <c r="N229" i="5" l="1"/>
  <c r="I229" i="5" l="1"/>
  <c r="L229" i="5" s="1"/>
  <c r="O1122" i="1"/>
  <c r="X1184" i="1" s="1"/>
  <c r="O1092" i="1"/>
  <c r="U1092" i="1" s="1"/>
  <c r="D1127" i="1" l="1"/>
  <c r="D1127" i="246"/>
  <c r="I19" i="89"/>
  <c r="O252" i="246"/>
  <c r="O253" i="1"/>
  <c r="M253" i="1" s="1"/>
  <c r="M1122" i="1"/>
  <c r="V1184" i="1" s="1"/>
  <c r="O1122" i="246"/>
  <c r="U1184" i="246" s="1"/>
  <c r="R1088" i="246"/>
  <c r="R1088" i="1"/>
  <c r="R1127" i="1" s="1"/>
  <c r="O1092" i="246"/>
  <c r="S1092" i="246" s="1"/>
  <c r="M1092" i="1"/>
  <c r="S1092" i="1" s="1"/>
  <c r="R1127" i="246" l="1"/>
  <c r="V1092" i="1"/>
  <c r="R1131" i="246"/>
  <c r="R1123" i="246"/>
  <c r="R1119" i="246"/>
  <c r="R1115" i="246"/>
  <c r="R1099" i="246"/>
  <c r="R1094" i="246"/>
  <c r="R1090" i="246"/>
  <c r="R1130" i="246"/>
  <c r="R1126" i="246"/>
  <c r="R1122" i="246"/>
  <c r="R1118" i="246"/>
  <c r="R1098" i="246"/>
  <c r="R1093" i="246"/>
  <c r="R1089" i="246"/>
  <c r="R1128" i="246"/>
  <c r="R1120" i="246"/>
  <c r="R1116" i="246"/>
  <c r="R1095" i="246"/>
  <c r="R1129" i="246"/>
  <c r="R1125" i="246"/>
  <c r="R1121" i="246"/>
  <c r="R1117" i="246"/>
  <c r="R1096" i="246"/>
  <c r="R1092" i="246"/>
  <c r="R1087" i="246"/>
  <c r="R1124" i="246"/>
  <c r="R1100" i="246"/>
  <c r="R1091" i="246"/>
  <c r="R1086" i="246"/>
  <c r="R1129" i="1"/>
  <c r="R1125" i="1"/>
  <c r="R1121" i="1"/>
  <c r="R1117" i="1"/>
  <c r="R1096" i="1"/>
  <c r="R1092" i="1"/>
  <c r="R1087" i="1"/>
  <c r="R1093" i="1"/>
  <c r="R1128" i="1"/>
  <c r="R1124" i="1"/>
  <c r="R1120" i="1"/>
  <c r="R1116" i="1"/>
  <c r="R1100" i="1"/>
  <c r="R1095" i="1"/>
  <c r="R1091" i="1"/>
  <c r="R1086" i="1"/>
  <c r="R1130" i="1"/>
  <c r="R1122" i="1"/>
  <c r="R1098" i="1"/>
  <c r="R1131" i="1"/>
  <c r="R1123" i="1"/>
  <c r="R1119" i="1"/>
  <c r="R1115" i="1"/>
  <c r="R1099" i="1"/>
  <c r="R1094" i="1"/>
  <c r="R1090" i="1"/>
  <c r="R1126" i="1"/>
  <c r="R1118" i="1"/>
  <c r="R1089" i="1"/>
  <c r="R1083" i="1"/>
  <c r="R1078" i="1"/>
  <c r="R1084" i="1"/>
  <c r="R1079" i="1"/>
  <c r="R1080" i="1"/>
  <c r="R1082" i="1"/>
  <c r="R1085" i="1"/>
  <c r="R1081" i="1"/>
  <c r="R1084" i="246"/>
  <c r="R1079" i="246"/>
  <c r="R1085" i="246"/>
  <c r="R1081" i="246"/>
  <c r="R1083" i="246"/>
  <c r="R1078" i="246"/>
  <c r="R1080" i="246"/>
  <c r="R1082" i="246"/>
  <c r="I20" i="89"/>
  <c r="N235" i="5"/>
  <c r="O1123" i="1" s="1"/>
  <c r="I235" i="5" l="1"/>
  <c r="L235" i="5" s="1"/>
  <c r="J19" i="89" s="1"/>
  <c r="K19" i="89" s="1"/>
  <c r="O1093" i="1"/>
  <c r="U1093" i="1" s="1"/>
  <c r="O1118" i="1" s="1"/>
  <c r="O423" i="1"/>
  <c r="O420" i="1" s="1"/>
  <c r="U420" i="1" s="1"/>
  <c r="O1123" i="246" l="1"/>
  <c r="M1123" i="1"/>
  <c r="O1093" i="246"/>
  <c r="S1093" i="246" s="1"/>
  <c r="O1118" i="246" s="1"/>
  <c r="M1093" i="1"/>
  <c r="S1093" i="1" s="1"/>
  <c r="M1118" i="1" s="1"/>
  <c r="O423" i="246"/>
  <c r="R423" i="246" s="1"/>
  <c r="M423" i="1"/>
  <c r="O1089" i="1"/>
  <c r="O1100" i="1" s="1"/>
  <c r="O249" i="246"/>
  <c r="O250" i="1"/>
  <c r="M250" i="1" s="1"/>
  <c r="V1093" i="1" l="1"/>
  <c r="M1089" i="1"/>
  <c r="M1100" i="1" s="1"/>
  <c r="O1089" i="246"/>
  <c r="O1100" i="246" s="1"/>
  <c r="R423" i="1"/>
  <c r="J20" i="89"/>
  <c r="K20" i="89"/>
  <c r="V1089" i="1" l="1"/>
  <c r="X1118" i="1"/>
  <c r="X423" i="1"/>
  <c r="N203" i="5"/>
  <c r="V1118" i="1" l="1"/>
  <c r="V423" i="1"/>
  <c r="U1118" i="246"/>
  <c r="U423" i="246"/>
  <c r="H9" i="169"/>
  <c r="O1838" i="1"/>
  <c r="I203" i="5"/>
  <c r="L203" i="5" l="1"/>
  <c r="O1809" i="246" s="1"/>
  <c r="R1809" i="246" s="1"/>
  <c r="G9" i="169" l="1"/>
  <c r="M1838" i="1"/>
  <c r="R1838" i="1" s="1"/>
  <c r="G369" i="4"/>
  <c r="O2104" i="246"/>
  <c r="R2104" i="246" s="1"/>
  <c r="O2134" i="1"/>
  <c r="R2134" i="1" s="1"/>
  <c r="N386" i="5"/>
  <c r="O2040" i="1" s="1"/>
  <c r="O2048" i="1" s="1"/>
  <c r="C2100" i="246" l="1"/>
  <c r="C2099" i="246"/>
  <c r="C2130" i="1"/>
  <c r="C2129" i="1"/>
  <c r="R2101" i="246"/>
  <c r="R2102" i="246" s="1"/>
  <c r="R2131" i="1"/>
  <c r="R2132" i="1" s="1"/>
  <c r="O441" i="1"/>
  <c r="I385" i="5"/>
  <c r="L385" i="5" s="1"/>
  <c r="O480" i="1"/>
  <c r="O2010" i="246" l="1"/>
  <c r="M2039" i="1"/>
  <c r="O435" i="1"/>
  <c r="U435" i="1" s="1"/>
  <c r="O447" i="1" s="1"/>
  <c r="X441" i="1"/>
  <c r="O472" i="1"/>
  <c r="U472" i="1" s="1"/>
  <c r="X480" i="1"/>
  <c r="N157" i="5"/>
  <c r="R2039" i="1" l="1"/>
  <c r="Y2039" i="1"/>
  <c r="V2039" i="1"/>
  <c r="Z2039" i="1"/>
  <c r="W2010" i="246"/>
  <c r="D2010" i="246" s="1"/>
  <c r="R2010" i="246"/>
  <c r="O2314" i="1"/>
  <c r="O381" i="1"/>
  <c r="O384" i="1" s="1"/>
  <c r="X384" i="1" s="1"/>
  <c r="O459" i="1"/>
  <c r="I183" i="5"/>
  <c r="Q3" i="5"/>
  <c r="D2039" i="1" l="1"/>
  <c r="U2314" i="1"/>
  <c r="O2317" i="1" s="1"/>
  <c r="X2317" i="1" s="1"/>
  <c r="L183" i="5"/>
  <c r="O453" i="1"/>
  <c r="U453" i="1" s="1"/>
  <c r="O536" i="246" l="1"/>
  <c r="O537" i="1"/>
  <c r="X387" i="1"/>
  <c r="O541" i="1" l="1"/>
  <c r="X462" i="1" l="1"/>
  <c r="M536" i="1"/>
  <c r="X459" i="1"/>
  <c r="N202" i="5" l="1"/>
  <c r="A403" i="5"/>
  <c r="I202" i="5" l="1"/>
  <c r="O1837" i="1"/>
  <c r="O1856" i="1" s="1"/>
  <c r="H8" i="169"/>
  <c r="H26" i="169" s="1"/>
  <c r="H28" i="169" s="1"/>
  <c r="O467" i="1"/>
  <c r="O463" i="1" s="1"/>
  <c r="U463" i="1" s="1"/>
  <c r="O486" i="1" s="1"/>
  <c r="N403" i="5"/>
  <c r="N2" i="5" s="1"/>
  <c r="X447" i="1" l="1"/>
  <c r="I403" i="5"/>
  <c r="X467" i="1"/>
  <c r="X2" i="1" l="1"/>
  <c r="Q226" i="1" l="1"/>
  <c r="Q291" i="1" l="1"/>
  <c r="O75" i="1" s="1"/>
  <c r="J23" i="5" l="1"/>
  <c r="C534" i="246"/>
  <c r="L23" i="5" l="1"/>
  <c r="J24" i="26" l="1"/>
  <c r="J25" i="26"/>
  <c r="J138" i="5" s="1"/>
  <c r="L138" i="5" s="1"/>
  <c r="O368" i="246" l="1"/>
  <c r="M367" i="1"/>
  <c r="O2249" i="246"/>
  <c r="M2279" i="1"/>
  <c r="J386" i="5"/>
  <c r="L386" i="5" s="1"/>
  <c r="J313" i="5"/>
  <c r="L313" i="5" s="1"/>
  <c r="C1545" i="1" s="1"/>
  <c r="J157" i="5"/>
  <c r="L157" i="5" s="1"/>
  <c r="F484" i="26"/>
  <c r="J20" i="26"/>
  <c r="J357" i="5" s="1"/>
  <c r="L357" i="5" s="1"/>
  <c r="O2011" i="246" l="1"/>
  <c r="M2040" i="1"/>
  <c r="S367" i="1"/>
  <c r="R367" i="1"/>
  <c r="R368" i="1" s="1"/>
  <c r="R368" i="246"/>
  <c r="R369" i="246" s="1"/>
  <c r="S368" i="246"/>
  <c r="R2279" i="1"/>
  <c r="M2244" i="1"/>
  <c r="R2249" i="246"/>
  <c r="O2214" i="246"/>
  <c r="O438" i="246"/>
  <c r="G19" i="206"/>
  <c r="M1639" i="1"/>
  <c r="O1610" i="246"/>
  <c r="M438" i="1"/>
  <c r="J160" i="5"/>
  <c r="L160" i="5" s="1"/>
  <c r="O2284" i="246" s="1"/>
  <c r="J335" i="5"/>
  <c r="L335" i="5" s="1"/>
  <c r="O441" i="246"/>
  <c r="U441" i="246" s="1"/>
  <c r="O480" i="246"/>
  <c r="M480" i="1"/>
  <c r="V480" i="1" s="1"/>
  <c r="M441" i="1"/>
  <c r="V441" i="1" s="1"/>
  <c r="C1517" i="246"/>
  <c r="M429" i="1"/>
  <c r="F237" i="4"/>
  <c r="D429" i="1"/>
  <c r="M1546" i="1"/>
  <c r="D429" i="246"/>
  <c r="O1518" i="246"/>
  <c r="O429" i="246"/>
  <c r="I484" i="26"/>
  <c r="F8" i="26" s="1"/>
  <c r="D8" i="26" s="1"/>
  <c r="J19" i="26"/>
  <c r="F486" i="26"/>
  <c r="F9" i="26" s="1"/>
  <c r="R2040" i="1" l="1"/>
  <c r="M2048" i="1"/>
  <c r="R2011" i="246"/>
  <c r="O2019" i="246"/>
  <c r="O472" i="246"/>
  <c r="S472" i="246" s="1"/>
  <c r="U480" i="246"/>
  <c r="S2214" i="246"/>
  <c r="R2214" i="246"/>
  <c r="S2244" i="1"/>
  <c r="R2244" i="1"/>
  <c r="O435" i="246"/>
  <c r="S435" i="246" s="1"/>
  <c r="R1610" i="246"/>
  <c r="O1613" i="246"/>
  <c r="R1613" i="246" s="1"/>
  <c r="M1642" i="1"/>
  <c r="R1642" i="1" s="1"/>
  <c r="R1639" i="1"/>
  <c r="R438" i="1"/>
  <c r="R438" i="246"/>
  <c r="J202" i="5"/>
  <c r="L202" i="5" s="1"/>
  <c r="M1837" i="1" s="1"/>
  <c r="R1837" i="1" s="1"/>
  <c r="J26" i="5"/>
  <c r="L26" i="5" s="1"/>
  <c r="M459" i="1" s="1"/>
  <c r="Y459" i="1" s="1"/>
  <c r="M2314" i="1"/>
  <c r="M381" i="1"/>
  <c r="O382" i="246"/>
  <c r="S2284" i="246"/>
  <c r="M1603" i="1"/>
  <c r="R1603" i="1" s="1"/>
  <c r="O1574" i="246"/>
  <c r="R1574" i="246" s="1"/>
  <c r="M472" i="1"/>
  <c r="R472" i="1" s="1"/>
  <c r="R441" i="246"/>
  <c r="M435" i="1"/>
  <c r="S435" i="1" s="1"/>
  <c r="R480" i="1"/>
  <c r="R480" i="246"/>
  <c r="R441" i="1"/>
  <c r="R429" i="246"/>
  <c r="R1546" i="1"/>
  <c r="M1553" i="1"/>
  <c r="R1553" i="1" s="1"/>
  <c r="O1525" i="246"/>
  <c r="R1525" i="246" s="1"/>
  <c r="R1518" i="246"/>
  <c r="R429" i="1"/>
  <c r="J225" i="5"/>
  <c r="L225" i="5" s="1"/>
  <c r="J340" i="5"/>
  <c r="R472" i="246" l="1"/>
  <c r="W2019" i="246"/>
  <c r="R2019" i="246"/>
  <c r="Y2048" i="1"/>
  <c r="R2048" i="1"/>
  <c r="Z2048" i="1"/>
  <c r="Y2038" i="1"/>
  <c r="Z2038" i="1"/>
  <c r="O1892" i="246"/>
  <c r="S1892" i="246" s="1"/>
  <c r="O1876" i="246"/>
  <c r="M1905" i="1"/>
  <c r="M1921" i="1"/>
  <c r="S1921" i="1" s="1"/>
  <c r="O1850" i="246"/>
  <c r="O1853" i="246" s="1"/>
  <c r="M1879" i="1"/>
  <c r="M1882" i="1" s="1"/>
  <c r="R435" i="246"/>
  <c r="R436" i="246" s="1"/>
  <c r="R2245" i="1"/>
  <c r="R2246" i="1" s="1"/>
  <c r="R2281" i="1"/>
  <c r="R2251" i="246"/>
  <c r="R2215" i="246"/>
  <c r="R2216" i="246" s="1"/>
  <c r="U438" i="246"/>
  <c r="V438" i="1"/>
  <c r="G8" i="169"/>
  <c r="G26" i="169" s="1"/>
  <c r="G28" i="169" s="1"/>
  <c r="M1856" i="1"/>
  <c r="R1856" i="1" s="1"/>
  <c r="R1859" i="1" s="1"/>
  <c r="D1859" i="1"/>
  <c r="O467" i="246"/>
  <c r="R467" i="246" s="1"/>
  <c r="C1807" i="246"/>
  <c r="O1808" i="246"/>
  <c r="R1808" i="246" s="1"/>
  <c r="C1836" i="1"/>
  <c r="P3" i="5"/>
  <c r="R1629" i="1"/>
  <c r="R1634" i="1"/>
  <c r="R1627" i="1"/>
  <c r="R1643" i="1"/>
  <c r="R1635" i="1"/>
  <c r="R1632" i="1"/>
  <c r="R1633" i="1"/>
  <c r="R1647" i="1"/>
  <c r="R1645" i="1"/>
  <c r="R1631" i="1"/>
  <c r="R1626" i="1"/>
  <c r="R1648" i="1"/>
  <c r="R1640" i="1"/>
  <c r="R1625" i="1"/>
  <c r="R1641" i="1"/>
  <c r="R1644" i="1"/>
  <c r="R1646" i="1"/>
  <c r="R1630" i="1"/>
  <c r="R1628" i="1"/>
  <c r="R1624" i="1"/>
  <c r="R1606" i="246"/>
  <c r="R1600" i="246"/>
  <c r="R1616" i="246"/>
  <c r="R1605" i="246"/>
  <c r="R1597" i="246"/>
  <c r="R1599" i="246"/>
  <c r="R1614" i="246"/>
  <c r="R1617" i="246"/>
  <c r="R1612" i="246"/>
  <c r="R1601" i="246"/>
  <c r="R1598" i="246"/>
  <c r="R1618" i="246"/>
  <c r="R1602" i="246"/>
  <c r="R1604" i="246"/>
  <c r="R1596" i="246"/>
  <c r="R1619" i="246"/>
  <c r="R1595" i="246"/>
  <c r="R1603" i="246"/>
  <c r="R1611" i="246"/>
  <c r="R1615" i="246"/>
  <c r="D467" i="1"/>
  <c r="D1830" i="246"/>
  <c r="O459" i="246"/>
  <c r="D459" i="246" s="1"/>
  <c r="M467" i="1"/>
  <c r="R467" i="1" s="1"/>
  <c r="D467" i="246"/>
  <c r="M358" i="1"/>
  <c r="M2172" i="1"/>
  <c r="O359" i="246"/>
  <c r="O2142" i="246"/>
  <c r="Z459" i="1"/>
  <c r="D459" i="1" s="1"/>
  <c r="O265" i="1"/>
  <c r="S2314" i="1"/>
  <c r="O264" i="246"/>
  <c r="M453" i="1"/>
  <c r="S472" i="1"/>
  <c r="L340" i="5"/>
  <c r="C1576" i="1" s="1"/>
  <c r="R435" i="1"/>
  <c r="R444" i="1" s="1"/>
  <c r="U429" i="246"/>
  <c r="R1513" i="246"/>
  <c r="R1535" i="246"/>
  <c r="R1524" i="246"/>
  <c r="R1534" i="246"/>
  <c r="R1515" i="246"/>
  <c r="R1514" i="246"/>
  <c r="R1511" i="246"/>
  <c r="R1512" i="246"/>
  <c r="R1523" i="246"/>
  <c r="R1526" i="246"/>
  <c r="R1527" i="246" s="1"/>
  <c r="R1510" i="246"/>
  <c r="R1517" i="246"/>
  <c r="R1528" i="246"/>
  <c r="R1516" i="246"/>
  <c r="R1508" i="246"/>
  <c r="R1536" i="246"/>
  <c r="R1507" i="246"/>
  <c r="R1509" i="246"/>
  <c r="R1556" i="1"/>
  <c r="R1541" i="1"/>
  <c r="R1539" i="1"/>
  <c r="R1538" i="1"/>
  <c r="R1540" i="1"/>
  <c r="R1536" i="1"/>
  <c r="R1564" i="1"/>
  <c r="R1543" i="1"/>
  <c r="R1552" i="1"/>
  <c r="R1535" i="1"/>
  <c r="R1565" i="1"/>
  <c r="R1554" i="1"/>
  <c r="R1555" i="1" s="1"/>
  <c r="R1551" i="1"/>
  <c r="R1537" i="1"/>
  <c r="R1544" i="1"/>
  <c r="R1545" i="1"/>
  <c r="R1542" i="1"/>
  <c r="R1563" i="1"/>
  <c r="R1562" i="1"/>
  <c r="V429" i="1"/>
  <c r="M431" i="1"/>
  <c r="Y1879" i="1"/>
  <c r="R1879" i="1" s="1"/>
  <c r="R1882" i="1" s="1"/>
  <c r="O431" i="246"/>
  <c r="R431" i="246" s="1"/>
  <c r="J403" i="5"/>
  <c r="J2" i="5" s="1"/>
  <c r="O468" i="246"/>
  <c r="M468" i="1"/>
  <c r="W1850" i="246"/>
  <c r="R1850" i="246" s="1"/>
  <c r="R1853" i="246" s="1"/>
  <c r="R473" i="1"/>
  <c r="R481" i="1"/>
  <c r="R483" i="1"/>
  <c r="R474" i="1"/>
  <c r="R482" i="1"/>
  <c r="R474" i="246"/>
  <c r="R481" i="246"/>
  <c r="R483" i="246"/>
  <c r="R473" i="246"/>
  <c r="R482" i="246"/>
  <c r="C2038" i="1" l="1"/>
  <c r="R2030" i="1"/>
  <c r="R2036" i="1"/>
  <c r="R2028" i="1"/>
  <c r="R2034" i="1"/>
  <c r="R2049" i="1"/>
  <c r="R2035" i="1"/>
  <c r="R2038" i="1"/>
  <c r="R2046" i="1"/>
  <c r="R2051" i="1"/>
  <c r="R2054" i="1"/>
  <c r="R2047" i="1"/>
  <c r="R2037" i="1"/>
  <c r="R2029" i="1"/>
  <c r="R2032" i="1"/>
  <c r="R2033" i="1"/>
  <c r="R2052" i="1"/>
  <c r="R2050" i="1"/>
  <c r="R2053" i="1"/>
  <c r="R2031" i="1"/>
  <c r="D2048" i="1"/>
  <c r="R2004" i="246"/>
  <c r="R2008" i="246"/>
  <c r="R1999" i="246"/>
  <c r="R2025" i="246"/>
  <c r="R2001" i="246"/>
  <c r="R2021" i="246"/>
  <c r="R2006" i="246"/>
  <c r="R2018" i="246"/>
  <c r="R2022" i="246"/>
  <c r="R2020" i="246"/>
  <c r="R2024" i="246"/>
  <c r="R2003" i="246"/>
  <c r="R2002" i="246"/>
  <c r="R2017" i="246"/>
  <c r="R2000" i="246"/>
  <c r="R2005" i="246"/>
  <c r="R2023" i="246"/>
  <c r="R2009" i="246"/>
  <c r="R2007" i="246"/>
  <c r="D2019" i="246"/>
  <c r="C2009" i="246"/>
  <c r="R1905" i="1"/>
  <c r="S1905" i="1"/>
  <c r="R1876" i="246"/>
  <c r="S1876" i="246"/>
  <c r="R1898" i="246"/>
  <c r="R1894" i="246"/>
  <c r="R1888" i="246"/>
  <c r="R1895" i="246"/>
  <c r="R1862" i="246"/>
  <c r="R1861" i="246" s="1"/>
  <c r="R1897" i="246"/>
  <c r="R1893" i="246"/>
  <c r="R1887" i="246"/>
  <c r="R1858" i="246"/>
  <c r="R1889" i="246"/>
  <c r="R1896" i="246"/>
  <c r="R1890" i="246"/>
  <c r="R1886" i="246"/>
  <c r="R1892" i="246"/>
  <c r="R1891" i="246" s="1"/>
  <c r="R1885" i="246"/>
  <c r="R1847" i="246"/>
  <c r="R1927" i="1"/>
  <c r="R1923" i="1"/>
  <c r="R1917" i="1"/>
  <c r="R1921" i="1"/>
  <c r="R1920" i="1" s="1"/>
  <c r="R1926" i="1"/>
  <c r="R1922" i="1"/>
  <c r="R1916" i="1"/>
  <c r="R1925" i="1"/>
  <c r="R1919" i="1"/>
  <c r="R1915" i="1"/>
  <c r="R1876" i="1"/>
  <c r="R1924" i="1"/>
  <c r="R1918" i="1"/>
  <c r="R1914" i="1"/>
  <c r="R1887" i="1"/>
  <c r="R1891" i="1"/>
  <c r="R1890" i="1" s="1"/>
  <c r="R442" i="246"/>
  <c r="R443" i="246"/>
  <c r="R437" i="246"/>
  <c r="R444" i="246"/>
  <c r="O1827" i="246"/>
  <c r="R1827" i="246" s="1"/>
  <c r="R1801" i="246" s="1"/>
  <c r="O463" i="246"/>
  <c r="R463" i="246" s="1"/>
  <c r="R1861" i="1"/>
  <c r="R1828" i="1"/>
  <c r="R1857" i="1"/>
  <c r="R1830" i="1"/>
  <c r="R1826" i="1"/>
  <c r="R1855" i="1"/>
  <c r="R1860" i="1"/>
  <c r="R1863" i="1"/>
  <c r="R1858" i="1"/>
  <c r="R1836" i="1"/>
  <c r="R1827" i="1"/>
  <c r="R1829" i="1"/>
  <c r="R1835" i="1"/>
  <c r="R1833" i="1"/>
  <c r="R1862" i="1"/>
  <c r="R1831" i="1"/>
  <c r="R1834" i="1"/>
  <c r="R1854" i="1"/>
  <c r="R1832" i="1"/>
  <c r="V467" i="1"/>
  <c r="O453" i="246"/>
  <c r="S453" i="246" s="1"/>
  <c r="O2132" i="246"/>
  <c r="R2142" i="246"/>
  <c r="S359" i="246"/>
  <c r="R359" i="246"/>
  <c r="R360" i="246" s="1"/>
  <c r="R361" i="246" s="1"/>
  <c r="R362" i="246" s="1"/>
  <c r="R363" i="246" s="1"/>
  <c r="R2172" i="1"/>
  <c r="M2162" i="1"/>
  <c r="R2162" i="1" s="1"/>
  <c r="S358" i="1"/>
  <c r="R358" i="1"/>
  <c r="R359" i="1" s="1"/>
  <c r="R360" i="1" s="1"/>
  <c r="R361" i="1" s="1"/>
  <c r="R362" i="1" s="1"/>
  <c r="S453" i="1"/>
  <c r="M430" i="1"/>
  <c r="M420" i="1" s="1"/>
  <c r="S420" i="1" s="1"/>
  <c r="M447" i="1" s="1"/>
  <c r="O430" i="246"/>
  <c r="O420" i="246" s="1"/>
  <c r="S420" i="246" s="1"/>
  <c r="O447" i="246" s="1"/>
  <c r="M1608" i="1"/>
  <c r="D1596" i="1" s="1"/>
  <c r="C1547" i="246"/>
  <c r="O1579" i="246"/>
  <c r="O1567" i="246" s="1"/>
  <c r="L403" i="5"/>
  <c r="L2" i="5" s="1"/>
  <c r="D430" i="1"/>
  <c r="D430" i="246"/>
  <c r="G18" i="229"/>
  <c r="G32" i="229" s="1"/>
  <c r="G34" i="229" s="1"/>
  <c r="R443" i="1"/>
  <c r="R442" i="1"/>
  <c r="R436" i="1"/>
  <c r="R437" i="1"/>
  <c r="M463" i="1"/>
  <c r="R463" i="1" s="1"/>
  <c r="R431" i="1"/>
  <c r="R468" i="1"/>
  <c r="R468" i="246"/>
  <c r="V468" i="1"/>
  <c r="U468" i="246"/>
  <c r="O1872" i="246" l="1"/>
  <c r="R1872" i="246" s="1"/>
  <c r="O1887" i="246"/>
  <c r="M1901" i="1"/>
  <c r="R1901" i="1" s="1"/>
  <c r="M1916" i="1"/>
  <c r="R1859" i="246"/>
  <c r="R1864" i="246"/>
  <c r="R1860" i="246"/>
  <c r="R1863" i="246"/>
  <c r="S463" i="246"/>
  <c r="O486" i="246" s="1"/>
  <c r="U447" i="246" s="1"/>
  <c r="R1892" i="1"/>
  <c r="R1889" i="1"/>
  <c r="R1888" i="1"/>
  <c r="R1893" i="1"/>
  <c r="R1799" i="246"/>
  <c r="R1832" i="246"/>
  <c r="Z878" i="1"/>
  <c r="Z879" i="1"/>
  <c r="R1805" i="246"/>
  <c r="U467" i="246"/>
  <c r="R1804" i="246"/>
  <c r="R1826" i="246"/>
  <c r="R1833" i="246"/>
  <c r="R1830" i="246"/>
  <c r="R1834" i="246"/>
  <c r="R1828" i="246"/>
  <c r="R1802" i="246"/>
  <c r="R1798" i="246"/>
  <c r="R1825" i="246"/>
  <c r="R1807" i="246"/>
  <c r="R1806" i="246"/>
  <c r="R1803" i="246"/>
  <c r="R1800" i="246"/>
  <c r="R1831" i="246"/>
  <c r="R1797" i="246"/>
  <c r="R1829" i="246"/>
  <c r="S2162" i="1"/>
  <c r="M379" i="1"/>
  <c r="Z379" i="1" s="1"/>
  <c r="M371" i="1"/>
  <c r="Y879" i="1"/>
  <c r="M361" i="1"/>
  <c r="Y878" i="1"/>
  <c r="S2132" i="246"/>
  <c r="R2132" i="246"/>
  <c r="W878" i="246"/>
  <c r="C878" i="246" s="1"/>
  <c r="W879" i="246"/>
  <c r="D879" i="246" s="1"/>
  <c r="O380" i="246"/>
  <c r="O372" i="246"/>
  <c r="O362" i="246"/>
  <c r="W362" i="246" s="1"/>
  <c r="D362" i="246" s="1"/>
  <c r="R430" i="1"/>
  <c r="R1579" i="246"/>
  <c r="R430" i="246"/>
  <c r="R1608" i="1"/>
  <c r="M1596" i="1"/>
  <c r="R1596" i="1" s="1"/>
  <c r="D1567" i="246"/>
  <c r="S463" i="1"/>
  <c r="M486" i="1" s="1"/>
  <c r="V447" i="1" s="1"/>
  <c r="R420" i="1"/>
  <c r="R434" i="1" s="1"/>
  <c r="R420" i="246"/>
  <c r="R421" i="246" s="1"/>
  <c r="R1567" i="246"/>
  <c r="S1567" i="246"/>
  <c r="O1588" i="246" s="1"/>
  <c r="O255" i="246"/>
  <c r="O256" i="1"/>
  <c r="M256" i="1" s="1"/>
  <c r="R465" i="246"/>
  <c r="R469" i="246"/>
  <c r="R471" i="246"/>
  <c r="R464" i="246"/>
  <c r="R470" i="246"/>
  <c r="R469" i="1"/>
  <c r="R464" i="1"/>
  <c r="R470" i="1"/>
  <c r="R471" i="1"/>
  <c r="R465" i="1"/>
  <c r="V1916" i="1" l="1"/>
  <c r="Z1916" i="1"/>
  <c r="V431" i="1"/>
  <c r="V1882" i="1"/>
  <c r="Y1916" i="1"/>
  <c r="R1902" i="1"/>
  <c r="R1906" i="1"/>
  <c r="R1903" i="1"/>
  <c r="R1907" i="1"/>
  <c r="U1887" i="246"/>
  <c r="W1887" i="246"/>
  <c r="D1887" i="246" s="1"/>
  <c r="U431" i="246"/>
  <c r="U1853" i="246"/>
  <c r="R1877" i="246"/>
  <c r="R1873" i="246"/>
  <c r="R1878" i="246"/>
  <c r="R1874" i="246"/>
  <c r="D879" i="1"/>
  <c r="C878" i="1"/>
  <c r="Y361" i="1"/>
  <c r="Z361" i="1"/>
  <c r="Z371" i="1"/>
  <c r="Y371" i="1"/>
  <c r="R371" i="1"/>
  <c r="Y379" i="1"/>
  <c r="D379" i="1" s="1"/>
  <c r="O264" i="1"/>
  <c r="M384" i="1"/>
  <c r="R2163" i="1"/>
  <c r="R2164" i="1" s="1"/>
  <c r="R2173" i="1"/>
  <c r="R2174" i="1"/>
  <c r="R2175" i="1" s="1"/>
  <c r="R2176" i="1" s="1"/>
  <c r="R2177" i="1" s="1"/>
  <c r="W380" i="246"/>
  <c r="D380" i="246" s="1"/>
  <c r="O263" i="246"/>
  <c r="O385" i="246"/>
  <c r="U385" i="246" s="1"/>
  <c r="O2269" i="246"/>
  <c r="O2195" i="246"/>
  <c r="W2195" i="246" s="1"/>
  <c r="C2195" i="246" s="1"/>
  <c r="O2160" i="246"/>
  <c r="O2274" i="246"/>
  <c r="W2274" i="246" s="1"/>
  <c r="C2274" i="246" s="1"/>
  <c r="O2211" i="246"/>
  <c r="O2254" i="246"/>
  <c r="W2254" i="246" s="1"/>
  <c r="C2254" i="246" s="1"/>
  <c r="O2282" i="246"/>
  <c r="O2146" i="246"/>
  <c r="W2146" i="246" s="1"/>
  <c r="C2146" i="246" s="1"/>
  <c r="O2287" i="246"/>
  <c r="W372" i="246"/>
  <c r="D372" i="246" s="1"/>
  <c r="R372" i="246"/>
  <c r="R2133" i="246"/>
  <c r="R2134" i="246" s="1"/>
  <c r="R2143" i="246"/>
  <c r="R2144" i="246"/>
  <c r="R2145" i="246" s="1"/>
  <c r="R2146" i="246" s="1"/>
  <c r="R2147" i="246" s="1"/>
  <c r="M2299" i="1"/>
  <c r="M2304" i="1"/>
  <c r="M2241" i="1"/>
  <c r="M2190" i="1"/>
  <c r="M2312" i="1"/>
  <c r="M2284" i="1"/>
  <c r="M2225" i="1"/>
  <c r="M2176" i="1"/>
  <c r="M2317" i="1"/>
  <c r="Z2317" i="1" s="1"/>
  <c r="S1596" i="1"/>
  <c r="M1617" i="1" s="1"/>
  <c r="R1617" i="1" s="1"/>
  <c r="R422" i="1"/>
  <c r="R421" i="1"/>
  <c r="R432" i="1"/>
  <c r="R433" i="1"/>
  <c r="R434" i="246"/>
  <c r="R422" i="246"/>
  <c r="R432" i="246"/>
  <c r="R433" i="246"/>
  <c r="R1588" i="246"/>
  <c r="U430" i="246"/>
  <c r="R1568" i="246"/>
  <c r="R1569" i="246" s="1"/>
  <c r="R1585" i="246"/>
  <c r="R1614" i="1"/>
  <c r="R1597" i="1"/>
  <c r="R1598" i="1" s="1"/>
  <c r="R1880" i="1"/>
  <c r="R1865" i="1"/>
  <c r="R1866" i="1"/>
  <c r="R1867" i="1"/>
  <c r="R1873" i="1"/>
  <c r="R1883" i="1"/>
  <c r="R1870" i="1"/>
  <c r="R1874" i="1"/>
  <c r="R1884" i="1"/>
  <c r="R1881" i="1"/>
  <c r="R1872" i="1"/>
  <c r="R1871" i="1"/>
  <c r="R1885" i="1"/>
  <c r="R1864" i="1"/>
  <c r="R1875" i="1"/>
  <c r="R1886" i="1"/>
  <c r="R1868" i="1"/>
  <c r="R1869" i="1"/>
  <c r="R1852" i="246"/>
  <c r="R1842" i="246"/>
  <c r="R1835" i="246"/>
  <c r="R1839" i="246"/>
  <c r="R1841" i="246"/>
  <c r="R1843" i="246"/>
  <c r="R1837" i="246"/>
  <c r="R1845" i="246"/>
  <c r="R1851" i="246"/>
  <c r="R1840" i="246"/>
  <c r="R1838" i="246"/>
  <c r="R1857" i="246"/>
  <c r="R1836" i="246"/>
  <c r="R1854" i="246"/>
  <c r="R1844" i="246"/>
  <c r="R1856" i="246"/>
  <c r="R1855" i="246"/>
  <c r="R1846" i="246"/>
  <c r="D1916" i="1" l="1"/>
  <c r="D371" i="1"/>
  <c r="D361" i="1"/>
  <c r="Y2304" i="1"/>
  <c r="Z2304" i="1"/>
  <c r="Y2176" i="1"/>
  <c r="Z2176" i="1"/>
  <c r="V384" i="1"/>
  <c r="Z384" i="1"/>
  <c r="Y2284" i="1"/>
  <c r="Z2284" i="1"/>
  <c r="Y2225" i="1"/>
  <c r="Z2225" i="1"/>
  <c r="O537" i="246"/>
  <c r="U388" i="246"/>
  <c r="W385" i="246"/>
  <c r="D385" i="246" s="1"/>
  <c r="V2317" i="1"/>
  <c r="Y2317" i="1"/>
  <c r="C2317" i="1" s="1"/>
  <c r="R371" i="246"/>
  <c r="R373" i="246"/>
  <c r="R370" i="246"/>
  <c r="E263" i="246"/>
  <c r="O267" i="246"/>
  <c r="R369" i="1"/>
  <c r="R370" i="1"/>
  <c r="R372" i="1"/>
  <c r="Y384" i="1"/>
  <c r="V387" i="1"/>
  <c r="M537" i="1"/>
  <c r="Z2241" i="1"/>
  <c r="Y2241" i="1"/>
  <c r="V2241" i="1"/>
  <c r="U2287" i="246"/>
  <c r="W2287" i="246"/>
  <c r="C2287" i="246" s="1"/>
  <c r="W2211" i="246"/>
  <c r="C2211" i="246" s="1"/>
  <c r="U2211" i="246"/>
  <c r="E264" i="1"/>
  <c r="M264" i="1"/>
  <c r="O268" i="1"/>
  <c r="V430" i="1"/>
  <c r="R1615" i="1"/>
  <c r="R1619" i="1"/>
  <c r="R1571" i="1"/>
  <c r="R1576" i="1"/>
  <c r="R1566" i="1"/>
  <c r="R1569" i="1"/>
  <c r="R1572" i="1"/>
  <c r="R1616" i="1"/>
  <c r="R1575" i="1"/>
  <c r="R1621" i="1"/>
  <c r="R1622" i="1"/>
  <c r="R1573" i="1"/>
  <c r="R1568" i="1"/>
  <c r="R1567" i="1"/>
  <c r="R1570" i="1"/>
  <c r="R1623" i="1"/>
  <c r="R1574" i="1"/>
  <c r="R1620" i="1"/>
  <c r="R1618" i="1"/>
  <c r="R1540" i="246"/>
  <c r="R1541" i="246"/>
  <c r="R1543" i="246"/>
  <c r="R1542" i="246"/>
  <c r="R1594" i="246"/>
  <c r="R1538" i="246"/>
  <c r="R1546" i="246"/>
  <c r="R1539" i="246"/>
  <c r="R1587" i="246"/>
  <c r="R1590" i="246"/>
  <c r="R1537" i="246"/>
  <c r="R1589" i="246"/>
  <c r="R1591" i="246"/>
  <c r="R1545" i="246"/>
  <c r="R1592" i="246"/>
  <c r="R1544" i="246"/>
  <c r="R1586" i="246"/>
  <c r="R1547" i="246"/>
  <c r="R1593" i="246"/>
  <c r="C2304" i="1" l="1"/>
  <c r="D384" i="1"/>
  <c r="C2225" i="1"/>
  <c r="C2241" i="1"/>
  <c r="C2284" i="1"/>
  <c r="C2176" i="1"/>
  <c r="O271" i="246"/>
  <c r="E271" i="246" s="1"/>
  <c r="U267" i="246"/>
  <c r="E267" i="246"/>
  <c r="Z537" i="1"/>
  <c r="Y537" i="1"/>
  <c r="M541" i="1"/>
  <c r="O541" i="246"/>
  <c r="W537" i="246"/>
  <c r="D537" i="246" s="1"/>
  <c r="E268" i="1"/>
  <c r="V268" i="1"/>
  <c r="O272" i="1"/>
  <c r="E272" i="1" s="1"/>
  <c r="Q347" i="1"/>
  <c r="O77" i="1" l="1"/>
  <c r="D537" i="1"/>
  <c r="Z534" i="1"/>
  <c r="V459" i="1"/>
  <c r="Y534" i="1"/>
  <c r="V462" i="1"/>
  <c r="U462" i="246"/>
  <c r="U459" i="246"/>
  <c r="U2" i="246"/>
  <c r="Q410" i="1"/>
  <c r="O79" i="1" s="1"/>
  <c r="C534" i="1" l="1"/>
  <c r="V2" i="1"/>
  <c r="Q493" i="1"/>
  <c r="O81" i="1" s="1"/>
  <c r="Q552" i="1" l="1"/>
  <c r="Q608" i="1" s="1"/>
  <c r="Q628" i="1" l="1"/>
  <c r="Q654" i="1" s="1"/>
  <c r="Q671" i="1" s="1"/>
  <c r="Q689" i="1" s="1"/>
  <c r="Q707" i="1" s="1"/>
  <c r="Q729" i="1" s="1"/>
  <c r="Q744" i="1" s="1"/>
  <c r="Q763" i="1" s="1"/>
  <c r="Q784" i="1" s="1"/>
  <c r="Q798" i="1" l="1"/>
  <c r="Q825" i="1" s="1"/>
  <c r="Q869" i="1" s="1"/>
  <c r="Q348" i="246"/>
  <c r="Q410" i="246" l="1"/>
  <c r="O79" i="246" s="1"/>
  <c r="O77" i="246"/>
  <c r="Q493" i="246" l="1"/>
  <c r="O81" i="246" s="1"/>
  <c r="Q552" i="246" l="1"/>
  <c r="Q608" i="246" s="1"/>
  <c r="Q628" i="246" l="1"/>
  <c r="Q654" i="246" s="1"/>
  <c r="Q671" i="246" s="1"/>
  <c r="Q689" i="246" s="1"/>
  <c r="Q707" i="246" s="1"/>
  <c r="Q729" i="246" s="1"/>
  <c r="Q744" i="246" s="1"/>
  <c r="Q763" i="246" s="1"/>
  <c r="Q784" i="246" s="1"/>
  <c r="Q798" i="246" l="1"/>
  <c r="Q825" i="246" s="1"/>
  <c r="Q869" i="246" s="1"/>
  <c r="K363" i="1"/>
  <c r="C881" i="1"/>
  <c r="K2255" i="1" s="1"/>
  <c r="K2460" i="1"/>
  <c r="K3116" i="1"/>
  <c r="K3280" i="1"/>
  <c r="K2952" i="1"/>
  <c r="K2788" i="1"/>
  <c r="K2284" i="1"/>
  <c r="K2624" i="1"/>
  <c r="K371" i="1"/>
  <c r="K3087" i="1" l="1"/>
  <c r="K2595" i="1"/>
  <c r="K2759" i="1"/>
  <c r="K3251" i="1"/>
  <c r="K2923" i="1"/>
  <c r="C2126" i="1"/>
  <c r="K2431" i="1"/>
  <c r="K2954" i="1" l="1"/>
  <c r="K3282" i="1"/>
  <c r="K2462" i="1"/>
  <c r="K2790" i="1"/>
  <c r="C966" i="1"/>
  <c r="C967" i="1" s="1"/>
  <c r="K2286" i="1"/>
  <c r="K373" i="1"/>
  <c r="K2626" i="1"/>
  <c r="K3118" i="1"/>
  <c r="C975" i="1" l="1"/>
  <c r="C996" i="1" s="1"/>
  <c r="Q899" i="1"/>
  <c r="Q931" i="1" l="1"/>
  <c r="K427" i="1" l="1"/>
  <c r="K2477" i="1"/>
  <c r="K3297" i="1"/>
  <c r="K375" i="1"/>
  <c r="K3133" i="1"/>
  <c r="K2641" i="1"/>
  <c r="K2969" i="1"/>
  <c r="K2805" i="1"/>
  <c r="K2301" i="1"/>
  <c r="Q956" i="1"/>
  <c r="K426" i="1" l="1"/>
  <c r="K428" i="1"/>
  <c r="K423" i="1"/>
  <c r="K429" i="1" l="1"/>
  <c r="C908" i="1"/>
  <c r="K2547" i="1" l="1"/>
  <c r="K2875" i="1"/>
  <c r="K2383" i="1"/>
  <c r="K2711" i="1"/>
  <c r="K2206" i="1"/>
  <c r="K3039" i="1"/>
  <c r="K3203" i="1"/>
  <c r="C940" i="1"/>
  <c r="K2867" i="1" l="1"/>
  <c r="K2758" i="1"/>
  <c r="K3031" i="1"/>
  <c r="K3086" i="1"/>
  <c r="K3250" i="1"/>
  <c r="K2375" i="1"/>
  <c r="K2198" i="1"/>
  <c r="K2703" i="1"/>
  <c r="K2430" i="1"/>
  <c r="K2594" i="1"/>
  <c r="K3195" i="1"/>
  <c r="K2254" i="1"/>
  <c r="K2539" i="1"/>
  <c r="K2922" i="1"/>
  <c r="K430" i="1"/>
  <c r="K438" i="1" l="1"/>
  <c r="K439" i="1"/>
  <c r="K440" i="1" l="1"/>
  <c r="K456" i="1" l="1"/>
  <c r="K457" i="1" l="1"/>
  <c r="K458" i="1" l="1"/>
  <c r="K467" i="1" l="1"/>
  <c r="K478" i="1"/>
  <c r="K466" i="1"/>
  <c r="K431" i="1" l="1"/>
  <c r="K475" i="1" l="1"/>
  <c r="K468" i="1"/>
  <c r="K476" i="1" l="1"/>
  <c r="Q1015" i="1"/>
  <c r="Q1079" i="1" s="1"/>
  <c r="Q1133" i="1" l="1"/>
  <c r="Q1191" i="1" s="1"/>
  <c r="K477" i="1"/>
  <c r="Q1258" i="1" l="1"/>
  <c r="Q1287" i="1" s="1"/>
  <c r="Q1341" i="1" l="1"/>
  <c r="Q1399" i="1" s="1"/>
  <c r="K479" i="1"/>
  <c r="Q1481" i="1" l="1"/>
  <c r="Q1438" i="1"/>
  <c r="Q1505" i="1" s="1"/>
  <c r="Q1536" i="1" s="1"/>
  <c r="Q1567" i="1" s="1"/>
  <c r="Q1625" i="1" s="1"/>
  <c r="Q1650" i="1" s="1"/>
  <c r="Q1681" i="1" s="1"/>
  <c r="Q1708" i="1" l="1"/>
  <c r="Q1730" i="1" l="1"/>
  <c r="Q1753" i="1" s="1"/>
  <c r="Q1788" i="1" s="1"/>
  <c r="Q1827" i="1" s="1"/>
  <c r="Q1865" i="1" s="1"/>
  <c r="Q1929" i="1" l="1"/>
  <c r="Q1955" i="1" s="1"/>
  <c r="Q1981" i="1" s="1"/>
  <c r="Q2004" i="1" s="1"/>
  <c r="Q2029" i="1" s="1"/>
  <c r="Q2056" i="1" l="1"/>
  <c r="Q2081" i="1" l="1"/>
  <c r="Q2107" i="1" s="1"/>
  <c r="K364" i="246"/>
  <c r="C881" i="246"/>
  <c r="K2225" i="246" s="1"/>
  <c r="K2758" i="246"/>
  <c r="K2594" i="246"/>
  <c r="K2430" i="246"/>
  <c r="K2254" i="246"/>
  <c r="K372" i="246"/>
  <c r="O83" i="1" l="1"/>
  <c r="D183" i="1"/>
  <c r="Q2149" i="1"/>
  <c r="Q2232" i="1" s="1"/>
  <c r="O85" i="1" s="1"/>
  <c r="K2565" i="246"/>
  <c r="K2401" i="246"/>
  <c r="C2096" i="246"/>
  <c r="K2729" i="246"/>
  <c r="C908" i="246" l="1"/>
  <c r="C940" i="246" s="1"/>
  <c r="K2517" i="246" l="1"/>
  <c r="K2353" i="246"/>
  <c r="K2176" i="246"/>
  <c r="K2681" i="246"/>
  <c r="K2400" i="246"/>
  <c r="K2564" i="246"/>
  <c r="K2509" i="246"/>
  <c r="K2673" i="246"/>
  <c r="K2728" i="246"/>
  <c r="K2168" i="246"/>
  <c r="K2224" i="246"/>
  <c r="K2345" i="246"/>
  <c r="K2432" i="246" l="1"/>
  <c r="K374" i="246"/>
  <c r="C966" i="246"/>
  <c r="K2256" i="246"/>
  <c r="K2760" i="246"/>
  <c r="K2596" i="246"/>
  <c r="C967" i="246" l="1"/>
  <c r="C975" i="246" s="1"/>
  <c r="C996" i="246" s="1"/>
  <c r="Q899" i="246"/>
  <c r="Q931" i="246" l="1"/>
  <c r="K2271" i="246" l="1"/>
  <c r="K376" i="246"/>
  <c r="K2447" i="246"/>
  <c r="K2611" i="246"/>
  <c r="K2775" i="246"/>
  <c r="Q956" i="246"/>
  <c r="K427" i="246" l="1"/>
  <c r="K423" i="246"/>
  <c r="K426" i="246" l="1"/>
  <c r="K428" i="246"/>
  <c r="K429" i="246" l="1"/>
  <c r="K430" i="246" l="1"/>
  <c r="K439" i="246" l="1"/>
  <c r="K438" i="246" l="1"/>
  <c r="K440" i="246"/>
  <c r="K457" i="246" l="1"/>
  <c r="K458" i="246" l="1"/>
  <c r="K456" i="246"/>
  <c r="K467" i="246" l="1"/>
  <c r="K466" i="246" l="1"/>
  <c r="K478" i="246"/>
  <c r="K431" i="246"/>
  <c r="K475" i="246" l="1"/>
  <c r="K468" i="246"/>
  <c r="K476" i="246" l="1"/>
  <c r="K477" i="246" l="1"/>
  <c r="K479" i="246" l="1"/>
  <c r="Q1015" i="246"/>
  <c r="Q1079" i="246" l="1"/>
  <c r="Q1133" i="246" l="1"/>
  <c r="Q1191" i="246" s="1"/>
  <c r="Q1237" i="246" l="1"/>
  <c r="Q1259" i="246" s="1"/>
  <c r="Q1313" i="246" l="1"/>
  <c r="Q1371" i="246" s="1"/>
  <c r="Q1410" i="246" l="1"/>
  <c r="Q1453" i="246" s="1"/>
  <c r="Q1477" i="246" l="1"/>
  <c r="Q1508" i="246" s="1"/>
  <c r="Q1538" i="246" s="1"/>
  <c r="Q1596" i="246" s="1"/>
  <c r="Q1621" i="246" l="1"/>
  <c r="Q1652" i="246"/>
  <c r="Q1679" i="246" s="1"/>
  <c r="Q1701" i="246" l="1"/>
  <c r="Q1724" i="246" l="1"/>
  <c r="Q1759" i="246" s="1"/>
  <c r="Q1798" i="246" l="1"/>
  <c r="Q1836" i="246" s="1"/>
  <c r="Q1900" i="246" s="1"/>
  <c r="Q1926" i="246" s="1"/>
  <c r="Q1952" i="246" l="1"/>
  <c r="Q1975" i="246" s="1"/>
  <c r="Q2000" i="246" s="1"/>
  <c r="Q2027" i="246" l="1"/>
  <c r="Q2052" i="246" l="1"/>
  <c r="Q2078" i="246" s="1"/>
  <c r="O83" i="246" l="1"/>
  <c r="D185" i="246"/>
  <c r="Q2119" i="246"/>
  <c r="Q2202" i="246" s="1"/>
  <c r="O85" i="246" s="1"/>
</calcChain>
</file>

<file path=xl/sharedStrings.xml><?xml version="1.0" encoding="utf-8"?>
<sst xmlns="http://schemas.openxmlformats.org/spreadsheetml/2006/main" count="5078" uniqueCount="1206">
  <si>
    <t>6200/020</t>
  </si>
  <si>
    <t>MOTOR VEHICLES - ACC DEPR</t>
  </si>
  <si>
    <t>6200/021</t>
  </si>
  <si>
    <t>6200/022</t>
  </si>
  <si>
    <t>6200/023</t>
  </si>
  <si>
    <t>6250/000</t>
  </si>
  <si>
    <t>6250/001</t>
  </si>
  <si>
    <t>6250/002</t>
  </si>
  <si>
    <t>6250/003</t>
  </si>
  <si>
    <t>6250/020</t>
  </si>
  <si>
    <t>6250/021</t>
  </si>
  <si>
    <t>6250/022</t>
  </si>
  <si>
    <t>6250/023</t>
  </si>
  <si>
    <t>NON - CURRENT ASSETS</t>
  </si>
  <si>
    <t>CURRENT ASSETS</t>
  </si>
  <si>
    <t>Reserves</t>
  </si>
  <si>
    <t>6350/000</t>
  </si>
  <si>
    <t>6350/001</t>
  </si>
  <si>
    <t>6150/020</t>
  </si>
  <si>
    <t>6150/021</t>
  </si>
  <si>
    <t>2500/000</t>
  </si>
  <si>
    <t>7500/002</t>
  </si>
  <si>
    <t>Work in progress</t>
  </si>
  <si>
    <t>7500/003</t>
  </si>
  <si>
    <t>Finished goods</t>
  </si>
  <si>
    <t>A</t>
  </si>
  <si>
    <t>Date</t>
  </si>
  <si>
    <t>7500/004</t>
  </si>
  <si>
    <t>Trading stock</t>
  </si>
  <si>
    <t>----------------------------------------</t>
  </si>
  <si>
    <t>8000/000</t>
  </si>
  <si>
    <t>DEBTORS</t>
  </si>
  <si>
    <t>8010/000</t>
  </si>
  <si>
    <t>Trade debtors</t>
  </si>
  <si>
    <t>8020/000</t>
  </si>
  <si>
    <t>6150/022</t>
  </si>
  <si>
    <t>6150/023</t>
  </si>
  <si>
    <t>6200/000</t>
  </si>
  <si>
    <t>MOTOR VEHICLES - COST</t>
  </si>
  <si>
    <t>6200/001</t>
  </si>
  <si>
    <t>6200/002</t>
  </si>
  <si>
    <t>6150/001</t>
  </si>
  <si>
    <t>6150/002</t>
  </si>
  <si>
    <t>6150/003</t>
  </si>
  <si>
    <t>Postal Address</t>
  </si>
  <si>
    <t>INTANGIBLE ASSETS</t>
  </si>
  <si>
    <t>INVENTORY</t>
  </si>
  <si>
    <t>Depreciation rates</t>
  </si>
  <si>
    <t>REVENUE RECOGNITION</t>
  </si>
  <si>
    <t>COMPARATIVE FIGURES</t>
  </si>
  <si>
    <t xml:space="preserve">   Cost</t>
  </si>
  <si>
    <t>2100/033</t>
  </si>
  <si>
    <t>Depr - Motor vehicles</t>
  </si>
  <si>
    <t>Depr - Electronic equipment</t>
  </si>
  <si>
    <t>2100/040</t>
  </si>
  <si>
    <t>Discounts allowed</t>
  </si>
  <si>
    <t>2100/050</t>
  </si>
  <si>
    <t>2100/055</t>
  </si>
  <si>
    <t>Is deferred tax provided?</t>
  </si>
  <si>
    <t>Equipment lease</t>
  </si>
  <si>
    <t>2100/060</t>
  </si>
  <si>
    <t>3000/095</t>
  </si>
  <si>
    <t>Repairs and maintenance</t>
  </si>
  <si>
    <t>2100/120</t>
  </si>
  <si>
    <t>Salaries</t>
  </si>
  <si>
    <t>2100/121</t>
  </si>
  <si>
    <t>UIF - Employer</t>
  </si>
  <si>
    <t>2100/122</t>
  </si>
  <si>
    <t>Casual wages</t>
  </si>
  <si>
    <t>2100/130</t>
  </si>
  <si>
    <t>Telephone</t>
  </si>
  <si>
    <t>2100/135</t>
  </si>
  <si>
    <t>2100/140</t>
  </si>
  <si>
    <t>2100/150</t>
  </si>
  <si>
    <t>2750/000</t>
  </si>
  <si>
    <t>2750/001</t>
  </si>
  <si>
    <t>2750/002</t>
  </si>
  <si>
    <t>2750/003</t>
  </si>
  <si>
    <t>2750/004</t>
  </si>
  <si>
    <t>Tax penalties and interest</t>
  </si>
  <si>
    <t>YEAREND:</t>
  </si>
  <si>
    <t>Prepared:</t>
  </si>
  <si>
    <t>Checked:</t>
  </si>
  <si>
    <t>Balance b/fwd</t>
  </si>
  <si>
    <t>5130/000</t>
  </si>
  <si>
    <t>Yes</t>
  </si>
  <si>
    <t>No</t>
  </si>
  <si>
    <t>Investments</t>
  </si>
  <si>
    <t>If "Yes":</t>
  </si>
  <si>
    <t>Balance</t>
  </si>
  <si>
    <t>FIRST SET OF ACCOUNTS</t>
  </si>
  <si>
    <t>DETAILED INCOME STATEMENT FOR THE YEAR ENDED</t>
  </si>
  <si>
    <t>BALANCE SHEET</t>
  </si>
  <si>
    <t>CASH FLOW STATEMENT</t>
  </si>
  <si>
    <t>NOTES TO THE FINANCIAL STATEMENTS</t>
  </si>
  <si>
    <t xml:space="preserve"> </t>
  </si>
  <si>
    <t xml:space="preserve">Page </t>
  </si>
  <si>
    <t>Nature of business</t>
  </si>
  <si>
    <t>Registered office</t>
  </si>
  <si>
    <t>Postal address</t>
  </si>
  <si>
    <t>Signature</t>
  </si>
  <si>
    <t>Date:</t>
  </si>
  <si>
    <t xml:space="preserve"> (Continued)</t>
  </si>
  <si>
    <t>FIXED ASSETS</t>
  </si>
  <si>
    <t>NOTES</t>
  </si>
  <si>
    <t>ASSETS</t>
  </si>
  <si>
    <t>TOTAL ASSETS</t>
  </si>
  <si>
    <t>EQUITY AND LIABILITIES</t>
  </si>
  <si>
    <t>CAPITAL AND RESERVES</t>
  </si>
  <si>
    <t>NON - CURRENT LIABILITIES</t>
  </si>
  <si>
    <t>CURRENT LIABILITIES</t>
  </si>
  <si>
    <t>TOTAL EQUITY AND LIABILITIES</t>
  </si>
  <si>
    <t>REVENUE</t>
  </si>
  <si>
    <t>COST OF SALES</t>
  </si>
  <si>
    <t>OTHER INCOME</t>
  </si>
  <si>
    <t>FINANCE COSTS</t>
  </si>
  <si>
    <t>TAXATION</t>
  </si>
  <si>
    <t>RESERVES</t>
  </si>
  <si>
    <t>Balance at the beginning of the year</t>
  </si>
  <si>
    <t>CAPITAL</t>
  </si>
  <si>
    <t>INTEREST</t>
  </si>
  <si>
    <t>ELECTRONIC EQUIPMENT - COST</t>
  </si>
  <si>
    <t>ELECTRONIC EQUIPMENT - ACC DEPR</t>
  </si>
  <si>
    <t>Tax provision this year</t>
  </si>
  <si>
    <t>3rd Provisional paid</t>
  </si>
  <si>
    <t>BANK ACCOUNTS</t>
  </si>
  <si>
    <t>8460/000</t>
  </si>
  <si>
    <t>…………………………………………</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</si>
  <si>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</si>
  <si>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</si>
  <si>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</si>
  <si>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</si>
  <si>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</si>
  <si>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</si>
  <si>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</si>
  <si>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</si>
  <si>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</si>
  <si>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</si>
  <si>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</si>
  <si>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</si>
  <si>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</si>
  <si>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</si>
  <si>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</si>
  <si>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</si>
  <si>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</si>
  <si>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5700/000</t>
  </si>
  <si>
    <t>5700/010</t>
  </si>
  <si>
    <t>Deferred tax on depreciation for year</t>
  </si>
  <si>
    <t>Deferred tax on tax loss for year</t>
  </si>
  <si>
    <t>6100/000</t>
  </si>
  <si>
    <t>6100/001</t>
  </si>
  <si>
    <t>6100/002</t>
  </si>
  <si>
    <t>6100/003</t>
  </si>
  <si>
    <t>6350/021</t>
  </si>
  <si>
    <t>6350/022</t>
  </si>
  <si>
    <t>7100/205</t>
  </si>
  <si>
    <t>7450/000</t>
  </si>
  <si>
    <t>7450/001</t>
  </si>
  <si>
    <t>7450/002</t>
  </si>
  <si>
    <t>7450/003</t>
  </si>
  <si>
    <t>YEAR END</t>
  </si>
  <si>
    <t>THIS YEAR</t>
  </si>
  <si>
    <t>Less: Disposals</t>
  </si>
  <si>
    <t>CONTENTS</t>
  </si>
  <si>
    <t>PAGE</t>
  </si>
  <si>
    <t>SECRETARIAL INFORMATION</t>
  </si>
  <si>
    <t>JOURNALS</t>
  </si>
  <si>
    <t>NR</t>
  </si>
  <si>
    <t>JOURNALS - YEAR END</t>
  </si>
  <si>
    <t>CASH AND CASH EQUIVALENTS</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</si>
  <si>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</si>
  <si>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</si>
  <si>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</si>
  <si>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</si>
  <si>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</si>
  <si>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</si>
  <si>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</si>
  <si>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</si>
  <si>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</si>
  <si>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</si>
  <si>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</si>
  <si>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</si>
  <si>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</si>
  <si>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</si>
  <si>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</si>
  <si>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</si>
  <si>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</si>
  <si>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Rent paid-------------------------------</t>
  </si>
  <si>
    <t>2100/101</t>
  </si>
  <si>
    <t>2100/102</t>
  </si>
  <si>
    <t>2100/103</t>
  </si>
  <si>
    <t>2100/110</t>
  </si>
  <si>
    <t>2800/000</t>
  </si>
  <si>
    <t>4820/000</t>
  </si>
  <si>
    <t>DEFERRED TAX</t>
  </si>
  <si>
    <t>4820/001</t>
  </si>
  <si>
    <t>Deferred tax this year</t>
  </si>
  <si>
    <t>4820/002</t>
  </si>
  <si>
    <t>Deferred tax adjustment previous year</t>
  </si>
  <si>
    <t>4850/000</t>
  </si>
  <si>
    <t>4860/000</t>
  </si>
  <si>
    <t>Carrying value</t>
  </si>
  <si>
    <t>2800/002</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</si>
  <si>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</si>
  <si>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</si>
  <si>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</si>
  <si>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</si>
  <si>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</si>
  <si>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</si>
  <si>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</si>
  <si>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</si>
  <si>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</si>
  <si>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</si>
  <si>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</si>
  <si>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</si>
  <si>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</si>
  <si>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</si>
  <si>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</si>
  <si>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</si>
  <si>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</si>
  <si>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</si>
  <si>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</si>
  <si>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</si>
  <si>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</si>
  <si>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</si>
  <si>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Dividends paid</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</si>
  <si>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</si>
  <si>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</si>
  <si>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</si>
  <si>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</si>
  <si>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</si>
  <si>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</si>
  <si>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</si>
  <si>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</si>
  <si>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</si>
  <si>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</si>
  <si>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</si>
  <si>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</si>
  <si>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</si>
  <si>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</si>
  <si>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</si>
  <si>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</si>
  <si>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</si>
  <si>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</si>
  <si>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</si>
  <si>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</si>
  <si>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Is a Cash Flow Statement presented?</t>
  </si>
  <si>
    <t>(Continued)</t>
  </si>
  <si>
    <t>OTHER RESERVES</t>
  </si>
  <si>
    <t>5130/001</t>
  </si>
  <si>
    <t>5130/002</t>
  </si>
  <si>
    <t>DEFERRED TAXATION</t>
  </si>
  <si>
    <t>FINANCIAL INSTRUMENTS</t>
  </si>
  <si>
    <t xml:space="preserve">Salaries </t>
  </si>
  <si>
    <t>Training</t>
  </si>
  <si>
    <t>Short term portion of long term loans</t>
  </si>
  <si>
    <t>Carried forward</t>
  </si>
  <si>
    <t>Brought forward</t>
  </si>
  <si>
    <t>Cleaning</t>
  </si>
  <si>
    <t>Donations</t>
  </si>
  <si>
    <t>Refreshments</t>
  </si>
  <si>
    <t>Security</t>
  </si>
  <si>
    <t>LESS:  FINANCE COSTS</t>
  </si>
  <si>
    <t>LESS: TAXATION</t>
  </si>
  <si>
    <t>RENT PAID</t>
  </si>
  <si>
    <t>DEPRECIATION</t>
  </si>
  <si>
    <t>DIVIDENDS RECEIVED</t>
  </si>
  <si>
    <t>South African sources</t>
  </si>
  <si>
    <t>INTEREST RECEIVED</t>
  </si>
  <si>
    <t xml:space="preserve">ERROR </t>
  </si>
  <si>
    <t>Keep open</t>
  </si>
  <si>
    <t>Straight Line</t>
  </si>
  <si>
    <t>6350/020</t>
  </si>
  <si>
    <t>LESS: COST OF SALES</t>
  </si>
  <si>
    <t>Purchases</t>
  </si>
  <si>
    <t>Advertising</t>
  </si>
  <si>
    <t>Consumables</t>
  </si>
  <si>
    <t>Depreciation</t>
  </si>
  <si>
    <t>Insurance</t>
  </si>
  <si>
    <t>3000/180</t>
  </si>
  <si>
    <t>3000/190</t>
  </si>
  <si>
    <t>3000/200</t>
  </si>
  <si>
    <t>3000/210</t>
  </si>
  <si>
    <t>3000/220</t>
  </si>
  <si>
    <t>6100/020</t>
  </si>
  <si>
    <t>6100/021</t>
  </si>
  <si>
    <t>6100/022</t>
  </si>
  <si>
    <t>SHORT TERM LOANS</t>
  </si>
  <si>
    <t>6100/023</t>
  </si>
  <si>
    <t>6150/000</t>
  </si>
  <si>
    <t>7450/005</t>
  </si>
  <si>
    <t>7460/000</t>
  </si>
  <si>
    <t>Change in profit</t>
  </si>
  <si>
    <t>7460/001</t>
  </si>
  <si>
    <t>7460/002</t>
  </si>
  <si>
    <t>7460/003</t>
  </si>
  <si>
    <t>7460/006</t>
  </si>
  <si>
    <t>7460/007</t>
  </si>
  <si>
    <t>Sundry debtors</t>
  </si>
  <si>
    <t>Dividends received----------------------</t>
  </si>
  <si>
    <t>2800/001</t>
  </si>
  <si>
    <t>3000/110</t>
  </si>
  <si>
    <t>3000/120</t>
  </si>
  <si>
    <t>Printing and stationary</t>
  </si>
  <si>
    <t>3000/130</t>
  </si>
  <si>
    <t>3000/140</t>
  </si>
  <si>
    <t>3000/141</t>
  </si>
  <si>
    <t>3000/150</t>
  </si>
  <si>
    <t>3000/160</t>
  </si>
  <si>
    <t>4700/000</t>
  </si>
  <si>
    <t>4700/010</t>
  </si>
  <si>
    <t>Interest paid---------------------------</t>
  </si>
  <si>
    <t>4700/011</t>
  </si>
  <si>
    <t>4700/012</t>
  </si>
  <si>
    <t>4700/013</t>
  </si>
  <si>
    <t>4700/014</t>
  </si>
  <si>
    <t>4700/020</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</si>
  <si>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</si>
  <si>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</si>
  <si>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</si>
  <si>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</si>
  <si>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</si>
  <si>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</si>
  <si>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</si>
  <si>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</si>
  <si>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</si>
  <si>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</si>
  <si>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</si>
  <si>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</si>
  <si>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</si>
  <si>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</si>
  <si>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5130/003</t>
  </si>
  <si>
    <t>Service deposits</t>
  </si>
  <si>
    <t>3000/170</t>
  </si>
  <si>
    <t>Appointed in year</t>
  </si>
  <si>
    <t>Ongoing</t>
  </si>
  <si>
    <t>Resign at annual meeting</t>
  </si>
  <si>
    <t>TOTAL</t>
  </si>
  <si>
    <t>9300/000</t>
  </si>
  <si>
    <t>9350/000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</si>
  <si>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</si>
  <si>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</si>
  <si>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</si>
  <si>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</si>
  <si>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</si>
  <si>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</si>
  <si>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</si>
  <si>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</si>
  <si>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</si>
  <si>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</si>
  <si>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</si>
  <si>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</si>
  <si>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</si>
  <si>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</si>
  <si>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</si>
  <si>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</si>
  <si>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</si>
  <si>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</si>
  <si>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2710/000</t>
  </si>
  <si>
    <t>Rent received</t>
  </si>
  <si>
    <t>3000/063</t>
  </si>
  <si>
    <t>3000/070</t>
  </si>
  <si>
    <t>3000/071</t>
  </si>
  <si>
    <t>3000/072</t>
  </si>
  <si>
    <t>3000/073</t>
  </si>
  <si>
    <t>3000/074</t>
  </si>
  <si>
    <t>3000/075</t>
  </si>
  <si>
    <t>3000/080</t>
  </si>
  <si>
    <t>3000/090</t>
  </si>
  <si>
    <t>Entertainment expenses</t>
  </si>
  <si>
    <t>3000/100</t>
  </si>
  <si>
    <t>General expenses</t>
  </si>
  <si>
    <t xml:space="preserve">  Depreciation</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</si>
  <si>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</si>
  <si>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</si>
  <si>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</si>
  <si>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</si>
  <si>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</si>
  <si>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</si>
  <si>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</si>
  <si>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</si>
  <si>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</si>
  <si>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</si>
  <si>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 xml:space="preserve">  Cost</t>
  </si>
  <si>
    <t>Add: Additions</t>
  </si>
  <si>
    <t>Other reserves - transfer</t>
  </si>
  <si>
    <t>5200/000</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</si>
  <si>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</si>
  <si>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</si>
  <si>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</si>
  <si>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</si>
  <si>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</si>
  <si>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</si>
  <si>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</si>
  <si>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</si>
  <si>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</si>
  <si>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</si>
  <si>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</si>
  <si>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</si>
  <si>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</si>
  <si>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</si>
  <si>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</si>
  <si>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</si>
  <si>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</si>
  <si>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</si>
  <si>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</si>
  <si>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</si>
  <si>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</si>
  <si>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</si>
  <si>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</si>
  <si>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</si>
  <si>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</si>
  <si>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</si>
  <si>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Depreciation----------------------------</t>
  </si>
  <si>
    <t>2100/031</t>
  </si>
  <si>
    <t>2100/032</t>
  </si>
  <si>
    <t>Balance Sheet</t>
  </si>
  <si>
    <t>7500/000</t>
  </si>
  <si>
    <t>7500/001</t>
  </si>
  <si>
    <t>Raw materials</t>
  </si>
  <si>
    <t>RECONCILIATION</t>
  </si>
  <si>
    <t>TRADE AND OTHER PAYABLES</t>
  </si>
  <si>
    <t>Trade payables</t>
  </si>
  <si>
    <t>Other</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</si>
  <si>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</si>
  <si>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</si>
  <si>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</si>
  <si>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</si>
  <si>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</si>
  <si>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</si>
  <si>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</si>
  <si>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</si>
  <si>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</si>
  <si>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</si>
  <si>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</si>
  <si>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</si>
  <si>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</si>
  <si>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</si>
  <si>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</si>
  <si>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</si>
  <si>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</si>
  <si>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</si>
  <si>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</si>
  <si>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</si>
  <si>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</si>
  <si>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</si>
  <si>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</si>
  <si>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</si>
  <si>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</si>
  <si>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4750/000</t>
  </si>
  <si>
    <t>4750/010</t>
  </si>
  <si>
    <t>9300/010</t>
  </si>
  <si>
    <t>9300/020</t>
  </si>
  <si>
    <t>9300/030</t>
  </si>
  <si>
    <t>9300/040</t>
  </si>
  <si>
    <t>9300/050</t>
  </si>
  <si>
    <t>9300/060</t>
  </si>
  <si>
    <t>9300/070</t>
  </si>
  <si>
    <t>9300/090</t>
  </si>
  <si>
    <t>5120/000</t>
  </si>
  <si>
    <t>5120/001</t>
  </si>
  <si>
    <t>5120/002</t>
  </si>
  <si>
    <t>5120/003</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</si>
  <si>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</si>
  <si>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</si>
  <si>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</si>
  <si>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</si>
  <si>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</si>
  <si>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</si>
  <si>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</si>
  <si>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</si>
  <si>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</si>
  <si>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</si>
  <si>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</si>
  <si>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</si>
  <si>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</si>
  <si>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</si>
  <si>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</si>
  <si>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</si>
  <si>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</si>
  <si>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</si>
  <si>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</si>
  <si>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</si>
  <si>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Directors</t>
  </si>
  <si>
    <t>DIRECTORS' REPORT</t>
  </si>
  <si>
    <t>NATURE OF BUSINESS</t>
  </si>
  <si>
    <t>FINANCIAL RESULTS</t>
  </si>
  <si>
    <t>Dividends declared</t>
  </si>
  <si>
    <t>If Yes:</t>
  </si>
  <si>
    <t>Were there a fundamental change in the nature or use of fixed assets?</t>
  </si>
  <si>
    <t>Share Capital</t>
  </si>
  <si>
    <t>STATEMENT OF CHANGES IN EQUITY</t>
  </si>
  <si>
    <t>DIVIDENDS</t>
  </si>
  <si>
    <t>SHARE CAPITAL</t>
  </si>
  <si>
    <t>FUNDAMENTAL FACTS OR CONTINGENCIES SINCE YEAR END</t>
  </si>
  <si>
    <t>Issued shares at the beginning of the year</t>
  </si>
  <si>
    <t>Shares issued during the year</t>
  </si>
  <si>
    <t>Issued shares at the end of the year</t>
  </si>
  <si>
    <t>SHARE PREMIUM</t>
  </si>
  <si>
    <t>Share premium at the  beginning of the year</t>
  </si>
  <si>
    <t>Share premium on shares issued during the year</t>
  </si>
  <si>
    <t>Share premium transfer</t>
  </si>
  <si>
    <t>Share premium at the end of the year</t>
  </si>
  <si>
    <t>Balance at the end of the year</t>
  </si>
  <si>
    <t>5100/000</t>
  </si>
  <si>
    <t>5100/001</t>
  </si>
  <si>
    <t>5100/002</t>
  </si>
  <si>
    <t>5110/000</t>
  </si>
  <si>
    <t>5110/001</t>
  </si>
  <si>
    <t>5110/002</t>
  </si>
  <si>
    <t>5110/003</t>
  </si>
  <si>
    <t>Share premium - transfer</t>
  </si>
  <si>
    <t>Rent paid</t>
  </si>
  <si>
    <t>7460/008</t>
  </si>
  <si>
    <t>4700/015</t>
  </si>
  <si>
    <t>DETAILED INCOME STATEMENT</t>
  </si>
  <si>
    <t>ANNEXURES</t>
  </si>
  <si>
    <t>Portion</t>
  </si>
  <si>
    <t>Reg Date</t>
  </si>
  <si>
    <t>COMMERCIAL</t>
  </si>
  <si>
    <t>RESIDENTIAL AND VACANT STANDS</t>
  </si>
  <si>
    <t>SERVICE DEPOSITS</t>
  </si>
  <si>
    <t>4700/016</t>
  </si>
  <si>
    <t>PREPAYMENTS</t>
  </si>
  <si>
    <t>Legal expenses</t>
  </si>
  <si>
    <t>RENT RECEIVED</t>
  </si>
  <si>
    <t>ANNEXURE A</t>
  </si>
  <si>
    <t>Opening stock</t>
  </si>
  <si>
    <t>Closing stock</t>
  </si>
  <si>
    <t>Discount allowed</t>
  </si>
  <si>
    <t>Motor vehicle expenses</t>
  </si>
  <si>
    <t>Dividends received</t>
  </si>
  <si>
    <t xml:space="preserve">Interest received </t>
  </si>
  <si>
    <t>Deferred tax balance  depreciation b/fwd</t>
  </si>
  <si>
    <t>Deferred tax balance  tax loss b/fwd</t>
  </si>
  <si>
    <t>STAFF LOANS</t>
  </si>
  <si>
    <t>BANK BALANCES</t>
  </si>
  <si>
    <t>3000/230</t>
  </si>
  <si>
    <t>3000/240</t>
  </si>
  <si>
    <t>3000/250</t>
  </si>
  <si>
    <t>3000/260</t>
  </si>
  <si>
    <t>3000/270</t>
  </si>
  <si>
    <t>CASH ON HAND</t>
  </si>
  <si>
    <t>COMPANY INFORMATION</t>
  </si>
  <si>
    <t>COMPANY NAME</t>
  </si>
  <si>
    <t>Licenses</t>
  </si>
  <si>
    <t>Levies - Skills development</t>
  </si>
  <si>
    <t>Loss on sale of fixed assets</t>
  </si>
  <si>
    <t>Profit on sale of fixed assets</t>
  </si>
  <si>
    <t>Deferred tax asset</t>
  </si>
  <si>
    <t>Share capital</t>
  </si>
  <si>
    <t>Share premium</t>
  </si>
  <si>
    <t>Deferred tax liability</t>
  </si>
  <si>
    <t>Current tax liability</t>
  </si>
  <si>
    <t>equipment</t>
  </si>
  <si>
    <t>vehicles</t>
  </si>
  <si>
    <t xml:space="preserve">  Less: Accumulated depr</t>
  </si>
  <si>
    <t xml:space="preserve">   Less: Accumulated depr</t>
  </si>
  <si>
    <t xml:space="preserve">     Raw materials</t>
  </si>
  <si>
    <t xml:space="preserve">     Work in progress</t>
  </si>
  <si>
    <t xml:space="preserve">     Finished goods</t>
  </si>
  <si>
    <t xml:space="preserve">     Trading stock</t>
  </si>
  <si>
    <t>Trade receivables</t>
  </si>
  <si>
    <t>Revenue Service - VAT recoverable</t>
  </si>
  <si>
    <t>Staff loans</t>
  </si>
  <si>
    <t>Revenue Service - VAT payable</t>
  </si>
  <si>
    <t>Dividends payable</t>
  </si>
  <si>
    <t>Provision for future expenses</t>
  </si>
  <si>
    <t>Provision for insurance</t>
  </si>
  <si>
    <t>Provision for salary bonus</t>
  </si>
  <si>
    <t>Motor vehicles</t>
  </si>
  <si>
    <t>Electronic equipment</t>
  </si>
  <si>
    <t>Foreign dividends</t>
  </si>
  <si>
    <t>Total other income</t>
  </si>
  <si>
    <t>2060/001</t>
  </si>
  <si>
    <t>2060/002</t>
  </si>
  <si>
    <t>2060/003</t>
  </si>
  <si>
    <t>2060/004</t>
  </si>
  <si>
    <t>4700/017</t>
  </si>
  <si>
    <t>Sundry suppliers</t>
  </si>
  <si>
    <t>Other accruals</t>
  </si>
  <si>
    <t>SUNDRY SUPPLIERS</t>
  </si>
  <si>
    <t>OTHER ACCRUALS</t>
  </si>
  <si>
    <t>SALARY AND WAGES CONTROL</t>
  </si>
  <si>
    <t>DIFFERENCE</t>
  </si>
  <si>
    <t>TO GO FURTHER, FINISH TRIAL BALANCE FIRST</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</si>
  <si>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</si>
  <si>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</si>
  <si>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</si>
  <si>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</si>
  <si>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</si>
  <si>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</si>
  <si>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</si>
  <si>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</si>
  <si>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</si>
  <si>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</si>
  <si>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</si>
  <si>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</si>
  <si>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</si>
  <si>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</si>
  <si>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</si>
  <si>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Net Value</t>
  </si>
  <si>
    <t>Acc Depr</t>
  </si>
  <si>
    <t>Transfer deed</t>
  </si>
  <si>
    <t>5500/006</t>
  </si>
  <si>
    <t>5500/007</t>
  </si>
  <si>
    <t>5500/008</t>
  </si>
  <si>
    <t>5500/009</t>
  </si>
  <si>
    <t>5500/010</t>
  </si>
  <si>
    <t>5500/011</t>
  </si>
  <si>
    <t>5500/012</t>
  </si>
  <si>
    <t>5500/013</t>
  </si>
  <si>
    <t>Depreciation---------------------------------</t>
  </si>
  <si>
    <t>Rent paid-------------------------------------</t>
  </si>
  <si>
    <t>Dividends received------------------------</t>
  </si>
  <si>
    <t>Directors' remuneration-----------------</t>
  </si>
  <si>
    <t>Interest paid--------------------------------</t>
  </si>
  <si>
    <t>Def tax adj  depreciation previous year</t>
  </si>
  <si>
    <t>Def tax adj tax loss previous year</t>
  </si>
  <si>
    <t>--------------------------------------------------</t>
  </si>
  <si>
    <t>DR/(CR)</t>
  </si>
  <si>
    <t>2150/001</t>
  </si>
  <si>
    <t>2150/002</t>
  </si>
  <si>
    <t>2150/003</t>
  </si>
  <si>
    <t>2150/004</t>
  </si>
  <si>
    <t>2150/005</t>
  </si>
  <si>
    <t>2150/006</t>
  </si>
  <si>
    <t>2150/007</t>
  </si>
  <si>
    <t>2150/008</t>
  </si>
  <si>
    <t>2150/009</t>
  </si>
  <si>
    <t>2150/010</t>
  </si>
  <si>
    <t>5550/006</t>
  </si>
  <si>
    <t>5550/007</t>
  </si>
  <si>
    <t>5550/008</t>
  </si>
  <si>
    <t>5550/009</t>
  </si>
  <si>
    <t>5700/020</t>
  </si>
  <si>
    <t>5700/030</t>
  </si>
  <si>
    <t>5700/040</t>
  </si>
  <si>
    <t>5700/050</t>
  </si>
  <si>
    <t>5700/060</t>
  </si>
  <si>
    <t>7460/004</t>
  </si>
  <si>
    <t>7460/005</t>
  </si>
  <si>
    <t>Depreciation--------------------------------------------------</t>
  </si>
  <si>
    <t>NET PROFIT/(LOSS) BEFORE TAXATION - OTHER ACTIVITIES</t>
  </si>
  <si>
    <t>ANNEXURE B</t>
  </si>
  <si>
    <t>B</t>
  </si>
  <si>
    <t>Annexure A</t>
  </si>
  <si>
    <t>Annexure B</t>
  </si>
  <si>
    <t>Annexure C</t>
  </si>
  <si>
    <t>`</t>
  </si>
  <si>
    <t>C</t>
  </si>
  <si>
    <t>South Africa</t>
  </si>
  <si>
    <t>ANNEXURE C</t>
  </si>
  <si>
    <t>7000/011</t>
  </si>
  <si>
    <t>Scheme nr</t>
  </si>
  <si>
    <t>5550/010</t>
  </si>
  <si>
    <t>Provision for doubtful debts</t>
  </si>
  <si>
    <t>Current tax asset</t>
  </si>
  <si>
    <t>4700/018</t>
  </si>
  <si>
    <t>4700/019</t>
  </si>
  <si>
    <t>4700/021</t>
  </si>
  <si>
    <t>5500/014</t>
  </si>
  <si>
    <t>5500/015</t>
  </si>
  <si>
    <t>Column</t>
  </si>
  <si>
    <t>Opening stock - Raw materials</t>
  </si>
  <si>
    <t>NET (PROFIT)/LOSS OTHER</t>
  </si>
  <si>
    <t>2060/000</t>
  </si>
  <si>
    <t>(Profit)/Loss on sale of fixed assets</t>
  </si>
  <si>
    <t>5550/011</t>
  </si>
  <si>
    <t>5550/012</t>
  </si>
  <si>
    <t>5550/013</t>
  </si>
  <si>
    <t>5550/014</t>
  </si>
  <si>
    <t>5550/015</t>
  </si>
  <si>
    <t>5550/016</t>
  </si>
  <si>
    <t>5550/017</t>
  </si>
  <si>
    <t>Audit fees</t>
  </si>
  <si>
    <t>Motor vehicle expenses----------------------------------</t>
  </si>
  <si>
    <t>TRIAL BALANCE</t>
  </si>
  <si>
    <t>Interest free</t>
  </si>
  <si>
    <t>Interest bearing</t>
  </si>
  <si>
    <t>REG. NO.</t>
  </si>
  <si>
    <t>STATEMENT OF FINANCIAL POSITION</t>
  </si>
  <si>
    <t>STATEMENT OF COMPREHENSIVE INCOME</t>
  </si>
  <si>
    <t>NON CURRENT RECEIVABLES</t>
  </si>
  <si>
    <t>FIXED ASSET SUMMARY</t>
  </si>
  <si>
    <t>PLACE OF SIGNING</t>
  </si>
  <si>
    <t>Auditor/Accounting Officer</t>
  </si>
  <si>
    <t>Cash and cash equivalents</t>
  </si>
  <si>
    <t>Interest received</t>
  </si>
  <si>
    <t>3000/055</t>
  </si>
  <si>
    <t>Dividends</t>
  </si>
  <si>
    <t>*</t>
  </si>
  <si>
    <t>ALL ROWS TRUE</t>
  </si>
  <si>
    <t>EXPENSES</t>
  </si>
  <si>
    <t>ADVERTISING</t>
  </si>
  <si>
    <t>INSURANCE</t>
  </si>
  <si>
    <t>6100/030</t>
  </si>
  <si>
    <t>6100/031</t>
  </si>
  <si>
    <t>6100/032</t>
  </si>
  <si>
    <t>6100/033</t>
  </si>
  <si>
    <t>NO</t>
  </si>
  <si>
    <t>Assets less than R7,000</t>
  </si>
  <si>
    <t>Assets less than R7 000</t>
  </si>
  <si>
    <t>Johannesburg</t>
  </si>
  <si>
    <t>A PRODUCT BY</t>
  </si>
  <si>
    <t>www.fseasy.co.za</t>
  </si>
  <si>
    <t>Optional</t>
  </si>
  <si>
    <t>Were there any fundamental facts or contingencies since year end?</t>
  </si>
  <si>
    <t>Div.'s received - SA sources</t>
  </si>
  <si>
    <t>Div.'s received - Foreign div.'s</t>
  </si>
  <si>
    <t>A Director</t>
  </si>
  <si>
    <t>Nationality</t>
  </si>
  <si>
    <t>RSA</t>
  </si>
  <si>
    <t>Were there any changes in the directors during the year?</t>
  </si>
  <si>
    <t>Total assets</t>
  </si>
  <si>
    <t>Bankers</t>
  </si>
  <si>
    <t>NATURE OF BUSINESS AND PRINCIPAL ACTIVITIES</t>
  </si>
  <si>
    <t>GOING CONCERN</t>
  </si>
  <si>
    <t>Currency</t>
  </si>
  <si>
    <t>South African Rand</t>
  </si>
  <si>
    <t>Reserves additions</t>
  </si>
  <si>
    <t>Reserves transfers</t>
  </si>
  <si>
    <t>OTHER NON - CURRENT RECEIVABLES</t>
  </si>
  <si>
    <t>TRADE AND OTHER RECEIVABLES</t>
  </si>
  <si>
    <t>Trade and other receivables</t>
  </si>
  <si>
    <t>Electricity and water</t>
  </si>
  <si>
    <t>Telephone, postage and courier</t>
  </si>
  <si>
    <t>Consulting and professional fees</t>
  </si>
  <si>
    <t>Printing and stationery</t>
  </si>
  <si>
    <t>Subscriptions and membership fees</t>
  </si>
  <si>
    <t>Plant and equipment</t>
  </si>
  <si>
    <t>Trade and other payables</t>
  </si>
  <si>
    <t>fittings</t>
  </si>
  <si>
    <t>Furniture and fittings</t>
  </si>
  <si>
    <t>CONNECTED ENTITIES LOANS</t>
  </si>
  <si>
    <t>Less: Portions payable within 1 year transferred to current liabilities</t>
  </si>
  <si>
    <t>Registration number</t>
  </si>
  <si>
    <t>Were there any changes in the share capital?</t>
  </si>
  <si>
    <t>The major part of fixed assets was sold in the current financial year.</t>
  </si>
  <si>
    <t>Issued share capital</t>
  </si>
  <si>
    <t>Straight line</t>
  </si>
  <si>
    <t>Plant and equipment - leased assets capitalized</t>
  </si>
  <si>
    <t xml:space="preserve">  Less: Accumulated depreciation</t>
  </si>
  <si>
    <t>Market value</t>
  </si>
  <si>
    <t>Other investments</t>
  </si>
  <si>
    <t>Directors' valuation</t>
  </si>
  <si>
    <t>Non - current receivables</t>
  </si>
  <si>
    <t>Are trade debtors ceded to the bank for the overdraft facility?</t>
  </si>
  <si>
    <t>Trade debtors are ceded to…</t>
  </si>
  <si>
    <t>Salary and wages control</t>
  </si>
  <si>
    <t>Interest bearing borrowings</t>
  </si>
  <si>
    <t>Listed investments</t>
  </si>
  <si>
    <t>Calculated loss for tax purposes</t>
  </si>
  <si>
    <t>Audit and accounting fee accrual</t>
  </si>
  <si>
    <t>Audit and accounting fees</t>
  </si>
  <si>
    <t>7450/006</t>
  </si>
  <si>
    <t>Main - T/A</t>
  </si>
  <si>
    <t>Issued and fully paid</t>
  </si>
  <si>
    <t>Depr - Plant and machinery</t>
  </si>
  <si>
    <t>Motor vehicle expenses - Licenses</t>
  </si>
  <si>
    <t>Motor vehicle expenses - General</t>
  </si>
  <si>
    <t>Rent received (not main income)</t>
  </si>
  <si>
    <t>Interest received--------------------------</t>
  </si>
  <si>
    <t>Legal expenses - tax deductible</t>
  </si>
  <si>
    <t>Legal expenses - non deductible</t>
  </si>
  <si>
    <t>Penalties and interest - SARS</t>
  </si>
  <si>
    <t>Depr - Furniture and fittings</t>
  </si>
  <si>
    <t>Interest received-----------------------</t>
  </si>
  <si>
    <t>Share capital - balance b/fwd</t>
  </si>
  <si>
    <t>Share capital - additions</t>
  </si>
  <si>
    <t>Share premium - balance b/fwd</t>
  </si>
  <si>
    <t>Share premium - additions</t>
  </si>
  <si>
    <t>Other reserves - balance b/fwd</t>
  </si>
  <si>
    <t>Other reserves - additions</t>
  </si>
  <si>
    <t>(Retained income) / Accumulated loss</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</si>
  <si>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</si>
  <si>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</si>
  <si>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</si>
  <si>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</si>
  <si>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</si>
  <si>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</si>
  <si>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</si>
  <si>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</si>
  <si>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</si>
  <si>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</si>
  <si>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</si>
  <si>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</si>
  <si>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</si>
  <si>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</si>
  <si>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</si>
  <si>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</si>
  <si>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</si>
  <si>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</si>
  <si>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</si>
  <si>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</si>
  <si>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</si>
  <si>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</si>
  <si>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</si>
  <si>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</si>
  <si>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</si>
  <si>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</si>
  <si>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</si>
  <si>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</si>
  <si>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</si>
  <si>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</si>
  <si>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</si>
  <si>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</si>
  <si>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Other reserves - Balance b/fwd</t>
  </si>
  <si>
    <t>Traveling and accommodation</t>
  </si>
  <si>
    <t>PROPERTY, PLANT AND EQUIPMENT</t>
  </si>
  <si>
    <t>(decrease)</t>
  </si>
  <si>
    <t>Taxation</t>
  </si>
  <si>
    <t>Increase/</t>
  </si>
  <si>
    <t>Initial measurement</t>
  </si>
  <si>
    <t>Motor</t>
  </si>
  <si>
    <t>Electronic</t>
  </si>
  <si>
    <t>Business address</t>
  </si>
  <si>
    <t>Business adress</t>
  </si>
  <si>
    <t>Related party balances and transactions</t>
  </si>
  <si>
    <t>RELATED PARTIES AND TRANSACTIONS</t>
  </si>
  <si>
    <t>Relationship</t>
  </si>
  <si>
    <t>Director</t>
  </si>
  <si>
    <t>Related party</t>
  </si>
  <si>
    <t>owed by / (to)</t>
  </si>
  <si>
    <t>Related party balances and interest (link to Trial Balance)</t>
  </si>
  <si>
    <t>Balance owed by / (to)</t>
  </si>
  <si>
    <t>from / (paid to)</t>
  </si>
  <si>
    <t>Interest (received from) /</t>
  </si>
  <si>
    <t>paid to</t>
  </si>
  <si>
    <t>Persons with significant influence</t>
  </si>
  <si>
    <t>B Director resigned during the financial year and C Director was appointed.</t>
  </si>
  <si>
    <t>Government grants received</t>
  </si>
  <si>
    <t>support@fseasy.co.za</t>
  </si>
  <si>
    <t>AUDIT AND ACCOUNTING FEE ACCRUAL</t>
  </si>
  <si>
    <t>Over-/(Under) provision previous year</t>
  </si>
  <si>
    <t>Tax paid/(refund) for previous year provisions</t>
  </si>
  <si>
    <t>Dividends' tax provision</t>
  </si>
  <si>
    <t>Dividends tax provision</t>
  </si>
  <si>
    <t>Provision for current year</t>
  </si>
  <si>
    <t>Previous periods adjustment</t>
  </si>
  <si>
    <t>Premises</t>
  </si>
  <si>
    <t>The company distributed the share premium to the loan accounts of the shareholders.</t>
  </si>
  <si>
    <t>Figures can be copied from the Holding company's Trial Balance to the Master Consolidated Company</t>
  </si>
  <si>
    <t>Then make use of the Master Consolidated Company to consolidate the group.</t>
  </si>
  <si>
    <t>2000/123456/07</t>
  </si>
  <si>
    <t>7450/007</t>
  </si>
  <si>
    <t>7450/008</t>
  </si>
  <si>
    <t>7450/009</t>
  </si>
  <si>
    <t>7450/010</t>
  </si>
  <si>
    <t>7455/000</t>
  </si>
  <si>
    <t>7455/001</t>
  </si>
  <si>
    <t>7455/002</t>
  </si>
  <si>
    <t>7455/003</t>
  </si>
  <si>
    <t>7455/004</t>
  </si>
  <si>
    <t>7455/005</t>
  </si>
  <si>
    <t>7455/006</t>
  </si>
  <si>
    <t>7455/007</t>
  </si>
  <si>
    <t>7455/008</t>
  </si>
  <si>
    <t>7455/009</t>
  </si>
  <si>
    <t>7455/010</t>
  </si>
  <si>
    <t>CONSOLIDATED FINANCIAL STATEMENTS</t>
  </si>
  <si>
    <t>INVESTMENTS IN FINANCIAL INSTRUMENTS</t>
  </si>
  <si>
    <t>Investments in financial instruments</t>
  </si>
  <si>
    <t>Investment in financial instruments</t>
  </si>
  <si>
    <t>Investment in immovable properties</t>
  </si>
  <si>
    <t>CONSOLIDATED FINANCIAL STATEMENTS AS AT</t>
  </si>
  <si>
    <t>. . . . . . . . . . . . . . . . . . . . . . .</t>
  </si>
  <si>
    <t>….................................</t>
  </si>
  <si>
    <t>APPROVAL OF ANNUAL CONSOLIDATED FINANCIAL STATEMENTS</t>
  </si>
  <si>
    <t>NET PROFIT/(LOSS) BEFORE TAXATION - OTHER COMPANIES</t>
  </si>
  <si>
    <r>
      <t xml:space="preserve">If </t>
    </r>
    <r>
      <rPr>
        <b/>
        <sz val="11"/>
        <rFont val="Calibri"/>
        <family val="2"/>
      </rPr>
      <t>dividends</t>
    </r>
    <r>
      <rPr>
        <sz val="11"/>
        <rFont val="Calibri"/>
        <family val="2"/>
      </rPr>
      <t xml:space="preserve"> are declared inter company, remember to contra the dividend received in the holding</t>
    </r>
  </si>
  <si>
    <t>INSTRUCTIONS</t>
  </si>
  <si>
    <t>and then to consolidate the subsidiaries using the other trading activities Trial Balances.</t>
  </si>
  <si>
    <t>company and the dividend declared from the subsidiary with a journal.</t>
  </si>
  <si>
    <t>SUBSIDIARY ONE 111 (PTY) LTD</t>
  </si>
  <si>
    <t>SUBSIDIARY TWO 15 (PTY) LTD</t>
  </si>
  <si>
    <t>Subsidiary One 111 (Pty) Ltd</t>
  </si>
  <si>
    <t>Subsidiary Two 15 (Pty) Ltd</t>
  </si>
  <si>
    <r>
      <t xml:space="preserve">If you make use of the </t>
    </r>
    <r>
      <rPr>
        <b/>
        <sz val="11"/>
        <rFont val="Calibri"/>
        <family val="2"/>
      </rPr>
      <t>Consolidated Financial Statements</t>
    </r>
    <r>
      <rPr>
        <sz val="11"/>
        <rFont val="Calibri"/>
        <family val="2"/>
      </rPr>
      <t>, complete the Master Company file for each</t>
    </r>
  </si>
  <si>
    <t xml:space="preserve">CONSOLIDATED FINANCIAL STATEMENTS FOR THE YEAR ENDED </t>
  </si>
  <si>
    <t xml:space="preserve">A </t>
  </si>
  <si>
    <t xml:space="preserve">B </t>
  </si>
  <si>
    <t xml:space="preserve">C </t>
  </si>
  <si>
    <t>We have compiled the accompanying Consolidated Financial Statements of</t>
  </si>
  <si>
    <t>Auditor</t>
  </si>
  <si>
    <t>AUDITOR'S COMPILATION REPORT</t>
  </si>
  <si>
    <t>Subsidiary and for the holding company for bank and tax purposes.</t>
  </si>
  <si>
    <t>The reports and statements set out below comprise the annual Consolidated Financial</t>
  </si>
  <si>
    <t>domicile</t>
  </si>
  <si>
    <t>Country of incorporation and</t>
  </si>
  <si>
    <t>Services 4410 (revised), Compilation Engagements.</t>
  </si>
  <si>
    <t>We performed this compilation engagement in accordance with International Standard on Related</t>
  </si>
  <si>
    <t xml:space="preserve">We have applied our expertise in accounting and financial reporting to assist you in the </t>
  </si>
  <si>
    <t>Since a compilation engagement is not an assurance engagement, we are not required to verify the</t>
  </si>
  <si>
    <t>If there is an indication that there has been a significant change in the depreciation rates, useful</t>
  </si>
  <si>
    <t>life or residual value of an asset, the depreciation of that asset is revised accordingly to reflect</t>
  </si>
  <si>
    <t>the new expectations.</t>
  </si>
  <si>
    <t>except in the initial measurement of financial assets and liabilities that are measured at fair value</t>
  </si>
  <si>
    <t>of interest for a similar debt instrument.</t>
  </si>
  <si>
    <t>These include loans, trade receivables and trade payables. Debt instruments which are classified</t>
  </si>
  <si>
    <t>as current assets or current liabilities are measured at the undiscounted amount of the cash</t>
  </si>
  <si>
    <t>recoverable amount and an impairment loss is recognised immediately in profit and loss.</t>
  </si>
  <si>
    <t>the Financial Statements.</t>
  </si>
  <si>
    <t>ADMINISTRATIVE EXPENSES</t>
  </si>
  <si>
    <t xml:space="preserve">Revenue </t>
  </si>
  <si>
    <t>Revenue</t>
  </si>
  <si>
    <t>LESS: ADMINISTRATIVE EXPENSES</t>
  </si>
  <si>
    <t>Sale of goods</t>
  </si>
  <si>
    <t>Rendering of services</t>
  </si>
  <si>
    <t>Commissions received</t>
  </si>
  <si>
    <t>1000/004</t>
  </si>
  <si>
    <t>1000/005</t>
  </si>
  <si>
    <t>1000/006</t>
  </si>
  <si>
    <t>1000/007</t>
  </si>
  <si>
    <t>Inventories</t>
  </si>
  <si>
    <t>INVENTORIES</t>
  </si>
  <si>
    <t xml:space="preserve">Inventories consists of the following: </t>
  </si>
  <si>
    <t>7100/050</t>
  </si>
  <si>
    <t>INVESTMENTS IN ASSOCIATES</t>
  </si>
  <si>
    <t>7100/051</t>
  </si>
  <si>
    <t>100 Shares in ABC Company (Pty) Ltd - 100% interest</t>
  </si>
  <si>
    <t>7100/052</t>
  </si>
  <si>
    <t>7100/053</t>
  </si>
  <si>
    <t>REVALUATION RESERVE</t>
  </si>
  <si>
    <t>Revaluation reserve - balance b/fwd</t>
  </si>
  <si>
    <t>Revaluation reserve - additions</t>
  </si>
  <si>
    <t>Revaluation reserve - transfer</t>
  </si>
  <si>
    <t>BASIS OF CONSOLIDATION</t>
  </si>
  <si>
    <t>eliminated.</t>
  </si>
  <si>
    <t>Revenue is measured at the fair value of the consideration received or receivable and represents</t>
  </si>
  <si>
    <t>the amounts receivable for goods and services provided in the normal course of business, net of</t>
  </si>
  <si>
    <t xml:space="preserve">Revenue is recognised when the goods are delivered and the significant risks and rewards of </t>
  </si>
  <si>
    <t>ownership have passed to the buyer.</t>
  </si>
  <si>
    <t xml:space="preserve">Revenue is recognised with reference to the stage of completion provided that the amount of </t>
  </si>
  <si>
    <t>revenue and its related costs can be measured reliably and it is probable that the economic</t>
  </si>
  <si>
    <t>benefits associated with the transaction will flow to the Group.</t>
  </si>
  <si>
    <t>Current tax assets and liabilities</t>
  </si>
  <si>
    <t xml:space="preserve">Current tax for current and prior periods is, to the extent unpaid, recognised as a liability. If the </t>
  </si>
  <si>
    <t xml:space="preserve">amount already paid in respect of current and prior periods exceeds the amount due for those </t>
  </si>
  <si>
    <t>periods, the excess is recognised as an asset, limited to the extent that it is probable that taxable</t>
  </si>
  <si>
    <t>profits will be available against which those deductible temporary differences can be utilised.</t>
  </si>
  <si>
    <t>Deferred Tax</t>
  </si>
  <si>
    <t>Deferred tax is recognised on differences between the carrying amounts of assets and liabilities</t>
  </si>
  <si>
    <t>reduce taxable profit in the future, and any unused tax losses or unused tax credits, limited to the</t>
  </si>
  <si>
    <t>extent that it is probable that taxable profits will be available against which those deductible</t>
  </si>
  <si>
    <t>temporary differences can be utilised.</t>
  </si>
  <si>
    <t>Tax Expense</t>
  </si>
  <si>
    <t>Income tax expense represents the sum of the tax currently payable and deferred tax movement for</t>
  </si>
  <si>
    <t>the current period. The tax currently payable is based on taxable profit for the year.</t>
  </si>
  <si>
    <t xml:space="preserve">its own use or for rental purposes and are not held for short term speculative reasons. </t>
  </si>
  <si>
    <t xml:space="preserve">Property, plant and equipment are initially measured at cost. Cost includes all costs directly </t>
  </si>
  <si>
    <t>attributable to bringing the assets to working condition for their intended use and subsequently to</t>
  </si>
  <si>
    <t xml:space="preserve">add or replace part of the assets, if it is probable that future economic benefits associated with </t>
  </si>
  <si>
    <t>at cost less accumulated depreciation.</t>
  </si>
  <si>
    <t>Depreciation is calculated to write off the cost of property, plant and equipment over their useful</t>
  </si>
  <si>
    <t>economic life to its estimated residual value, when the asset is available for and taken into use,</t>
  </si>
  <si>
    <t>at the following rates per annum:</t>
  </si>
  <si>
    <t>Property, plant and equipment are tangible assets which the Group holds in the long term for</t>
  </si>
  <si>
    <t xml:space="preserve">the expenditure will flow to the Group. Property, plant and equipment are subsequently stated </t>
  </si>
  <si>
    <t>Property</t>
  </si>
  <si>
    <t>Assets with a unit cost of less than R 7 000 are recognised directly as an expense upon acquisition.</t>
  </si>
  <si>
    <t>INVESTMENT PROPERTY</t>
  </si>
  <si>
    <t>Investment property whose fair value can be measured reliably is recorded initially at its cost and</t>
  </si>
  <si>
    <t xml:space="preserve">subsequently at its fair value, with the changes in the fair value going through profit and loss. </t>
  </si>
  <si>
    <t xml:space="preserve">If the fair value is not reliably measurable without undue cost or effort the property is then </t>
  </si>
  <si>
    <t>included in property, plant and equipment.</t>
  </si>
  <si>
    <t>An intangible asset is an identifiable non-monetary asset without physical substance.</t>
  </si>
  <si>
    <t>Prepaid lease agreements</t>
  </si>
  <si>
    <t xml:space="preserve">Prepaid lease agreements are initially recognised at cost and subsequently carried at cost less </t>
  </si>
  <si>
    <t>accumulated amortisation. Amortisation is calculated by applying the straight-line method over</t>
  </si>
  <si>
    <t>the period according to the terms of the agreement.</t>
  </si>
  <si>
    <t>Goodwill</t>
  </si>
  <si>
    <t>Goodwill acquired in a business combination is recognised as an asset and is initially measured</t>
  </si>
  <si>
    <t>at its cost. Subsequent to initial recognition goodwill is carried at cost less accumulated</t>
  </si>
  <si>
    <t>amortisation and net of accumulated impairment losses.</t>
  </si>
  <si>
    <t>Amortisation is provided to write down the goodwill on a straight line basis, as follows:</t>
  </si>
  <si>
    <t>Amortisation period (max. 10 years)</t>
  </si>
  <si>
    <t>years</t>
  </si>
  <si>
    <t>LEASES</t>
  </si>
  <si>
    <t xml:space="preserve">Leases are classified as finance leases when the terms of the lease transfer substantially all the </t>
  </si>
  <si>
    <t xml:space="preserve">risks and rewards of ownership of the leased asset to the lessee. All other leases are classified </t>
  </si>
  <si>
    <t>as operating leases.</t>
  </si>
  <si>
    <t>Finance Lease - Lessee</t>
  </si>
  <si>
    <t>Rights to assets held under finance leases are recognised as assets at the fair value of the leased</t>
  </si>
  <si>
    <t>Operating Lease – Lessee</t>
  </si>
  <si>
    <t>Rentals payable under operating leases are charged to profit or loss on a straight-line basis over</t>
  </si>
  <si>
    <t>the term of the relevant lease.</t>
  </si>
  <si>
    <t>Inventories are stated at the lower of cost and selling price less costs to complete and sell.</t>
  </si>
  <si>
    <t>Cost is calculated using the first-in, first-out (FIFO) method.</t>
  </si>
  <si>
    <t>INVESTMENT PROPERTY - COST</t>
  </si>
  <si>
    <t>Investment property - cost b/fwd</t>
  </si>
  <si>
    <t>Investment property - additions</t>
  </si>
  <si>
    <t>Investment property - cost of sales</t>
  </si>
  <si>
    <t>Investment property - transfer from property</t>
  </si>
  <si>
    <t>6100/004</t>
  </si>
  <si>
    <t>OPERATING EXPENSES</t>
  </si>
  <si>
    <t>LESS: OPERATING EXPENSES</t>
  </si>
  <si>
    <t xml:space="preserve">Financial instruments are initially measured at the transaction price (including transaction costs </t>
  </si>
  <si>
    <t>through profit and loss), unless the arrangement constitutes, in effect, a financing transaction in</t>
  </si>
  <si>
    <t>which case it is measured at the present value of the future payments discounted at a market rate</t>
  </si>
  <si>
    <t>Financial instruments at amortised cost</t>
  </si>
  <si>
    <t xml:space="preserve">expected to be received or paid, unless the arrangement effectively constitutes a financing </t>
  </si>
  <si>
    <t>transaction. At each reporting date, the carrying amounts of assets held in this category are</t>
  </si>
  <si>
    <t xml:space="preserve">reviewed to determine whether there is any objective evidence of impairment. If there is </t>
  </si>
  <si>
    <t>objective evidence, the recoverable amount is estimated and compared with the carrying amount.</t>
  </si>
  <si>
    <t>Where necessary comparative figures have been reclassified.</t>
  </si>
  <si>
    <t>No comparative figures are given as these are the first Financial Statements of the group.</t>
  </si>
  <si>
    <t>discounts, volume rebates and sales-related taxes (if registered for such taxes).</t>
  </si>
  <si>
    <t>If the estimated recoverable amount is lower, the carrying amount is reduced to its estimated</t>
  </si>
  <si>
    <t>asset at the inception of the lease.</t>
  </si>
  <si>
    <t>BASIS OF PREPARATION AND ACCOUNTING POLICIES</t>
  </si>
  <si>
    <t>PROPERTY</t>
  </si>
  <si>
    <t>CARRYING VALUE</t>
  </si>
  <si>
    <t xml:space="preserve">FINANCE LEASE ASSETS INCLUDED IN PLANT AND EQUIPMENT </t>
  </si>
  <si>
    <t>PREVIOUS YEAR</t>
  </si>
  <si>
    <t>Previous Year</t>
  </si>
  <si>
    <t>Authorised share capital</t>
  </si>
  <si>
    <t>Authorised</t>
  </si>
  <si>
    <t>Amortisation of prepaid lease agreement</t>
  </si>
  <si>
    <t>3000/280</t>
  </si>
  <si>
    <t>Amortisation of goodwill</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</si>
  <si>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</si>
  <si>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</si>
  <si>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</si>
  <si>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</si>
  <si>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</si>
  <si>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</si>
  <si>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</si>
  <si>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</si>
  <si>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</si>
  <si>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</si>
  <si>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</si>
  <si>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</si>
  <si>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</si>
  <si>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</si>
  <si>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</si>
  <si>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</si>
  <si>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</si>
  <si>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</si>
  <si>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</si>
  <si>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</si>
  <si>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</si>
  <si>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</si>
  <si>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</si>
  <si>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</si>
  <si>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</si>
  <si>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</si>
  <si>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</si>
  <si>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</si>
  <si>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</si>
  <si>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</si>
  <si>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</si>
  <si>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</si>
  <si>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</si>
  <si>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GOODWILL</t>
  </si>
  <si>
    <t>Carrying value at beginning of year</t>
  </si>
  <si>
    <t xml:space="preserve">  Less: Accumulated amortisation</t>
  </si>
  <si>
    <t xml:space="preserve">  Less: Accumulated impairment loss</t>
  </si>
  <si>
    <t>Annual amortisation</t>
  </si>
  <si>
    <t>Impairment loss</t>
  </si>
  <si>
    <t>Carrying value at the end of year</t>
  </si>
  <si>
    <t>PREPAID LEASE AGREEMENT</t>
  </si>
  <si>
    <t>Impairment losses</t>
  </si>
  <si>
    <t>Intangible assets</t>
  </si>
  <si>
    <t>6100/034</t>
  </si>
  <si>
    <t>6100/040</t>
  </si>
  <si>
    <t>6100/041</t>
  </si>
  <si>
    <t>6100/042</t>
  </si>
  <si>
    <t>6100/043</t>
  </si>
  <si>
    <t>INVESTMENT PROPERTY - VALUATION</t>
  </si>
  <si>
    <t>Investment property - valuation b/fwd</t>
  </si>
  <si>
    <t>Investment property - valuation additions</t>
  </si>
  <si>
    <t>6100/024</t>
  </si>
  <si>
    <t>2050/006</t>
  </si>
  <si>
    <t>Recoupment of depreciation</t>
  </si>
  <si>
    <t>2840/000</t>
  </si>
  <si>
    <t>Revaluation of investment property</t>
  </si>
  <si>
    <t>Revaluation</t>
  </si>
  <si>
    <t>Investment property</t>
  </si>
  <si>
    <t>Less: Transfers to investment property</t>
  </si>
  <si>
    <t>4750/020</t>
  </si>
  <si>
    <t>Reversal - revaluation of investment property</t>
  </si>
  <si>
    <t>6100/005</t>
  </si>
  <si>
    <t>6100/035</t>
  </si>
  <si>
    <t>Investment property - transfer to property</t>
  </si>
  <si>
    <t>Transfers from investment property</t>
  </si>
  <si>
    <t>Investment property - valuation reduction on sales</t>
  </si>
  <si>
    <t>6100/044</t>
  </si>
  <si>
    <t>Investment property - valuation reduction on transfers</t>
  </si>
  <si>
    <t xml:space="preserve">  Revaluation </t>
  </si>
  <si>
    <t>Add: Transfers from property (cost)</t>
  </si>
  <si>
    <t>Add: Fair value changes (revaluation)</t>
  </si>
  <si>
    <t>Less: Transfers to property</t>
  </si>
  <si>
    <t>REVALUATION</t>
  </si>
  <si>
    <t>Cost/Revaluation</t>
  </si>
  <si>
    <t>29 FEBRUARY 2024</t>
  </si>
  <si>
    <t>5700/021</t>
  </si>
  <si>
    <t>Opening balance depreciation tax rate change</t>
  </si>
  <si>
    <t>5700/022</t>
  </si>
  <si>
    <t>Opening balance tax loss tax rate change</t>
  </si>
  <si>
    <t>Deferred tax adjustment on income tax rate change</t>
  </si>
  <si>
    <t>4820/003</t>
  </si>
  <si>
    <t>Revaluation reserve additions</t>
  </si>
  <si>
    <t>Revaluation reserve transfers</t>
  </si>
  <si>
    <t>Other reserves additions</t>
  </si>
  <si>
    <t>Other reserves transfers</t>
  </si>
  <si>
    <t>Is there a bond over Property?</t>
  </si>
  <si>
    <t xml:space="preserve">Property, plant and equipment </t>
  </si>
  <si>
    <t>Dividends amounting to R500,000 were declared on 29 February 2024 (2023 - R0).</t>
  </si>
  <si>
    <t>Income tax rate change</t>
  </si>
  <si>
    <t>Property, plant and equipment (at carrying value)</t>
  </si>
  <si>
    <t>Property, plant and equipment (at cost)</t>
  </si>
  <si>
    <t>Finance leases (if applicable)</t>
  </si>
  <si>
    <t>Future minimum lease payments</t>
  </si>
  <si>
    <t>Within one year</t>
  </si>
  <si>
    <t>One to five years</t>
  </si>
  <si>
    <t>Later than five years</t>
  </si>
  <si>
    <t>Operating leases (if applicable)</t>
  </si>
  <si>
    <t>OBLIGATIONS UNDER FINANCE LEASES</t>
  </si>
  <si>
    <t>The future minimum lease payments are as follows:</t>
  </si>
  <si>
    <t>Later than one year but within five years</t>
  </si>
  <si>
    <t>COMMITMENTS UNDER OPERATING LEASES</t>
  </si>
  <si>
    <t>leases that fall due as follows:</t>
  </si>
  <si>
    <t>Depr - Property</t>
  </si>
  <si>
    <t>Property - cost b/fwd</t>
  </si>
  <si>
    <t>Property - additions</t>
  </si>
  <si>
    <t>Property - cost of sales</t>
  </si>
  <si>
    <t>Property - transfer to investment property</t>
  </si>
  <si>
    <t>Property - transfer from investment property</t>
  </si>
  <si>
    <t>PROPERTY - COST</t>
  </si>
  <si>
    <t>PROPERTY - ACC DEPR</t>
  </si>
  <si>
    <t>Property - acc depr b/fwd</t>
  </si>
  <si>
    <t>Property - depr this year</t>
  </si>
  <si>
    <t>Property - acc depr on sales</t>
  </si>
  <si>
    <t>Property - recoupment of depr</t>
  </si>
  <si>
    <t>Secured by a finance lease/bond agreement over a motor vehicle/property with a book</t>
  </si>
  <si>
    <t>value of R      and which bears interest at x% p.a.</t>
  </si>
  <si>
    <t>inclusive of capital and interest.</t>
  </si>
  <si>
    <t>and is repayable in equal monthly instalments of R     ,</t>
  </si>
  <si>
    <t>HOLDING COMPANY 268 (PROPRIETARY) LIMITED</t>
  </si>
  <si>
    <t>2800/003</t>
  </si>
  <si>
    <t>Div.'s received - Associates</t>
  </si>
  <si>
    <t>Associates</t>
  </si>
  <si>
    <t>Holding Company 268 (Pty) Ltd Group</t>
  </si>
  <si>
    <r>
      <t xml:space="preserve">it is the profit on TrialBalanceA to C line </t>
    </r>
    <r>
      <rPr>
        <sz val="11"/>
        <color rgb="FFFF0000"/>
        <rFont val="Calibri"/>
        <family val="2"/>
      </rPr>
      <t>K5 to K155.</t>
    </r>
    <r>
      <rPr>
        <sz val="11"/>
        <rFont val="Calibri"/>
        <family val="2"/>
      </rPr>
      <t xml:space="preserve"> The Income tax, deferred tax and dividends are</t>
    </r>
  </si>
  <si>
    <t>shown separately on the Main Trial Balance.</t>
  </si>
  <si>
    <t>preparation and presentation of these Consolidated Financial Statements. We have complied with</t>
  </si>
  <si>
    <t>competence and due care.</t>
  </si>
  <si>
    <t xml:space="preserve">relevant ethical requirements, including principles of integrity, objectivity, professional </t>
  </si>
  <si>
    <t>used to compile them are your responsibility.</t>
  </si>
  <si>
    <t>These Consolidated Financial Statements and the accuracy and completeness of the information</t>
  </si>
  <si>
    <t>accuracy or completeness of the information you provided to us to compile these Consolidated</t>
  </si>
  <si>
    <t>Financial Statements. Accordingly, we do not express an audit opinion or a review conclusion on</t>
  </si>
  <si>
    <t xml:space="preserve">whether these Consolidated Financial Statements are prepared in accordance with the basis of </t>
  </si>
  <si>
    <t xml:space="preserve">accuracy or completeness of the information you provided to us to compile these Consolidated </t>
  </si>
  <si>
    <t>accounting as set out in the accounting policies to the Consolidated Financial Statements.</t>
  </si>
  <si>
    <t>The group's main objective is the investment in financial instruments.</t>
  </si>
  <si>
    <t>current financial year:</t>
  </si>
  <si>
    <t>The financial results of the group are set out in the attached Consolidated Financial Statements</t>
  </si>
  <si>
    <t xml:space="preserve">The financial results of the group are set out in the attached Consolidated Financial Statements  </t>
  </si>
  <si>
    <t>Financial Statements.</t>
  </si>
  <si>
    <t xml:space="preserve">The annual Consolidated Financial Statements have been prepared on the basis of accounting </t>
  </si>
  <si>
    <t>policies applicable to a going concern. This basis presumes that funds will be available to finance</t>
  </si>
  <si>
    <t>obligations and commitments will occur in the ordinary course of business.</t>
  </si>
  <si>
    <t>future operations and that the realisation of assets and settlement of liabilities, contingent</t>
  </si>
  <si>
    <t>The annual Consolidated Financial Statements have been prepared on the basis of accounting</t>
  </si>
  <si>
    <t>CONSOLIDATED STATEMENT OF COMPREHENSIVE INCOME FOR THE</t>
  </si>
  <si>
    <t>CONSOLIDATED STATEMENT OF CHANGES IN EQUITY FOR THE YEAR ENDED</t>
  </si>
  <si>
    <t>except where stated otherwise.</t>
  </si>
  <si>
    <t xml:space="preserve">The Consolidated Financial Statements are consistently presented on the historical cost basis, </t>
  </si>
  <si>
    <t xml:space="preserve">The Consolidated Financial Statements incorporate the Financial Statements of the company and </t>
  </si>
  <si>
    <t xml:space="preserve">in the Consolidated Financial Statements and their corresponding tax bases. Deferred tax </t>
  </si>
  <si>
    <t>in the future. Deferred tax assets are recognised for all temporary differences that are expected to</t>
  </si>
  <si>
    <t>liabilities are recognised for all temporary differences that are expected to increase taxable profit</t>
  </si>
  <si>
    <t>At year-end, the Group has outstanding commitments under non-cancellable operating</t>
  </si>
  <si>
    <t>The group entered into transactions with related parties in the ordinary course of business.</t>
  </si>
  <si>
    <t>Did the group have operating activities this year?</t>
  </si>
  <si>
    <t>Did the group have operating activities last year?</t>
  </si>
  <si>
    <t>Did the group sold all it's assets and will be deregistered</t>
  </si>
  <si>
    <t>Shareholders (optional)</t>
  </si>
  <si>
    <t>Interest at SARS official rate</t>
  </si>
  <si>
    <t>The principal accounting policies are as follows:</t>
  </si>
  <si>
    <t>FS EASY</t>
  </si>
  <si>
    <t>(Commitments under non-cancellable contracts)</t>
  </si>
  <si>
    <t>information you have provided. These Consolidated Financial Statements comprise the statement</t>
  </si>
  <si>
    <t>the statement of comprehensive income, statement of changes in equity for the year then ended and</t>
  </si>
  <si>
    <t>policies and other explanatory information.</t>
  </si>
  <si>
    <t xml:space="preserve">notes to the Consolidated Financial Statements, including a summary of significant accounting </t>
  </si>
  <si>
    <t xml:space="preserve">information you have provided. These Consolidated Financial Statements comprise the statement </t>
  </si>
  <si>
    <t>notes to the Consolidated Financial Statements, including a summary of significant accounting</t>
  </si>
  <si>
    <t>The following are the deferred tax liabilities (assets) recognised by the Group:</t>
  </si>
  <si>
    <t>Difference between carrying values and tax bases of property,</t>
  </si>
  <si>
    <t>plant and equipment</t>
  </si>
  <si>
    <t>Temporary differences on property, plant and equipment</t>
  </si>
  <si>
    <t>Income tax provision for current year</t>
  </si>
  <si>
    <t>Under-/(Over) provisions for previous years</t>
  </si>
  <si>
    <t>Tax (paid)/refund for previous years' assessments</t>
  </si>
  <si>
    <t>1st Provisional tax paid</t>
  </si>
  <si>
    <t>2nd Provisional tax paid</t>
  </si>
  <si>
    <t>3rd Provisional tax paid</t>
  </si>
  <si>
    <t>Details of property at Cost (excluding Investment property) - at 0 decimal rounding</t>
  </si>
  <si>
    <t>Details of Investment property at fair value (at 0 decimal rounding)</t>
  </si>
  <si>
    <t>The details of property at cost are as follows:</t>
  </si>
  <si>
    <t>The details of investment property at fair value are as follows:</t>
  </si>
  <si>
    <r>
      <t xml:space="preserve">When you insert the previous figures of the subsidiaries on the main Trial Balance (line </t>
    </r>
    <r>
      <rPr>
        <sz val="11"/>
        <color rgb="FFFF0000"/>
        <rFont val="Calibri"/>
        <family val="2"/>
      </rPr>
      <t>A35 to A37</t>
    </r>
    <r>
      <rPr>
        <sz val="11"/>
        <rFont val="Calibri"/>
        <family val="2"/>
      </rPr>
      <t>)</t>
    </r>
  </si>
  <si>
    <t>Share premium at the beginning of the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</si>
</sst>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 #,##0.00_ ;_ * \-#,##0.00_ ;_ * &quot;-&quot;??_ ;_ @_ "/>
    <numFmt numFmtId="166" formatCode="&quot;R&quot;\ #,##0.00_);[Red]\(&quot;R&quot;\ #,##0.00\)"/>
    <numFmt numFmtId="167" formatCode="&quot;R&quot;\ #,##0.00"/>
    <numFmt numFmtId="168" formatCode="_(* #,##0_);_(* \(#,##0\);_(* &quot;-&quot;??_);_(@_)"/>
    <numFmt numFmtId="169" formatCode="0.000%"/>
    <numFmt numFmtId="170" formatCode="[$-1C09]dd\ mmmm\ yyyy;@"/>
    <numFmt numFmtId="171" formatCode="_(* #,##0.00_);_(* \(#,##0.00\);_(* \-??_);_(@_)"/>
    <numFmt numFmtId="172" formatCode="_ * #,##0.00_ ;_ * \-#,##0.00_ ;_ * \-??_ ;_ @_ "/>
    <numFmt numFmtId="173" formatCode="[$-409]d\-mmm\-yy;@"/>
  </numFmts>
  <fonts count="72" x14ac:knownFonts="1">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0"/>
      <color theme="3"/>
      <name val="Times New Roman"/>
      <family val="1"/>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u val="singleAccounting"/>
      <sz val="10"/>
      <name val="Times New Roman"/>
      <family val="1"/>
    </font>
    <font>
      <sz val="10"/>
      <color theme="0"/>
      <name val="Arial"/>
      <family val="2"/>
    </font>
    <font>
      <sz val="11"/>
      <color theme="1"/>
      <name val="Times New Roman"/>
      <family val="1"/>
    </font>
    <font>
      <sz val="11"/>
      <name val="Times New Roman"/>
      <family val="1"/>
    </font>
    <font>
      <sz val="10"/>
      <color rgb="FFFF0000"/>
      <name val="Times New Roman"/>
      <family val="1"/>
    </font>
    <font>
      <sz val="11"/>
      <name val="Calibri"/>
      <family val="2"/>
    </font>
    <font>
      <b/>
      <sz val="11"/>
      <name val="Calibri"/>
      <family val="2"/>
    </font>
    <font>
      <sz val="12"/>
      <name val="Calibri"/>
      <family val="2"/>
    </font>
    <font>
      <sz val="24"/>
      <name val="Bodoni MT"/>
      <family val="1"/>
    </font>
    <font>
      <u/>
      <sz val="12"/>
      <color indexed="12"/>
      <name val="Calibri"/>
      <family val="2"/>
    </font>
    <font>
      <sz val="21"/>
      <name val="Times New Roman"/>
      <family val="1"/>
    </font>
    <font>
      <b/>
      <sz val="21"/>
      <name val="Times New Roman"/>
      <family val="1"/>
    </font>
    <font>
      <sz val="21"/>
      <name val="Arial"/>
      <family val="2"/>
    </font>
    <font>
      <b/>
      <u/>
      <sz val="11"/>
      <name val="Tempus Sans ITC"/>
      <family val="5"/>
    </font>
    <font>
      <b/>
      <sz val="10"/>
      <color theme="3"/>
      <name val="Times New Roman"/>
      <family val="1"/>
    </font>
    <font>
      <sz val="18"/>
      <name val="Times New Roman"/>
      <family val="1"/>
    </font>
    <font>
      <u/>
      <sz val="14"/>
      <color indexed="12"/>
      <name val="Times New Roman"/>
      <family val="1"/>
    </font>
    <font>
      <sz val="25"/>
      <name val="Times New Roman"/>
      <family val="1"/>
    </font>
    <font>
      <b/>
      <sz val="25"/>
      <name val="Times New Roman"/>
      <family val="1"/>
    </font>
    <font>
      <sz val="25"/>
      <name val="Arial"/>
      <family val="2"/>
    </font>
    <font>
      <u/>
      <sz val="25"/>
      <name val="Times New Roman"/>
      <family val="1"/>
    </font>
    <font>
      <b/>
      <sz val="21"/>
      <color theme="3"/>
      <name val="Times New Roman"/>
      <family val="1"/>
    </font>
    <font>
      <sz val="27"/>
      <name val="Times New Roman"/>
      <family val="1"/>
    </font>
    <font>
      <sz val="24"/>
      <name val="Times New Roman"/>
      <family val="1"/>
    </font>
    <font>
      <sz val="20"/>
      <name val="Times New Roman"/>
      <family val="1"/>
    </font>
    <font>
      <b/>
      <sz val="20"/>
      <name val="Times New Roman"/>
      <family val="1"/>
    </font>
    <font>
      <sz val="23"/>
      <name val="Times New Roman"/>
      <family val="1"/>
    </font>
    <font>
      <b/>
      <sz val="24"/>
      <name val="Times New Roman"/>
      <family val="1"/>
    </font>
    <font>
      <sz val="24"/>
      <name val="Arial"/>
      <family val="2"/>
    </font>
    <font>
      <b/>
      <sz val="16"/>
      <name val="Times New Roman"/>
      <family val="1"/>
    </font>
    <font>
      <sz val="16"/>
      <name val="Times New Roman"/>
      <family val="1"/>
    </font>
    <font>
      <sz val="16"/>
      <name val="Arial"/>
      <family val="2"/>
    </font>
    <font>
      <b/>
      <sz val="16"/>
      <color theme="3"/>
      <name val="Times New Roman"/>
      <family val="1"/>
    </font>
    <font>
      <sz val="16"/>
      <color indexed="10"/>
      <name val="Times New Roman"/>
      <family val="1"/>
    </font>
    <font>
      <sz val="11"/>
      <color rgb="FFFF0000"/>
      <name val="Calibri"/>
      <family val="2"/>
    </font>
    <font>
      <sz val="22"/>
      <name val="Times New Roman"/>
      <family val="1"/>
    </font>
  </fonts>
  <fills count="19">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gradientFill degree="270">
        <stop position="0">
          <color theme="0"/>
        </stop>
        <stop position="1">
          <color theme="4"/>
        </stop>
      </gradientFill>
    </fill>
    <fill>
      <patternFill patternType="solid">
        <fgColor theme="4" tint="0.79998168889431442"/>
        <bgColor indexed="64"/>
      </patternFill>
    </fill>
  </fills>
  <borders count="24">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8">
    <xf numFmtId="0" fontId="0" fillId="0" borderId="0"/>
    <xf numFmtId="164" fontId="2" fillId="0" borderId="0" applyFont="0" applyFill="0" applyBorder="0" applyAlignment="0" applyProtection="0"/>
    <xf numFmtId="164" fontId="17" fillId="0" borderId="0" applyFont="0" applyFill="0" applyBorder="0" applyAlignment="0" applyProtection="0"/>
    <xf numFmtId="171" fontId="17" fillId="0" borderId="0" applyFill="0" applyBorder="0" applyAlignment="0" applyProtection="0"/>
    <xf numFmtId="165" fontId="19" fillId="0" borderId="0" applyFont="0" applyFill="0" applyBorder="0" applyAlignment="0" applyProtection="0"/>
    <xf numFmtId="172" fontId="17" fillId="0" borderId="0" applyFill="0" applyBorder="0" applyAlignment="0" applyProtection="0"/>
    <xf numFmtId="164" fontId="20" fillId="0" borderId="0" applyFont="0" applyFill="0" applyBorder="0" applyAlignment="0" applyProtection="0"/>
    <xf numFmtId="171" fontId="17" fillId="0" borderId="0" applyFill="0" applyBorder="0" applyAlignment="0" applyProtection="0"/>
    <xf numFmtId="164" fontId="21" fillId="0" borderId="0" applyFont="0" applyFill="0" applyBorder="0" applyAlignment="0" applyProtection="0"/>
    <xf numFmtId="171" fontId="17" fillId="0" borderId="0" applyFill="0" applyBorder="0" applyAlignment="0" applyProtection="0"/>
    <xf numFmtId="171" fontId="17" fillId="0" borderId="0" applyFill="0" applyBorder="0" applyAlignment="0" applyProtection="0"/>
    <xf numFmtId="164" fontId="27" fillId="0" borderId="0" applyFont="0" applyFill="0" applyBorder="0" applyAlignment="0" applyProtection="0"/>
    <xf numFmtId="0" fontId="26" fillId="0" borderId="0"/>
    <xf numFmtId="0" fontId="11" fillId="0" borderId="0" applyNumberFormat="0" applyFill="0" applyBorder="0" applyAlignment="0" applyProtection="0">
      <alignment vertical="top"/>
      <protection locked="0"/>
    </xf>
    <xf numFmtId="0" fontId="17" fillId="0" borderId="0"/>
    <xf numFmtId="0" fontId="28"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0" fillId="0" borderId="0" applyFont="0" applyFill="0" applyBorder="0" applyAlignment="0" applyProtection="0"/>
    <xf numFmtId="9" fontId="17" fillId="0" borderId="0" applyFill="0" applyBorder="0" applyAlignment="0" applyProtection="0"/>
    <xf numFmtId="9" fontId="27" fillId="0" borderId="0" applyFont="0" applyFill="0" applyBorder="0" applyAlignment="0" applyProtection="0"/>
    <xf numFmtId="0" fontId="2" fillId="0" borderId="0"/>
    <xf numFmtId="164" fontId="2" fillId="0" borderId="0" applyFont="0" applyFill="0" applyBorder="0" applyAlignment="0" applyProtection="0"/>
    <xf numFmtId="0" fontId="35" fillId="0" borderId="0"/>
    <xf numFmtId="0" fontId="1" fillId="0" borderId="0"/>
    <xf numFmtId="0" fontId="2" fillId="0" borderId="0"/>
    <xf numFmtId="9" fontId="2" fillId="0" borderId="0" applyFont="0" applyFill="0" applyBorder="0" applyAlignment="0" applyProtection="0"/>
  </cellStyleXfs>
  <cellXfs count="530">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15" fontId="3" fillId="0" borderId="0" xfId="1" applyNumberFormat="1" applyFont="1" applyAlignment="1">
      <alignment horizontal="center"/>
    </xf>
    <xf numFmtId="0" fontId="0" fillId="0" borderId="0" xfId="0" quotePrefix="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3" fillId="0" borderId="0" xfId="0" applyNumberFormat="1" applyFont="1"/>
    <xf numFmtId="164" fontId="5" fillId="0" borderId="10" xfId="1" applyFont="1" applyBorder="1"/>
    <xf numFmtId="0" fontId="12" fillId="0" borderId="0" xfId="0" applyFont="1"/>
    <xf numFmtId="164" fontId="6" fillId="0" borderId="0" xfId="1" applyFont="1" applyAlignment="1">
      <alignment horizontal="center"/>
    </xf>
    <xf numFmtId="164" fontId="4" fillId="0" borderId="0" xfId="1" applyFont="1" applyAlignment="1">
      <alignment horizontal="center"/>
    </xf>
    <xf numFmtId="0" fontId="4" fillId="0" borderId="0" xfId="0"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14" fillId="0" borderId="0" xfId="0" applyFont="1"/>
    <xf numFmtId="0" fontId="5" fillId="0" borderId="0" xfId="0" quotePrefix="1" applyFont="1"/>
    <xf numFmtId="39" fontId="5" fillId="0" borderId="0" xfId="0" applyNumberFormat="1" applyFont="1"/>
    <xf numFmtId="164" fontId="5" fillId="0" borderId="10" xfId="0" applyNumberFormat="1" applyFont="1" applyBorder="1"/>
    <xf numFmtId="164" fontId="0" fillId="0" borderId="0" xfId="0" applyNumberFormat="1"/>
    <xf numFmtId="0" fontId="6" fillId="0" borderId="1" xfId="0" applyFont="1" applyBorder="1" applyAlignment="1">
      <alignment horizontal="center"/>
    </xf>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0" fontId="5" fillId="0" borderId="10" xfId="0" applyFont="1" applyBorder="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70"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6" applyFont="1"/>
    <xf numFmtId="9" fontId="0" fillId="0" borderId="0" xfId="16" applyFont="1"/>
    <xf numFmtId="164" fontId="5" fillId="0" borderId="0" xfId="6" applyFont="1"/>
    <xf numFmtId="164" fontId="3" fillId="0" borderId="0" xfId="6" applyFont="1"/>
    <xf numFmtId="164" fontId="5" fillId="2" borderId="0" xfId="6" applyFont="1" applyFill="1"/>
    <xf numFmtId="169" fontId="5" fillId="2" borderId="0" xfId="19" applyNumberFormat="1" applyFont="1" applyFill="1"/>
    <xf numFmtId="164" fontId="5" fillId="0" borderId="1" xfId="6" applyFont="1" applyBorder="1"/>
    <xf numFmtId="164" fontId="6"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170" fontId="3" fillId="0" borderId="0" xfId="0" applyNumberFormat="1" applyFont="1"/>
    <xf numFmtId="164" fontId="3" fillId="0" borderId="0" xfId="8" applyFont="1"/>
    <xf numFmtId="0" fontId="22" fillId="0" borderId="0" xfId="0" quotePrefix="1" applyFont="1"/>
    <xf numFmtId="164" fontId="4" fillId="0" borderId="1" xfId="2" applyFont="1" applyBorder="1"/>
    <xf numFmtId="168" fontId="4" fillId="0" borderId="1" xfId="2" applyNumberFormat="1" applyFont="1" applyBorder="1"/>
    <xf numFmtId="0" fontId="6" fillId="0" borderId="0" xfId="0" quotePrefix="1" applyFont="1"/>
    <xf numFmtId="0" fontId="2" fillId="0" borderId="0" xfId="0" quotePrefix="1" applyFont="1"/>
    <xf numFmtId="164" fontId="29" fillId="3" borderId="0" xfId="1" applyFont="1" applyFill="1"/>
    <xf numFmtId="168" fontId="5" fillId="0" borderId="0" xfId="0" applyNumberFormat="1" applyFont="1"/>
    <xf numFmtId="164" fontId="30" fillId="0" borderId="0" xfId="1" applyFont="1"/>
    <xf numFmtId="0" fontId="5" fillId="0" borderId="0" xfId="22" applyFont="1"/>
    <xf numFmtId="164" fontId="5" fillId="0" borderId="0" xfId="23" applyFont="1"/>
    <xf numFmtId="165" fontId="5" fillId="0" borderId="0" xfId="22" applyNumberFormat="1" applyFont="1"/>
    <xf numFmtId="15" fontId="5" fillId="0" borderId="0" xfId="22" applyNumberFormat="1" applyFont="1"/>
    <xf numFmtId="164" fontId="5" fillId="0" borderId="8" xfId="23" applyFont="1" applyBorder="1"/>
    <xf numFmtId="164" fontId="4" fillId="7" borderId="10" xfId="1" applyFont="1" applyFill="1" applyBorder="1"/>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31" fillId="0" borderId="0" xfId="0" applyFont="1"/>
    <xf numFmtId="0" fontId="31"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9" fontId="5" fillId="0" borderId="0" xfId="17" applyFont="1"/>
    <xf numFmtId="9" fontId="5" fillId="0" borderId="0" xfId="16" applyFont="1"/>
    <xf numFmtId="9" fontId="5" fillId="12" borderId="0" xfId="0" applyNumberFormat="1" applyFont="1" applyFill="1"/>
    <xf numFmtId="0" fontId="5" fillId="13" borderId="0" xfId="0" applyFont="1" applyFill="1"/>
    <xf numFmtId="15" fontId="5" fillId="0" borderId="0" xfId="0" applyNumberFormat="1" applyFont="1" applyAlignment="1">
      <alignment horizontal="center"/>
    </xf>
    <xf numFmtId="0" fontId="33" fillId="0" borderId="0" xfId="0" applyFont="1"/>
    <xf numFmtId="0" fontId="34" fillId="0" borderId="0" xfId="0" applyFont="1"/>
    <xf numFmtId="164" fontId="17" fillId="14" borderId="0" xfId="2" applyFill="1"/>
    <xf numFmtId="164" fontId="10" fillId="0" borderId="10" xfId="1" quotePrefix="1" applyFont="1" applyBorder="1"/>
    <xf numFmtId="164" fontId="16" fillId="0" borderId="0" xfId="1" quotePrefix="1" applyFont="1" applyAlignment="1">
      <alignment horizontal="center"/>
    </xf>
    <xf numFmtId="0" fontId="5" fillId="16" borderId="0" xfId="0" applyFont="1" applyFill="1"/>
    <xf numFmtId="164" fontId="2" fillId="0" borderId="0" xfId="1" applyAlignment="1">
      <alignment horizontal="center"/>
    </xf>
    <xf numFmtId="164" fontId="3" fillId="0" borderId="0" xfId="23" applyFont="1"/>
    <xf numFmtId="168" fontId="3" fillId="0" borderId="0" xfId="23" applyNumberFormat="1" applyFont="1"/>
    <xf numFmtId="164" fontId="24" fillId="0" borderId="0" xfId="23" applyFont="1"/>
    <xf numFmtId="170" fontId="3" fillId="0" borderId="0" xfId="14" applyNumberFormat="1" applyFont="1"/>
    <xf numFmtId="168" fontId="3" fillId="0" borderId="0" xfId="23" applyNumberFormat="1" applyFont="1" applyAlignment="1">
      <alignment horizontal="center"/>
    </xf>
    <xf numFmtId="170" fontId="3" fillId="0" borderId="0" xfId="23" applyNumberFormat="1" applyFont="1"/>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164" fontId="5" fillId="0" borderId="0" xfId="0" applyNumberFormat="1" applyFont="1" applyAlignment="1">
      <alignment horizontal="center"/>
    </xf>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12" fillId="10" borderId="0" xfId="13" applyFont="1" applyFill="1" applyAlignment="1" applyProtection="1">
      <alignment vertical="center"/>
    </xf>
    <xf numFmtId="0" fontId="37" fillId="0" borderId="0" xfId="0" applyFont="1"/>
    <xf numFmtId="165" fontId="3" fillId="0" borderId="0" xfId="8" applyNumberFormat="1" applyFont="1"/>
    <xf numFmtId="0" fontId="38" fillId="0" borderId="0" xfId="15" quotePrefix="1" applyFont="1"/>
    <xf numFmtId="0" fontId="39" fillId="0" borderId="0" xfId="15" quotePrefix="1" applyFont="1"/>
    <xf numFmtId="170" fontId="3" fillId="0" borderId="0" xfId="1" applyNumberFormat="1" applyFont="1"/>
    <xf numFmtId="170" fontId="14" fillId="0" borderId="0" xfId="1" applyNumberFormat="1" applyFont="1"/>
    <xf numFmtId="170" fontId="15" fillId="0" borderId="0" xfId="1" applyNumberFormat="1" applyFont="1"/>
    <xf numFmtId="170" fontId="4" fillId="0" borderId="1" xfId="1" applyNumberFormat="1" applyFont="1" applyBorder="1"/>
    <xf numFmtId="170" fontId="3" fillId="0" borderId="0" xfId="1" quotePrefix="1" applyNumberFormat="1" applyFont="1"/>
    <xf numFmtId="170" fontId="32" fillId="0" borderId="0" xfId="1" applyNumberFormat="1" applyFont="1"/>
    <xf numFmtId="170" fontId="3" fillId="0" borderId="0" xfId="8" applyNumberFormat="1" applyFont="1"/>
    <xf numFmtId="170" fontId="3" fillId="0" borderId="0" xfId="8" quotePrefix="1" applyNumberFormat="1" applyFont="1"/>
    <xf numFmtId="170" fontId="38" fillId="0" borderId="0" xfId="15" quotePrefix="1" applyNumberFormat="1" applyFont="1"/>
    <xf numFmtId="164" fontId="2" fillId="0" borderId="0" xfId="1" applyFont="1"/>
    <xf numFmtId="164" fontId="2" fillId="0" borderId="0" xfId="1" quotePrefix="1" applyFont="1"/>
    <xf numFmtId="164" fontId="2" fillId="0" borderId="0" xfId="1" applyFont="1" applyAlignment="1">
      <alignment horizontal="center"/>
    </xf>
    <xf numFmtId="0" fontId="5" fillId="11" borderId="0" xfId="0" applyFont="1" applyFill="1"/>
    <xf numFmtId="164" fontId="4" fillId="0" borderId="0" xfId="1" applyFont="1" applyBorder="1"/>
    <xf numFmtId="164" fontId="4" fillId="0" borderId="0" xfId="23" applyFont="1" applyBorder="1"/>
    <xf numFmtId="168" fontId="3" fillId="0" borderId="0" xfId="23" applyNumberFormat="1" applyFont="1" applyBorder="1" applyAlignment="1">
      <alignment horizontal="center"/>
    </xf>
    <xf numFmtId="173" fontId="3" fillId="0" borderId="0" xfId="0" applyNumberFormat="1" applyFont="1"/>
    <xf numFmtId="164" fontId="3" fillId="0" borderId="0" xfId="23" applyFont="1" applyBorder="1"/>
    <xf numFmtId="164" fontId="3" fillId="0" borderId="0" xfId="1" applyFont="1" applyBorder="1"/>
    <xf numFmtId="173" fontId="3" fillId="0" borderId="0" xfId="14" applyNumberFormat="1" applyFont="1"/>
    <xf numFmtId="164" fontId="36" fillId="0" borderId="0" xfId="23" applyFont="1" applyBorder="1"/>
    <xf numFmtId="173" fontId="3" fillId="0" borderId="0" xfId="23" applyNumberFormat="1" applyFont="1" applyBorder="1" applyAlignment="1">
      <alignment horizontal="center"/>
    </xf>
    <xf numFmtId="164" fontId="3" fillId="0" borderId="0" xfId="23" quotePrefix="1" applyFont="1" applyBorder="1"/>
    <xf numFmtId="168" fontId="3" fillId="0" borderId="0" xfId="23" applyNumberFormat="1" applyFont="1" applyBorder="1"/>
    <xf numFmtId="170" fontId="3" fillId="0" borderId="0" xfId="23" applyNumberFormat="1" applyFont="1" applyBorder="1"/>
    <xf numFmtId="15" fontId="3" fillId="0" borderId="0" xfId="0" applyNumberFormat="1" applyFont="1"/>
    <xf numFmtId="164" fontId="40" fillId="0" borderId="0" xfId="1" applyFont="1" applyBorder="1"/>
    <xf numFmtId="164" fontId="3" fillId="0" borderId="0" xfId="2" applyFont="1" applyBorder="1"/>
    <xf numFmtId="168" fontId="0" fillId="0" borderId="0" xfId="0" applyNumberFormat="1"/>
    <xf numFmtId="164" fontId="3" fillId="0" borderId="0" xfId="1" applyFont="1" applyFill="1"/>
    <xf numFmtId="164" fontId="4" fillId="0" borderId="1" xfId="2" applyFont="1" applyBorder="1" applyAlignment="1">
      <alignment horizontal="center"/>
    </xf>
    <xf numFmtId="168" fontId="4" fillId="0" borderId="1" xfId="2" applyNumberFormat="1" applyFont="1" applyBorder="1" applyAlignment="1">
      <alignment horizontal="center"/>
    </xf>
    <xf numFmtId="164" fontId="10" fillId="0" borderId="0" xfId="1" applyFont="1" applyBorder="1" applyAlignment="1">
      <alignment horizontal="center"/>
    </xf>
    <xf numFmtId="164" fontId="0" fillId="0" borderId="0" xfId="1" applyFont="1" applyBorder="1"/>
    <xf numFmtId="0" fontId="5" fillId="8" borderId="0" xfId="0" applyFont="1" applyFill="1"/>
    <xf numFmtId="168" fontId="3" fillId="0" borderId="0" xfId="1" applyNumberFormat="1" applyFont="1" applyAlignment="1">
      <alignment horizontal="center"/>
    </xf>
    <xf numFmtId="168" fontId="3" fillId="0" borderId="0" xfId="2" applyNumberFormat="1" applyFont="1" applyAlignment="1">
      <alignment horizontal="center"/>
    </xf>
    <xf numFmtId="168" fontId="3" fillId="0" borderId="2" xfId="1" applyNumberFormat="1" applyFont="1" applyBorder="1" applyAlignment="1">
      <alignment horizontal="center"/>
    </xf>
    <xf numFmtId="168" fontId="3" fillId="0" borderId="7" xfId="2" applyNumberFormat="1" applyFont="1" applyBorder="1" applyAlignment="1">
      <alignment horizontal="center"/>
    </xf>
    <xf numFmtId="168" fontId="3" fillId="0" borderId="7" xfId="1" applyNumberFormat="1" applyFont="1" applyBorder="1" applyAlignment="1">
      <alignment horizontal="center"/>
    </xf>
    <xf numFmtId="168" fontId="3" fillId="0" borderId="3" xfId="1" applyNumberFormat="1" applyFont="1" applyBorder="1" applyAlignment="1">
      <alignment horizontal="center"/>
    </xf>
    <xf numFmtId="168" fontId="3" fillId="0" borderId="4" xfId="1" applyNumberFormat="1" applyFont="1" applyBorder="1" applyAlignment="1">
      <alignment horizontal="center"/>
    </xf>
    <xf numFmtId="168" fontId="3" fillId="0" borderId="5" xfId="1" applyNumberFormat="1" applyFont="1" applyBorder="1" applyAlignment="1">
      <alignment horizontal="center"/>
    </xf>
    <xf numFmtId="168" fontId="3" fillId="0" borderId="1" xfId="1" applyNumberFormat="1" applyFont="1" applyBorder="1" applyAlignment="1">
      <alignment horizontal="center"/>
    </xf>
    <xf numFmtId="168" fontId="3" fillId="0" borderId="6" xfId="1" applyNumberFormat="1" applyFont="1" applyBorder="1" applyAlignment="1">
      <alignment horizontal="center"/>
    </xf>
    <xf numFmtId="0" fontId="41" fillId="0" borderId="0" xfId="26" applyFont="1"/>
    <xf numFmtId="0" fontId="42" fillId="0" borderId="0" xfId="26" applyFont="1" applyAlignment="1">
      <alignment horizontal="center" vertical="center"/>
    </xf>
    <xf numFmtId="0" fontId="43" fillId="18" borderId="0" xfId="26" applyFont="1" applyFill="1" applyAlignment="1">
      <alignment horizontal="center" vertical="center"/>
    </xf>
    <xf numFmtId="0" fontId="41" fillId="18" borderId="0" xfId="26" applyFont="1" applyFill="1"/>
    <xf numFmtId="0" fontId="44" fillId="18" borderId="0" xfId="26" applyFont="1" applyFill="1" applyAlignment="1">
      <alignment horizontal="center"/>
    </xf>
    <xf numFmtId="0" fontId="45" fillId="18" borderId="0" xfId="13" applyFont="1" applyFill="1" applyBorder="1" applyAlignment="1" applyProtection="1">
      <alignment horizontal="center"/>
    </xf>
    <xf numFmtId="10" fontId="3" fillId="2" borderId="0" xfId="16" applyNumberFormat="1" applyFont="1" applyFill="1"/>
    <xf numFmtId="0" fontId="46" fillId="0" borderId="0" xfId="0" applyFont="1" applyAlignment="1">
      <alignment horizontal="center"/>
    </xf>
    <xf numFmtId="0" fontId="49" fillId="0" borderId="0" xfId="26" applyFont="1"/>
    <xf numFmtId="164" fontId="18" fillId="6" borderId="0" xfId="1" applyFont="1" applyFill="1" applyProtection="1"/>
    <xf numFmtId="164" fontId="50" fillId="0" borderId="0" xfId="23" applyFont="1"/>
    <xf numFmtId="164" fontId="50" fillId="0" borderId="0" xfId="23" applyFont="1" applyBorder="1"/>
    <xf numFmtId="170" fontId="3" fillId="0" borderId="0" xfId="26" applyNumberFormat="1" applyFont="1"/>
    <xf numFmtId="164" fontId="50" fillId="0" borderId="0" xfId="1" applyFont="1"/>
    <xf numFmtId="0" fontId="3" fillId="0" borderId="0" xfId="1" applyNumberFormat="1" applyFont="1"/>
    <xf numFmtId="168" fontId="3" fillId="0" borderId="0" xfId="1" applyNumberFormat="1" applyFont="1"/>
    <xf numFmtId="0" fontId="3" fillId="0" borderId="0" xfId="26" applyFont="1"/>
    <xf numFmtId="168" fontId="3" fillId="0" borderId="0" xfId="0" applyNumberFormat="1" applyFont="1"/>
    <xf numFmtId="168" fontId="4" fillId="0" borderId="0" xfId="0" applyNumberFormat="1" applyFont="1"/>
    <xf numFmtId="168" fontId="38" fillId="0" borderId="0" xfId="15" quotePrefix="1" applyNumberFormat="1" applyFont="1"/>
    <xf numFmtId="0" fontId="38" fillId="0" borderId="0" xfId="15" quotePrefix="1" applyFont="1" applyAlignment="1">
      <alignment horizontal="center"/>
    </xf>
    <xf numFmtId="0" fontId="51" fillId="0" borderId="0" xfId="0" applyFont="1"/>
    <xf numFmtId="0" fontId="52" fillId="0" borderId="0" xfId="13" applyFont="1" applyAlignment="1" applyProtection="1"/>
    <xf numFmtId="0" fontId="5" fillId="8" borderId="0" xfId="0" applyFont="1" applyFill="1" applyProtection="1">
      <protection locked="0"/>
    </xf>
    <xf numFmtId="0" fontId="6" fillId="12" borderId="0" xfId="0" applyFont="1" applyFill="1" applyAlignment="1" applyProtection="1">
      <alignment horizontal="center"/>
      <protection locked="0"/>
    </xf>
    <xf numFmtId="0" fontId="6" fillId="12" borderId="0" xfId="0" quotePrefix="1" applyFont="1" applyFill="1" applyAlignment="1" applyProtection="1">
      <alignment horizontal="center"/>
      <protection locked="0"/>
    </xf>
    <xf numFmtId="0" fontId="5" fillId="3" borderId="0" xfId="0" applyFont="1" applyFill="1" applyAlignment="1" applyProtection="1">
      <alignment horizontal="center"/>
      <protection locked="0"/>
    </xf>
    <xf numFmtId="15" fontId="5" fillId="12" borderId="0" xfId="0" applyNumberFormat="1" applyFont="1" applyFill="1" applyAlignment="1" applyProtection="1">
      <alignment horizontal="center"/>
      <protection locked="0"/>
    </xf>
    <xf numFmtId="0" fontId="5" fillId="12" borderId="0" xfId="0" applyFont="1" applyFill="1" applyProtection="1">
      <protection locked="0"/>
    </xf>
    <xf numFmtId="0" fontId="5" fillId="0" borderId="0" xfId="0" applyFont="1" applyAlignment="1" applyProtection="1">
      <alignment horizontal="center"/>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9" fontId="5" fillId="12" borderId="0" xfId="0" applyNumberFormat="1" applyFont="1" applyFill="1" applyProtection="1">
      <protection locked="0"/>
    </xf>
    <xf numFmtId="0" fontId="5" fillId="12" borderId="0" xfId="0" quotePrefix="1" applyFont="1" applyFill="1" applyAlignment="1" applyProtection="1">
      <alignment horizontal="left"/>
      <protection locked="0"/>
    </xf>
    <xf numFmtId="0" fontId="5" fillId="12" borderId="0" xfId="0" applyFont="1" applyFill="1" applyAlignment="1" applyProtection="1">
      <alignment horizontal="left"/>
      <protection locked="0"/>
    </xf>
    <xf numFmtId="0" fontId="5" fillId="13" borderId="0" xfId="0" applyFont="1" applyFill="1" applyProtection="1">
      <protection locked="0"/>
    </xf>
    <xf numFmtId="168" fontId="5" fillId="13" borderId="0" xfId="2" applyNumberFormat="1" applyFont="1" applyFill="1" applyAlignment="1" applyProtection="1">
      <alignment horizontal="center"/>
      <protection locked="0"/>
    </xf>
    <xf numFmtId="167" fontId="5" fillId="13" borderId="0" xfId="0" applyNumberFormat="1" applyFont="1" applyFill="1" applyAlignment="1" applyProtection="1">
      <alignment horizontal="center"/>
      <protection locked="0"/>
    </xf>
    <xf numFmtId="0" fontId="5" fillId="13" borderId="0" xfId="0" applyFont="1" applyFill="1" applyAlignment="1" applyProtection="1">
      <alignment horizontal="center"/>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6"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168" fontId="3" fillId="16" borderId="13" xfId="1" applyNumberFormat="1" applyFont="1" applyFill="1" applyBorder="1" applyAlignment="1" applyProtection="1">
      <alignment horizontal="center"/>
      <protection locked="0"/>
    </xf>
    <xf numFmtId="168" fontId="3" fillId="16" borderId="0" xfId="2" applyNumberFormat="1" applyFont="1" applyFill="1" applyAlignment="1" applyProtection="1">
      <alignment horizontal="center"/>
      <protection locked="0"/>
    </xf>
    <xf numFmtId="168" fontId="3" fillId="16" borderId="0" xfId="1" applyNumberFormat="1" applyFont="1" applyFill="1" applyAlignment="1" applyProtection="1">
      <alignment horizontal="center"/>
      <protection locked="0"/>
    </xf>
    <xf numFmtId="168" fontId="5" fillId="16" borderId="0" xfId="1" applyNumberFormat="1" applyFont="1" applyFill="1" applyProtection="1">
      <protection locked="0"/>
    </xf>
    <xf numFmtId="0" fontId="5" fillId="16" borderId="0" xfId="0" applyFont="1" applyFill="1" applyProtection="1">
      <protection locked="0"/>
    </xf>
    <xf numFmtId="164" fontId="17" fillId="14" borderId="0" xfId="2" applyFill="1" applyProtection="1">
      <protection locked="0"/>
    </xf>
    <xf numFmtId="0" fontId="10" fillId="0" borderId="0" xfId="0" quotePrefix="1" applyFont="1" applyProtection="1">
      <protection locked="0"/>
    </xf>
    <xf numFmtId="0" fontId="17" fillId="0" borderId="0" xfId="0" quotePrefix="1" applyFont="1" applyProtection="1">
      <protection locked="0"/>
    </xf>
    <xf numFmtId="0" fontId="2" fillId="0" borderId="0" xfId="0"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17" fillId="15" borderId="0" xfId="0" applyFont="1" applyFill="1" applyProtection="1">
      <protection locked="0"/>
    </xf>
    <xf numFmtId="0" fontId="22" fillId="0" borderId="0" xfId="0" quotePrefix="1" applyFont="1" applyProtection="1">
      <protection locked="0"/>
    </xf>
    <xf numFmtId="0" fontId="2" fillId="15" borderId="0" xfId="0" quotePrefix="1" applyFont="1"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29" fillId="3"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0" fontId="11" fillId="0" borderId="0" xfId="13" applyAlignment="1" applyProtection="1">
      <alignment horizontal="center"/>
      <protection locked="0"/>
    </xf>
    <xf numFmtId="164" fontId="0" fillId="0" borderId="0" xfId="1" applyFont="1" applyProtection="1">
      <protection locked="0"/>
    </xf>
    <xf numFmtId="0" fontId="10" fillId="0" borderId="0" xfId="0" quotePrefix="1" applyFont="1" applyAlignment="1" applyProtection="1">
      <alignment horizontal="center"/>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0" fontId="23" fillId="0" borderId="0" xfId="0" quotePrefix="1" applyFont="1" applyProtection="1">
      <protection locked="0"/>
    </xf>
    <xf numFmtId="164" fontId="2" fillId="0" borderId="0" xfId="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11" fillId="0" borderId="0" xfId="1" applyFont="1" applyProtection="1">
      <protection locked="0"/>
    </xf>
    <xf numFmtId="164" fontId="22" fillId="0" borderId="0" xfId="1" quotePrefix="1" applyFont="1" applyProtection="1">
      <protection locked="0"/>
    </xf>
    <xf numFmtId="164" fontId="25" fillId="0" borderId="0" xfId="1" applyFont="1" applyProtection="1">
      <protection locked="0"/>
    </xf>
    <xf numFmtId="164" fontId="18" fillId="0" borderId="0" xfId="1" applyFont="1" applyProtection="1">
      <protection locked="0"/>
    </xf>
    <xf numFmtId="164" fontId="23" fillId="0" borderId="0" xfId="1" quotePrefix="1" applyFont="1" applyProtection="1">
      <protection locked="0"/>
    </xf>
    <xf numFmtId="164" fontId="2" fillId="3" borderId="0" xfId="1" applyFill="1" applyProtection="1">
      <protection locked="0"/>
    </xf>
    <xf numFmtId="164" fontId="17" fillId="3" borderId="0" xfId="1" applyFont="1" applyFill="1" applyProtection="1">
      <protection locked="0"/>
    </xf>
    <xf numFmtId="0" fontId="53" fillId="0" borderId="0" xfId="0" applyFont="1" applyAlignment="1">
      <alignment horizontal="center"/>
    </xf>
    <xf numFmtId="164" fontId="54" fillId="0" borderId="0" xfId="1" applyFont="1" applyAlignment="1">
      <alignment horizontal="center"/>
    </xf>
    <xf numFmtId="0" fontId="53" fillId="0" borderId="0" xfId="1" applyNumberFormat="1" applyFont="1" applyAlignment="1">
      <alignment horizontal="center"/>
    </xf>
    <xf numFmtId="164" fontId="53" fillId="0" borderId="0" xfId="1" applyFont="1" applyAlignment="1">
      <alignment horizontal="center"/>
    </xf>
    <xf numFmtId="0" fontId="53" fillId="0" borderId="0" xfId="0" applyFont="1" applyAlignment="1">
      <alignment horizontal="left"/>
    </xf>
    <xf numFmtId="0" fontId="53" fillId="0" borderId="0" xfId="13" applyFont="1" applyAlignment="1" applyProtection="1"/>
    <xf numFmtId="168" fontId="53" fillId="0" borderId="0" xfId="1" applyNumberFormat="1" applyFont="1" applyAlignment="1">
      <alignment horizontal="center"/>
    </xf>
    <xf numFmtId="168" fontId="53" fillId="0" borderId="7" xfId="1" applyNumberFormat="1" applyFont="1" applyBorder="1" applyAlignment="1">
      <alignment horizontal="center"/>
    </xf>
    <xf numFmtId="168" fontId="53" fillId="0" borderId="1" xfId="1" applyNumberFormat="1" applyFont="1" applyBorder="1" applyAlignment="1">
      <alignment horizontal="center"/>
    </xf>
    <xf numFmtId="168" fontId="53" fillId="0" borderId="8" xfId="1" applyNumberFormat="1" applyFont="1" applyBorder="1" applyAlignment="1">
      <alignment horizontal="center"/>
    </xf>
    <xf numFmtId="168" fontId="53" fillId="0" borderId="0" xfId="13" applyNumberFormat="1" applyFont="1" applyAlignment="1" applyProtection="1">
      <alignment horizontal="center"/>
    </xf>
    <xf numFmtId="0" fontId="53" fillId="0" borderId="7" xfId="1" applyNumberFormat="1" applyFont="1" applyBorder="1" applyAlignment="1">
      <alignment horizontal="center"/>
    </xf>
    <xf numFmtId="168" fontId="53" fillId="0" borderId="0" xfId="13" applyNumberFormat="1" applyFont="1" applyAlignment="1" applyProtection="1"/>
    <xf numFmtId="9" fontId="53" fillId="0" borderId="0" xfId="16" applyFont="1" applyAlignment="1">
      <alignment horizontal="center"/>
    </xf>
    <xf numFmtId="0" fontId="53" fillId="0" borderId="1" xfId="0" applyFont="1" applyBorder="1" applyAlignment="1">
      <alignment horizontal="center"/>
    </xf>
    <xf numFmtId="164" fontId="53" fillId="0" borderId="1" xfId="1" applyFont="1" applyBorder="1" applyAlignment="1">
      <alignment horizontal="center"/>
    </xf>
    <xf numFmtId="0" fontId="53" fillId="0" borderId="13" xfId="0" applyFont="1" applyBorder="1" applyAlignment="1">
      <alignment horizontal="center"/>
    </xf>
    <xf numFmtId="164" fontId="53" fillId="0" borderId="0" xfId="2" applyFont="1" applyAlignment="1">
      <alignment horizontal="center"/>
    </xf>
    <xf numFmtId="168" fontId="53" fillId="0" borderId="0" xfId="2" applyNumberFormat="1" applyFont="1" applyAlignment="1">
      <alignment horizontal="center"/>
    </xf>
    <xf numFmtId="168" fontId="53" fillId="0" borderId="1" xfId="2" applyNumberFormat="1" applyFont="1" applyBorder="1" applyAlignment="1">
      <alignment horizontal="center"/>
    </xf>
    <xf numFmtId="168" fontId="53" fillId="0" borderId="8" xfId="2" applyNumberFormat="1" applyFont="1" applyBorder="1" applyAlignment="1">
      <alignment horizontal="center"/>
    </xf>
    <xf numFmtId="168" fontId="53" fillId="0" borderId="0" xfId="2" applyNumberFormat="1" applyFont="1" applyBorder="1" applyAlignment="1">
      <alignment horizontal="center"/>
    </xf>
    <xf numFmtId="168" fontId="53" fillId="0" borderId="0" xfId="1" applyNumberFormat="1" applyFont="1" applyBorder="1" applyAlignment="1">
      <alignment horizontal="center"/>
    </xf>
    <xf numFmtId="0" fontId="54" fillId="0" borderId="0" xfId="13" applyFont="1" applyAlignment="1" applyProtection="1"/>
    <xf numFmtId="10" fontId="53" fillId="0" borderId="0" xfId="0" applyNumberFormat="1" applyFont="1" applyAlignment="1">
      <alignment horizontal="center"/>
    </xf>
    <xf numFmtId="9" fontId="53" fillId="0" borderId="0" xfId="0" applyNumberFormat="1" applyFont="1" applyAlignment="1">
      <alignment horizontal="center"/>
    </xf>
    <xf numFmtId="15" fontId="53" fillId="0" borderId="0" xfId="1" applyNumberFormat="1" applyFont="1" applyAlignment="1">
      <alignment horizontal="center"/>
    </xf>
    <xf numFmtId="164" fontId="53" fillId="0" borderId="7" xfId="1" applyFont="1" applyBorder="1" applyAlignment="1">
      <alignment horizontal="center"/>
    </xf>
    <xf numFmtId="0" fontId="53" fillId="0" borderId="7" xfId="0" applyFont="1" applyBorder="1" applyAlignment="1">
      <alignment horizontal="center"/>
    </xf>
    <xf numFmtId="168" fontId="53" fillId="0" borderId="15" xfId="1" applyNumberFormat="1" applyFont="1" applyBorder="1" applyAlignment="1">
      <alignment horizontal="center"/>
    </xf>
    <xf numFmtId="0" fontId="57" fillId="0" borderId="0" xfId="0" applyFont="1" applyAlignment="1">
      <alignment horizontal="center"/>
    </xf>
    <xf numFmtId="0" fontId="59" fillId="0" borderId="13" xfId="0" applyFont="1" applyBorder="1" applyAlignment="1">
      <alignment horizontal="center"/>
    </xf>
    <xf numFmtId="0" fontId="59" fillId="0" borderId="5" xfId="0" applyFont="1" applyBorder="1" applyAlignment="1">
      <alignment horizontal="center"/>
    </xf>
    <xf numFmtId="0" fontId="59" fillId="0" borderId="0" xfId="0" applyFont="1" applyAlignment="1">
      <alignment horizontal="center"/>
    </xf>
    <xf numFmtId="0" fontId="59" fillId="0" borderId="2" xfId="0" applyFont="1" applyBorder="1" applyAlignment="1">
      <alignment horizontal="center"/>
    </xf>
    <xf numFmtId="168" fontId="60" fillId="0" borderId="0" xfId="1" applyNumberFormat="1" applyFont="1" applyAlignment="1">
      <alignment horizontal="center"/>
    </xf>
    <xf numFmtId="168" fontId="60" fillId="0" borderId="1" xfId="1" applyNumberFormat="1" applyFont="1" applyBorder="1" applyAlignment="1">
      <alignment horizontal="center"/>
    </xf>
    <xf numFmtId="15" fontId="60" fillId="0" borderId="0" xfId="1" applyNumberFormat="1" applyFont="1" applyAlignment="1">
      <alignment horizontal="center"/>
    </xf>
    <xf numFmtId="168" fontId="61" fillId="0" borderId="0" xfId="1" applyNumberFormat="1" applyFont="1" applyAlignment="1">
      <alignment horizontal="center"/>
    </xf>
    <xf numFmtId="168" fontId="60" fillId="0" borderId="8" xfId="1" applyNumberFormat="1" applyFont="1" applyBorder="1" applyAlignment="1">
      <alignment horizontal="center"/>
    </xf>
    <xf numFmtId="168" fontId="60" fillId="0" borderId="2" xfId="1" applyNumberFormat="1" applyFont="1" applyBorder="1" applyAlignment="1">
      <alignment horizontal="center"/>
    </xf>
    <xf numFmtId="168" fontId="60" fillId="0" borderId="7" xfId="1" applyNumberFormat="1" applyFont="1" applyBorder="1" applyAlignment="1">
      <alignment horizontal="center"/>
    </xf>
    <xf numFmtId="168" fontId="60" fillId="0" borderId="3" xfId="1" applyNumberFormat="1" applyFont="1" applyBorder="1" applyAlignment="1">
      <alignment horizontal="center"/>
    </xf>
    <xf numFmtId="168" fontId="60" fillId="0" borderId="13" xfId="1" applyNumberFormat="1" applyFont="1" applyBorder="1" applyAlignment="1">
      <alignment horizontal="center"/>
    </xf>
    <xf numFmtId="168" fontId="60" fillId="0" borderId="4" xfId="1" applyNumberFormat="1" applyFont="1" applyBorder="1" applyAlignment="1">
      <alignment horizontal="center"/>
    </xf>
    <xf numFmtId="168" fontId="60" fillId="0" borderId="5" xfId="1" applyNumberFormat="1" applyFont="1" applyBorder="1" applyAlignment="1">
      <alignment horizontal="center"/>
    </xf>
    <xf numFmtId="168" fontId="60" fillId="0" borderId="6" xfId="1" applyNumberFormat="1" applyFont="1" applyBorder="1" applyAlignment="1">
      <alignment horizontal="center"/>
    </xf>
    <xf numFmtId="168" fontId="60" fillId="0" borderId="0" xfId="1" applyNumberFormat="1" applyFont="1" applyBorder="1" applyAlignment="1">
      <alignment horizontal="center"/>
    </xf>
    <xf numFmtId="0" fontId="60" fillId="0" borderId="0" xfId="0" applyFont="1" applyAlignment="1">
      <alignment horizontal="center"/>
    </xf>
    <xf numFmtId="0" fontId="60" fillId="0" borderId="1" xfId="0" applyFont="1" applyBorder="1" applyAlignment="1">
      <alignment horizontal="center"/>
    </xf>
    <xf numFmtId="0" fontId="60" fillId="0" borderId="7" xfId="0" applyFont="1" applyBorder="1" applyAlignment="1">
      <alignment horizontal="center"/>
    </xf>
    <xf numFmtId="164" fontId="63" fillId="0" borderId="0" xfId="1" applyFont="1" applyAlignment="1">
      <alignment horizontal="center"/>
    </xf>
    <xf numFmtId="0" fontId="59" fillId="0" borderId="0" xfId="1" applyNumberFormat="1" applyFont="1" applyAlignment="1">
      <alignment horizontal="center"/>
    </xf>
    <xf numFmtId="0" fontId="59" fillId="0" borderId="0" xfId="13" applyFont="1" applyAlignment="1" applyProtection="1"/>
    <xf numFmtId="164" fontId="59" fillId="0" borderId="0" xfId="1" applyFont="1" applyAlignment="1">
      <alignment horizontal="center"/>
    </xf>
    <xf numFmtId="168" fontId="59" fillId="0" borderId="0" xfId="1" applyNumberFormat="1" applyFont="1" applyAlignment="1">
      <alignment horizontal="center"/>
    </xf>
    <xf numFmtId="168" fontId="59" fillId="0" borderId="0" xfId="13" applyNumberFormat="1" applyFont="1" applyAlignment="1" applyProtection="1"/>
    <xf numFmtId="168" fontId="59" fillId="0" borderId="1" xfId="1" applyNumberFormat="1" applyFont="1" applyBorder="1" applyAlignment="1">
      <alignment horizontal="center"/>
    </xf>
    <xf numFmtId="168" fontId="59" fillId="0" borderId="0" xfId="13" applyNumberFormat="1" applyFont="1" applyAlignment="1" applyProtection="1">
      <alignment horizontal="center"/>
    </xf>
    <xf numFmtId="168" fontId="59" fillId="0" borderId="8" xfId="1" applyNumberFormat="1" applyFont="1" applyBorder="1" applyAlignment="1">
      <alignment horizontal="center"/>
    </xf>
    <xf numFmtId="164" fontId="59" fillId="0" borderId="1" xfId="1" applyFont="1" applyBorder="1" applyAlignment="1">
      <alignment horizontal="center"/>
    </xf>
    <xf numFmtId="168" fontId="59" fillId="0" borderId="2" xfId="1" applyNumberFormat="1" applyFont="1" applyBorder="1" applyAlignment="1">
      <alignment horizontal="center"/>
    </xf>
    <xf numFmtId="168" fontId="59" fillId="0" borderId="13" xfId="1" applyNumberFormat="1" applyFont="1" applyBorder="1" applyAlignment="1">
      <alignment horizontal="center"/>
    </xf>
    <xf numFmtId="168" fontId="59" fillId="0" borderId="5" xfId="1" applyNumberFormat="1" applyFont="1" applyBorder="1" applyAlignment="1">
      <alignment horizontal="center"/>
    </xf>
    <xf numFmtId="168" fontId="59" fillId="0" borderId="13" xfId="13" applyNumberFormat="1" applyFont="1" applyBorder="1" applyAlignment="1" applyProtection="1">
      <alignment horizontal="center"/>
    </xf>
    <xf numFmtId="164" fontId="59" fillId="0" borderId="0" xfId="2" applyFont="1" applyAlignment="1">
      <alignment horizontal="center"/>
    </xf>
    <xf numFmtId="168" fontId="59" fillId="0" borderId="0" xfId="2" applyNumberFormat="1" applyFont="1" applyAlignment="1">
      <alignment horizontal="center"/>
    </xf>
    <xf numFmtId="168" fontId="59" fillId="0" borderId="1" xfId="2" applyNumberFormat="1" applyFont="1" applyBorder="1" applyAlignment="1">
      <alignment horizontal="center"/>
    </xf>
    <xf numFmtId="168" fontId="59" fillId="0" borderId="8" xfId="2" applyNumberFormat="1" applyFont="1" applyBorder="1" applyAlignment="1">
      <alignment horizontal="center"/>
    </xf>
    <xf numFmtId="168" fontId="59" fillId="0" borderId="0" xfId="2" applyNumberFormat="1" applyFont="1" applyBorder="1" applyAlignment="1">
      <alignment horizontal="center"/>
    </xf>
    <xf numFmtId="168" fontId="59" fillId="0" borderId="7" xfId="1" applyNumberFormat="1" applyFont="1" applyBorder="1" applyAlignment="1">
      <alignment horizontal="center"/>
    </xf>
    <xf numFmtId="168" fontId="59" fillId="0" borderId="0" xfId="1" applyNumberFormat="1" applyFont="1" applyBorder="1" applyAlignment="1">
      <alignment horizontal="center"/>
    </xf>
    <xf numFmtId="168" fontId="59" fillId="0" borderId="15" xfId="1" applyNumberFormat="1" applyFont="1" applyBorder="1" applyAlignment="1">
      <alignment horizontal="center"/>
    </xf>
    <xf numFmtId="168" fontId="59" fillId="0" borderId="13" xfId="13" applyNumberFormat="1" applyFont="1" applyBorder="1" applyAlignment="1" applyProtection="1"/>
    <xf numFmtId="168" fontId="59" fillId="0" borderId="3" xfId="1" applyNumberFormat="1" applyFont="1" applyBorder="1" applyAlignment="1">
      <alignment horizontal="center"/>
    </xf>
    <xf numFmtId="168" fontId="59" fillId="0" borderId="4" xfId="1" applyNumberFormat="1" applyFont="1" applyBorder="1" applyAlignment="1">
      <alignment horizontal="center"/>
    </xf>
    <xf numFmtId="168" fontId="59" fillId="0" borderId="6" xfId="1" applyNumberFormat="1" applyFont="1" applyBorder="1" applyAlignment="1">
      <alignment horizontal="center"/>
    </xf>
    <xf numFmtId="168" fontId="59" fillId="0" borderId="4" xfId="13" applyNumberFormat="1" applyFont="1" applyBorder="1" applyAlignment="1" applyProtection="1">
      <alignment horizontal="center"/>
    </xf>
    <xf numFmtId="168" fontId="59" fillId="0" borderId="1" xfId="13" applyNumberFormat="1" applyFont="1" applyBorder="1" applyAlignment="1" applyProtection="1"/>
    <xf numFmtId="168" fontId="59" fillId="0" borderId="4" xfId="13" applyNumberFormat="1" applyFont="1" applyBorder="1" applyAlignment="1" applyProtection="1"/>
    <xf numFmtId="168" fontId="59" fillId="0" borderId="9" xfId="1" applyNumberFormat="1" applyFont="1" applyBorder="1" applyAlignment="1">
      <alignment horizontal="center"/>
    </xf>
    <xf numFmtId="168" fontId="59" fillId="0" borderId="11" xfId="1" applyNumberFormat="1" applyFont="1" applyBorder="1" applyAlignment="1">
      <alignment horizontal="center"/>
    </xf>
    <xf numFmtId="168" fontId="59" fillId="0" borderId="12" xfId="1" applyNumberFormat="1" applyFont="1" applyBorder="1" applyAlignment="1">
      <alignment horizontal="center"/>
    </xf>
    <xf numFmtId="168" fontId="59" fillId="0" borderId="11" xfId="13" applyNumberFormat="1" applyFont="1" applyBorder="1" applyAlignment="1" applyProtection="1"/>
    <xf numFmtId="168" fontId="59" fillId="0" borderId="11" xfId="13" applyNumberFormat="1" applyFont="1" applyBorder="1" applyAlignment="1" applyProtection="1">
      <alignment horizontal="center"/>
    </xf>
    <xf numFmtId="164" fontId="53" fillId="0" borderId="0" xfId="1" applyFont="1" applyBorder="1" applyAlignment="1">
      <alignment horizontal="center"/>
    </xf>
    <xf numFmtId="0" fontId="66" fillId="0" borderId="0" xfId="0" applyFont="1" applyAlignment="1">
      <alignment horizontal="center"/>
    </xf>
    <xf numFmtId="0" fontId="68" fillId="0" borderId="0" xfId="0" applyFont="1" applyAlignment="1">
      <alignment horizontal="center"/>
    </xf>
    <xf numFmtId="168" fontId="66" fillId="0" borderId="0" xfId="0" applyNumberFormat="1" applyFont="1" applyAlignment="1">
      <alignment horizontal="center"/>
    </xf>
    <xf numFmtId="0" fontId="67" fillId="0" borderId="0" xfId="0" applyFont="1" applyAlignment="1">
      <alignment horizontal="center"/>
    </xf>
    <xf numFmtId="0" fontId="65" fillId="0" borderId="0" xfId="0" applyFont="1" applyAlignment="1">
      <alignment horizontal="center"/>
    </xf>
    <xf numFmtId="164" fontId="66" fillId="0" borderId="0" xfId="0" applyNumberFormat="1" applyFont="1" applyAlignment="1">
      <alignment horizontal="center"/>
    </xf>
    <xf numFmtId="0" fontId="69" fillId="0" borderId="0" xfId="0" applyFont="1" applyAlignment="1">
      <alignment horizontal="center"/>
    </xf>
    <xf numFmtId="0" fontId="66" fillId="0" borderId="0" xfId="13" applyFont="1" applyAlignment="1" applyProtection="1">
      <alignment horizontal="center"/>
    </xf>
    <xf numFmtId="164" fontId="59" fillId="0" borderId="0" xfId="1" applyFont="1" applyBorder="1" applyAlignment="1">
      <alignment horizontal="center"/>
    </xf>
    <xf numFmtId="168" fontId="61" fillId="0" borderId="0" xfId="1" applyNumberFormat="1" applyFont="1" applyBorder="1" applyAlignment="1">
      <alignment horizontal="center"/>
    </xf>
    <xf numFmtId="164" fontId="54" fillId="0" borderId="0" xfId="1" applyFont="1" applyBorder="1" applyAlignment="1">
      <alignment horizontal="center"/>
    </xf>
    <xf numFmtId="164" fontId="53" fillId="0" borderId="0" xfId="0" applyNumberFormat="1" applyFont="1" applyAlignment="1">
      <alignment horizontal="center"/>
    </xf>
    <xf numFmtId="15" fontId="60" fillId="0" borderId="0" xfId="1" applyNumberFormat="1" applyFont="1" applyBorder="1" applyAlignment="1">
      <alignment horizontal="center"/>
    </xf>
    <xf numFmtId="15" fontId="53" fillId="0" borderId="0" xfId="1" applyNumberFormat="1" applyFont="1" applyBorder="1" applyAlignment="1">
      <alignment horizontal="center"/>
    </xf>
    <xf numFmtId="164" fontId="2" fillId="14" borderId="0" xfId="23" applyFill="1" applyProtection="1">
      <protection locked="0"/>
    </xf>
    <xf numFmtId="164" fontId="2" fillId="14" borderId="0" xfId="23" applyFont="1" applyFill="1" applyProtection="1">
      <protection locked="0"/>
    </xf>
    <xf numFmtId="10" fontId="3" fillId="0" borderId="0" xfId="16" applyNumberFormat="1" applyFont="1" applyFill="1"/>
    <xf numFmtId="164" fontId="30" fillId="0" borderId="0" xfId="23" applyFont="1"/>
    <xf numFmtId="0" fontId="54" fillId="0" borderId="20" xfId="0" applyFont="1" applyBorder="1" applyAlignment="1">
      <alignment horizontal="center"/>
    </xf>
    <xf numFmtId="0" fontId="54" fillId="0" borderId="0" xfId="0" applyFont="1" applyAlignment="1">
      <alignment horizontal="center"/>
    </xf>
    <xf numFmtId="0" fontId="63" fillId="0" borderId="0" xfId="0" applyFont="1" applyAlignment="1">
      <alignment horizontal="center"/>
    </xf>
    <xf numFmtId="0" fontId="46" fillId="0" borderId="0" xfId="13" applyFont="1" applyAlignment="1" applyProtection="1"/>
    <xf numFmtId="0" fontId="53" fillId="0" borderId="0" xfId="0" applyFont="1"/>
    <xf numFmtId="164" fontId="59" fillId="0" borderId="0" xfId="1" applyFont="1" applyAlignment="1"/>
    <xf numFmtId="164" fontId="53" fillId="0" borderId="0" xfId="1" applyFont="1" applyAlignment="1"/>
    <xf numFmtId="0" fontId="65" fillId="0" borderId="0" xfId="0" applyFont="1"/>
    <xf numFmtId="0" fontId="67" fillId="0" borderId="0" xfId="0" applyFont="1"/>
    <xf numFmtId="0" fontId="55" fillId="0" borderId="0" xfId="0" applyFont="1"/>
    <xf numFmtId="168" fontId="53" fillId="0" borderId="0" xfId="1" applyNumberFormat="1" applyFont="1" applyAlignment="1"/>
    <xf numFmtId="0" fontId="53" fillId="0" borderId="16" xfId="0" applyFont="1" applyBorder="1"/>
    <xf numFmtId="0" fontId="53" fillId="0" borderId="17" xfId="0" applyFont="1" applyBorder="1"/>
    <xf numFmtId="164" fontId="59" fillId="0" borderId="17" xfId="1" applyFont="1" applyBorder="1" applyAlignment="1"/>
    <xf numFmtId="164" fontId="53" fillId="0" borderId="18" xfId="1" applyFont="1" applyBorder="1" applyAlignment="1"/>
    <xf numFmtId="0" fontId="53" fillId="0" borderId="19" xfId="0" applyFont="1" applyBorder="1"/>
    <xf numFmtId="164" fontId="53" fillId="0" borderId="20" xfId="1" applyFont="1" applyBorder="1" applyAlignment="1"/>
    <xf numFmtId="0" fontId="53" fillId="0" borderId="21" xfId="0" applyFont="1" applyBorder="1"/>
    <xf numFmtId="0" fontId="53" fillId="0" borderId="22" xfId="0" applyFont="1" applyBorder="1"/>
    <xf numFmtId="164" fontId="59" fillId="0" borderId="22" xfId="1" applyFont="1" applyBorder="1" applyAlignment="1"/>
    <xf numFmtId="164" fontId="53" fillId="0" borderId="23" xfId="1" applyFont="1" applyBorder="1" applyAlignment="1"/>
    <xf numFmtId="0" fontId="54" fillId="0" borderId="0" xfId="0" applyFont="1"/>
    <xf numFmtId="0" fontId="58" fillId="0" borderId="0" xfId="0" applyFont="1"/>
    <xf numFmtId="0" fontId="71" fillId="0" borderId="0" xfId="0" applyFont="1"/>
    <xf numFmtId="0" fontId="53" fillId="0" borderId="0" xfId="0" quotePrefix="1" applyFont="1"/>
    <xf numFmtId="0" fontId="64" fillId="0" borderId="0" xfId="0" applyFont="1"/>
    <xf numFmtId="0" fontId="59" fillId="0" borderId="0" xfId="0" applyFont="1"/>
    <xf numFmtId="164" fontId="59" fillId="0" borderId="0" xfId="1" quotePrefix="1" applyFont="1" applyAlignment="1"/>
    <xf numFmtId="164" fontId="59" fillId="0" borderId="0" xfId="1" applyFont="1" applyBorder="1" applyAlignment="1"/>
    <xf numFmtId="164" fontId="53" fillId="0" borderId="0" xfId="1" applyFont="1" applyBorder="1" applyAlignment="1"/>
    <xf numFmtId="168" fontId="59" fillId="0" borderId="0" xfId="1" applyNumberFormat="1" applyFont="1" applyAlignment="1"/>
    <xf numFmtId="164" fontId="59" fillId="0" borderId="0" xfId="2" applyFont="1" applyAlignment="1"/>
    <xf numFmtId="164" fontId="53" fillId="0" borderId="0" xfId="2" applyFont="1" applyAlignment="1"/>
    <xf numFmtId="0" fontId="53" fillId="0" borderId="1" xfId="0" applyFont="1" applyBorder="1"/>
    <xf numFmtId="164" fontId="59" fillId="0" borderId="1" xfId="2" applyFont="1" applyBorder="1" applyAlignment="1"/>
    <xf numFmtId="164" fontId="53" fillId="0" borderId="1" xfId="2" applyFont="1" applyBorder="1" applyAlignment="1"/>
    <xf numFmtId="164" fontId="59" fillId="0" borderId="1" xfId="1" applyFont="1" applyBorder="1" applyAlignment="1"/>
    <xf numFmtId="164" fontId="53" fillId="0" borderId="1" xfId="1" applyFont="1" applyBorder="1" applyAlignment="1"/>
    <xf numFmtId="168" fontId="59" fillId="0" borderId="0" xfId="0" applyNumberFormat="1" applyFont="1"/>
    <xf numFmtId="168" fontId="59" fillId="0" borderId="8" xfId="1" applyNumberFormat="1" applyFont="1" applyBorder="1" applyAlignment="1"/>
    <xf numFmtId="168" fontId="59" fillId="0" borderId="0" xfId="1" applyNumberFormat="1" applyFont="1" applyBorder="1" applyAlignment="1"/>
    <xf numFmtId="168" fontId="59" fillId="0" borderId="1" xfId="1" applyNumberFormat="1" applyFont="1" applyBorder="1" applyAlignment="1"/>
    <xf numFmtId="0" fontId="53" fillId="0" borderId="2" xfId="0" applyFont="1" applyBorder="1"/>
    <xf numFmtId="0" fontId="53" fillId="0" borderId="7" xfId="0" applyFont="1" applyBorder="1"/>
    <xf numFmtId="0" fontId="53" fillId="0" borderId="3" xfId="0" applyFont="1" applyBorder="1"/>
    <xf numFmtId="0" fontId="53" fillId="0" borderId="13" xfId="0" applyFont="1" applyBorder="1"/>
    <xf numFmtId="0" fontId="53" fillId="0" borderId="4" xfId="0" applyFont="1" applyBorder="1"/>
    <xf numFmtId="9" fontId="53" fillId="0" borderId="0" xfId="16" applyFont="1" applyAlignment="1"/>
    <xf numFmtId="0" fontId="66" fillId="0" borderId="0" xfId="0" applyFont="1"/>
    <xf numFmtId="0" fontId="53" fillId="0" borderId="5" xfId="0" applyFont="1" applyBorder="1"/>
    <xf numFmtId="0" fontId="53" fillId="0" borderId="6" xfId="0" applyFont="1" applyBorder="1"/>
    <xf numFmtId="164" fontId="59" fillId="0" borderId="7" xfId="1" applyFont="1" applyBorder="1" applyAlignment="1"/>
    <xf numFmtId="164" fontId="53" fillId="0" borderId="7" xfId="1" applyFont="1" applyBorder="1" applyAlignment="1"/>
    <xf numFmtId="37" fontId="53" fillId="0" borderId="0" xfId="0" applyNumberFormat="1" applyFont="1"/>
    <xf numFmtId="164" fontId="65" fillId="0" borderId="0" xfId="0" applyNumberFormat="1" applyFont="1"/>
    <xf numFmtId="37" fontId="53" fillId="0" borderId="1" xfId="0" applyNumberFormat="1" applyFont="1" applyBorder="1"/>
    <xf numFmtId="0" fontId="59" fillId="0" borderId="7" xfId="0" applyFont="1" applyBorder="1"/>
    <xf numFmtId="0" fontId="63" fillId="0" borderId="0" xfId="0" applyFont="1"/>
    <xf numFmtId="0" fontId="56" fillId="0" borderId="0" xfId="0" applyFont="1"/>
    <xf numFmtId="0" fontId="59" fillId="0" borderId="5" xfId="0" applyFont="1" applyBorder="1"/>
    <xf numFmtId="0" fontId="63" fillId="0" borderId="1" xfId="0" applyFont="1" applyBorder="1"/>
    <xf numFmtId="0" fontId="59" fillId="0" borderId="2" xfId="0" applyFont="1" applyBorder="1"/>
    <xf numFmtId="0" fontId="54" fillId="0" borderId="7" xfId="0" applyFont="1" applyBorder="1"/>
    <xf numFmtId="0" fontId="59" fillId="0" borderId="13" xfId="0" applyFont="1" applyBorder="1"/>
    <xf numFmtId="168" fontId="53" fillId="0" borderId="0" xfId="1" applyNumberFormat="1" applyFont="1" applyBorder="1" applyAlignment="1"/>
    <xf numFmtId="168" fontId="53" fillId="0" borderId="1" xfId="1" applyNumberFormat="1" applyFont="1" applyBorder="1" applyAlignment="1"/>
    <xf numFmtId="168" fontId="53" fillId="0" borderId="8" xfId="1" applyNumberFormat="1" applyFont="1" applyBorder="1" applyAlignment="1"/>
    <xf numFmtId="0" fontId="61" fillId="0" borderId="0" xfId="0" applyFont="1"/>
    <xf numFmtId="164" fontId="53" fillId="0" borderId="0" xfId="0" applyNumberFormat="1" applyFont="1"/>
    <xf numFmtId="0" fontId="54" fillId="0" borderId="1" xfId="0" applyFont="1" applyBorder="1"/>
    <xf numFmtId="0" fontId="60" fillId="0" borderId="0" xfId="0" applyFont="1"/>
    <xf numFmtId="0" fontId="61" fillId="0" borderId="7" xfId="0" applyFont="1" applyBorder="1"/>
    <xf numFmtId="0" fontId="61" fillId="0" borderId="1" xfId="0" applyFont="1" applyBorder="1"/>
    <xf numFmtId="168" fontId="59" fillId="0" borderId="7" xfId="1" applyNumberFormat="1" applyFont="1" applyBorder="1" applyAlignment="1"/>
    <xf numFmtId="168" fontId="53" fillId="0" borderId="7" xfId="1" applyNumberFormat="1" applyFont="1" applyBorder="1" applyAlignment="1"/>
    <xf numFmtId="15" fontId="53" fillId="0" borderId="0" xfId="0" applyNumberFormat="1" applyFont="1"/>
    <xf numFmtId="168" fontId="53" fillId="0" borderId="0" xfId="0" applyNumberFormat="1" applyFont="1"/>
    <xf numFmtId="0" fontId="46" fillId="0" borderId="0" xfId="0" applyFont="1"/>
    <xf numFmtId="15" fontId="60" fillId="0" borderId="0" xfId="1" applyNumberFormat="1" applyFont="1" applyAlignment="1"/>
    <xf numFmtId="15" fontId="53" fillId="0" borderId="0" xfId="1" applyNumberFormat="1" applyFont="1" applyAlignment="1"/>
    <xf numFmtId="168" fontId="53" fillId="0" borderId="1" xfId="0" applyNumberFormat="1" applyFont="1" applyBorder="1"/>
    <xf numFmtId="168" fontId="55" fillId="0" borderId="0" xfId="0" applyNumberFormat="1" applyFont="1"/>
    <xf numFmtId="168" fontId="53" fillId="0" borderId="7" xfId="0" applyNumberFormat="1" applyFont="1" applyBorder="1"/>
    <xf numFmtId="0" fontId="62" fillId="0" borderId="0" xfId="0" applyFont="1"/>
    <xf numFmtId="164" fontId="59" fillId="0" borderId="0" xfId="2" applyFont="1" applyBorder="1" applyAlignment="1"/>
    <xf numFmtId="164" fontId="53" fillId="0" borderId="0" xfId="2" applyFont="1" applyBorder="1" applyAlignment="1"/>
    <xf numFmtId="0" fontId="59" fillId="0" borderId="1" xfId="0" applyFont="1" applyBorder="1"/>
    <xf numFmtId="0" fontId="48" fillId="0" borderId="0" xfId="0" applyFont="1"/>
    <xf numFmtId="15" fontId="60" fillId="0" borderId="0" xfId="1" applyNumberFormat="1" applyFont="1" applyBorder="1" applyAlignment="1"/>
    <xf numFmtId="15" fontId="53" fillId="0" borderId="0" xfId="1" applyNumberFormat="1" applyFont="1" applyBorder="1" applyAlignment="1"/>
    <xf numFmtId="168" fontId="60" fillId="0" borderId="0" xfId="1" applyNumberFormat="1" applyFont="1" applyBorder="1" applyAlignment="1"/>
    <xf numFmtId="164" fontId="60" fillId="0" borderId="0" xfId="1" applyFont="1" applyBorder="1" applyAlignment="1"/>
    <xf numFmtId="168" fontId="59" fillId="0" borderId="9" xfId="1" applyNumberFormat="1" applyFont="1" applyBorder="1" applyAlignment="1"/>
    <xf numFmtId="168" fontId="59" fillId="0" borderId="11" xfId="1" applyNumberFormat="1" applyFont="1" applyBorder="1" applyAlignment="1"/>
    <xf numFmtId="168" fontId="59" fillId="0" borderId="12" xfId="1" applyNumberFormat="1" applyFont="1" applyBorder="1" applyAlignment="1"/>
    <xf numFmtId="168" fontId="59" fillId="0" borderId="2" xfId="13" applyNumberFormat="1" applyFont="1" applyBorder="1" applyAlignment="1" applyProtection="1">
      <alignment horizontal="center"/>
    </xf>
    <xf numFmtId="168" fontId="53" fillId="0" borderId="7" xfId="13" applyNumberFormat="1" applyFont="1" applyBorder="1" applyAlignment="1" applyProtection="1">
      <alignment horizontal="center"/>
    </xf>
    <xf numFmtId="168" fontId="59" fillId="0" borderId="3" xfId="13" applyNumberFormat="1" applyFont="1" applyBorder="1" applyAlignment="1" applyProtection="1">
      <alignment horizontal="center"/>
    </xf>
    <xf numFmtId="168" fontId="53" fillId="0" borderId="0" xfId="13" applyNumberFormat="1" applyFont="1" applyBorder="1" applyAlignment="1" applyProtection="1">
      <alignment horizontal="center"/>
    </xf>
    <xf numFmtId="168" fontId="59" fillId="0" borderId="5" xfId="13" applyNumberFormat="1" applyFont="1" applyBorder="1" applyAlignment="1" applyProtection="1">
      <alignment horizontal="center"/>
    </xf>
    <xf numFmtId="168" fontId="53" fillId="0" borderId="1" xfId="13" applyNumberFormat="1" applyFont="1" applyBorder="1" applyAlignment="1" applyProtection="1">
      <alignment horizontal="center"/>
    </xf>
    <xf numFmtId="168" fontId="59" fillId="0" borderId="6" xfId="13" applyNumberFormat="1" applyFont="1" applyBorder="1" applyAlignment="1" applyProtection="1">
      <alignment horizontal="center"/>
    </xf>
    <xf numFmtId="168" fontId="59" fillId="0" borderId="0" xfId="13" applyNumberFormat="1" applyFont="1" applyBorder="1" applyAlignment="1" applyProtection="1">
      <alignment horizontal="center"/>
    </xf>
    <xf numFmtId="168" fontId="59" fillId="0" borderId="9" xfId="13" applyNumberFormat="1" applyFont="1" applyBorder="1" applyAlignment="1" applyProtection="1">
      <alignment horizontal="center"/>
    </xf>
    <xf numFmtId="168" fontId="59" fillId="0" borderId="12" xfId="13" applyNumberFormat="1" applyFont="1" applyBorder="1" applyAlignment="1" applyProtection="1">
      <alignment horizontal="center"/>
    </xf>
    <xf numFmtId="168" fontId="5" fillId="0" borderId="10" xfId="0" applyNumberFormat="1" applyFont="1" applyBorder="1"/>
    <xf numFmtId="164" fontId="59" fillId="0" borderId="8" xfId="1" applyFont="1" applyBorder="1" applyAlignment="1"/>
    <xf numFmtId="164" fontId="53" fillId="0" borderId="8" xfId="1" applyFont="1" applyBorder="1" applyAlignment="1"/>
    <xf numFmtId="0" fontId="59" fillId="0" borderId="0" xfId="1" applyNumberFormat="1" applyFont="1" applyBorder="1" applyAlignment="1">
      <alignment horizontal="center"/>
    </xf>
    <xf numFmtId="0" fontId="53" fillId="0" borderId="0" xfId="1" applyNumberFormat="1" applyFont="1" applyBorder="1" applyAlignment="1">
      <alignment horizontal="center"/>
    </xf>
    <xf numFmtId="0" fontId="55" fillId="0" borderId="1" xfId="0" applyFont="1" applyBorder="1"/>
    <xf numFmtId="0" fontId="55" fillId="0" borderId="7" xfId="0" applyFont="1" applyBorder="1"/>
    <xf numFmtId="0" fontId="47" fillId="0" borderId="0" xfId="0" applyFont="1" applyAlignment="1">
      <alignment horizontal="center"/>
    </xf>
    <xf numFmtId="0" fontId="53" fillId="0" borderId="0" xfId="0" applyFont="1" applyAlignment="1">
      <alignment horizontal="center"/>
    </xf>
    <xf numFmtId="0" fontId="54" fillId="0" borderId="19" xfId="0" applyFont="1" applyBorder="1" applyAlignment="1">
      <alignment horizontal="center"/>
    </xf>
    <xf numFmtId="0" fontId="54" fillId="0" borderId="0" xfId="0" applyFont="1" applyAlignment="1">
      <alignment horizontal="center"/>
    </xf>
    <xf numFmtId="0" fontId="54" fillId="0" borderId="20" xfId="0" applyFont="1" applyBorder="1" applyAlignment="1">
      <alignment horizontal="center"/>
    </xf>
    <xf numFmtId="168" fontId="53" fillId="0" borderId="1" xfId="1" applyNumberFormat="1" applyFont="1" applyBorder="1" applyAlignment="1">
      <alignment horizontal="center"/>
    </xf>
    <xf numFmtId="168" fontId="53" fillId="0" borderId="0" xfId="1" applyNumberFormat="1" applyFont="1" applyBorder="1" applyAlignment="1">
      <alignment horizontal="center"/>
    </xf>
    <xf numFmtId="0" fontId="9" fillId="0" borderId="0" xfId="0" applyFont="1" applyAlignment="1">
      <alignment horizontal="center"/>
    </xf>
    <xf numFmtId="164" fontId="53" fillId="0" borderId="0" xfId="1" applyFont="1" applyBorder="1" applyAlignment="1">
      <alignment horizontal="center"/>
    </xf>
    <xf numFmtId="164" fontId="53" fillId="0" borderId="1" xfId="1" applyFont="1" applyBorder="1" applyAlignment="1">
      <alignment horizontal="center"/>
    </xf>
    <xf numFmtId="0" fontId="5" fillId="0" borderId="0" xfId="0"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7" borderId="0" xfId="0" applyFont="1" applyFill="1" applyProtection="1">
      <protection locked="0"/>
    </xf>
    <xf numFmtId="0" fontId="7" fillId="12" borderId="0" xfId="0" applyFont="1" applyFill="1" applyProtection="1">
      <protection locked="0"/>
    </xf>
    <xf numFmtId="0" fontId="5" fillId="13" borderId="0" xfId="0" applyFont="1" applyFill="1" applyProtection="1">
      <protection locked="0"/>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0" xfId="1" applyFont="1" applyAlignment="1">
      <alignment horizontal="center"/>
    </xf>
    <xf numFmtId="164" fontId="0" fillId="0" borderId="0" xfId="1" applyFont="1" applyAlignment="1" applyProtection="1">
      <alignment horizontal="center"/>
      <protection locked="0"/>
    </xf>
  </cellXfs>
  <cellStyles count="28">
    <cellStyle name="Comma" xfId="1" builtinId="3"/>
    <cellStyle name="Comma 2" xfId="2" xr:uid="{00000000-0005-0000-0000-000001000000}"/>
    <cellStyle name="Comma 2 2" xfId="3" xr:uid="{00000000-0005-0000-0000-000002000000}"/>
    <cellStyle name="Comma 2 3" xfId="23"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Excel Built-in Normal" xfId="12" xr:uid="{00000000-0005-0000-0000-00000D000000}"/>
    <cellStyle name="Hyperlink" xfId="13" builtinId="8"/>
    <cellStyle name="Normal" xfId="0" builtinId="0"/>
    <cellStyle name="Normal 2" xfId="14" xr:uid="{00000000-0005-0000-0000-000010000000}"/>
    <cellStyle name="Normal 2 2" xfId="26" xr:uid="{CB3EB91A-3A64-4AFF-8188-AFBAFF9485A8}"/>
    <cellStyle name="Normal 3" xfId="15" xr:uid="{00000000-0005-0000-0000-000011000000}"/>
    <cellStyle name="Normal 4" xfId="22" xr:uid="{ACF0510B-F609-44CF-B7C9-9DF42D839272}"/>
    <cellStyle name="Normal 5" xfId="24" xr:uid="{A7247675-8E61-4763-AD07-039BEAA7DE58}"/>
    <cellStyle name="Normal 6" xfId="25" xr:uid="{00000000-0005-0000-0000-000047000000}"/>
    <cellStyle name="Percent" xfId="16" builtinId="5"/>
    <cellStyle name="Percent 2" xfId="17" xr:uid="{00000000-0005-0000-0000-000018000000}"/>
    <cellStyle name="Percent 2 2" xfId="18" xr:uid="{00000000-0005-0000-0000-000019000000}"/>
    <cellStyle name="Percent 2 3" xfId="27" xr:uid="{35482C83-D02B-4C4B-9006-C0FEE8602378}"/>
    <cellStyle name="Percent 3" xfId="19" xr:uid="{00000000-0005-0000-0000-00001A000000}"/>
    <cellStyle name="Percent 3 2" xfId="20" xr:uid="{00000000-0005-0000-0000-00001B000000}"/>
    <cellStyle name="Percent 4" xfId="21"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3</xdr:col>
      <xdr:colOff>9525</xdr:colOff>
      <xdr:row>27</xdr:row>
      <xdr:rowOff>53975</xdr:rowOff>
    </xdr:to>
    <xdr:pic>
      <xdr:nvPicPr>
        <xdr:cNvPr id="3" name="Picture 2">
          <a:extLst>
            <a:ext uri="{FF2B5EF4-FFF2-40B4-BE49-F238E27FC236}">
              <a16:creationId xmlns:a16="http://schemas.microsoft.com/office/drawing/2014/main" id="{59FFA00B-CEF1-41E6-8586-2BAA3EB16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562100"/>
          <a:ext cx="6067425" cy="404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224</xdr:row>
      <xdr:rowOff>0</xdr:rowOff>
    </xdr:from>
    <xdr:to>
      <xdr:col>3</xdr:col>
      <xdr:colOff>104775</xdr:colOff>
      <xdr:row>224</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224</xdr:row>
      <xdr:rowOff>0</xdr:rowOff>
    </xdr:from>
    <xdr:to>
      <xdr:col>10</xdr:col>
      <xdr:colOff>876300</xdr:colOff>
      <xdr:row>224</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224</xdr:row>
      <xdr:rowOff>0</xdr:rowOff>
    </xdr:from>
    <xdr:to>
      <xdr:col>3</xdr:col>
      <xdr:colOff>104775</xdr:colOff>
      <xdr:row>224</xdr:row>
      <xdr:rowOff>0</xdr:rowOff>
    </xdr:to>
    <xdr:pic>
      <xdr:nvPicPr>
        <xdr:cNvPr id="2" name="Picture 1">
          <a:extLst>
            <a:ext uri="{FF2B5EF4-FFF2-40B4-BE49-F238E27FC236}">
              <a16:creationId xmlns:a16="http://schemas.microsoft.com/office/drawing/2014/main" id="{9CCF8970-D91D-4AAB-96FC-7DD208DC7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06946700"/>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224</xdr:row>
      <xdr:rowOff>0</xdr:rowOff>
    </xdr:from>
    <xdr:to>
      <xdr:col>10</xdr:col>
      <xdr:colOff>876300</xdr:colOff>
      <xdr:row>224</xdr:row>
      <xdr:rowOff>0</xdr:rowOff>
    </xdr:to>
    <xdr:pic>
      <xdr:nvPicPr>
        <xdr:cNvPr id="3" name="Picture 2" descr="fullset">
          <a:extLst>
            <a:ext uri="{FF2B5EF4-FFF2-40B4-BE49-F238E27FC236}">
              <a16:creationId xmlns:a16="http://schemas.microsoft.com/office/drawing/2014/main" id="{C454B70E-C73B-4E37-BBD8-77B560E52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106946700"/>
          <a:ext cx="3467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rhard/Documents/AFSEasy/MasterPtyLt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sum(TrialBalance!A119:A125"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IF(U501+V501=1,%22GROSS%20PROFIT/(LOSS)%22,IF((U501+V501=2),%22GROSS%20PROFIT%22,%22GROSS%20LOSS%22))" TargetMode="External"/><Relationship Id="rId84" Type="http://schemas.openxmlformats.org/officeDocument/2006/relationships/printerSettings" Target="../printerSettings/printerSettings2.bin"/><Relationship Id="rId16" Type="http://schemas.openxmlformats.org/officeDocument/2006/relationships/hyperlink" Target="mailto:-TrialBalance!A146-@sum(TrialBalance!A5:A127)" TargetMode="External"/><Relationship Id="rId11"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sum(TrialBalance!A8:A22" TargetMode="External"/><Relationship Id="rId37"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sum(TrialBalance!A67:A70" TargetMode="External"/><Relationship Id="rId74" Type="http://schemas.openxmlformats.org/officeDocument/2006/relationships/hyperlink" Target="mailto:=@IF(U501+V501=1,%22GROSS%20PROFIT/(LOSS)%22,IF((U501+V501=2),%22GROSS%20PROFIT%22,%22GROSS%20LOSS%22))" TargetMode="External"/><Relationship Id="rId79" Type="http://schemas.openxmlformats.org/officeDocument/2006/relationships/hyperlink" Target="mailto:=@if(Criteria!F343=%22No%22,Criteria!G346,%22%20%22)" TargetMode="External"/><Relationship Id="rId5"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77:A111"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Criteria!F343=%22No%22,Criteria!G346,%22%20%22)" TargetMode="External"/><Relationship Id="rId27" Type="http://schemas.openxmlformats.org/officeDocument/2006/relationships/hyperlink" Target="mailto:=@if(Criteria!E33*Criteria!E34=Criteria!E36*Criteria!E37,%22%20%22,Criteria!E33*Criteria!E34)"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sum(TrialBalance!A112:A118"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56"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sum(TrialBalance!A67:A70" TargetMode="External"/><Relationship Id="rId69" Type="http://schemas.openxmlformats.org/officeDocument/2006/relationships/hyperlink" Target="mailto:=@IF(U501+V501=1,%22GROSS%20PROFIT/(LOSS)%22,IF((U501+V501=2),%22GROSS%20PROFIT%22,%22GROSS%20LOSS%22))" TargetMode="External"/><Relationship Id="rId77"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sum(TrialBalance!A67:A70" TargetMode="External"/><Relationship Id="rId72" Type="http://schemas.openxmlformats.org/officeDocument/2006/relationships/hyperlink" Target="mailto:=@IF(U501+V501=1,%22GROSS%20PROFIT/(LOSS)%22,IF((U501+V501=2),%22GROSS%20PROFIT%22,%22GROSS%20LOSS%22))" TargetMode="External"/><Relationship Id="rId80" Type="http://schemas.openxmlformats.org/officeDocument/2006/relationships/hyperlink" Target="mailto:=@IF(U501+V501=1,%22GROSS%20PROFIT/(LOSS)%22,IF((U501+V501=2),%22GROSS%20PROFIT%22,%22GROSS%20LOSS%22))" TargetMode="External"/><Relationship Id="rId85" Type="http://schemas.openxmlformats.org/officeDocument/2006/relationships/drawing" Target="../drawings/drawing2.xm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8:A22"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sum(TrialBalance!A23:A63" TargetMode="External"/><Relationship Id="rId38" Type="http://schemas.openxmlformats.org/officeDocument/2006/relationships/hyperlink" Target="mailto:-@sum(TrialBalance!A67:A70"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sum(TrialBalance!A112:A118"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sum(TrialBalance!A67:A70" TargetMode="External"/><Relationship Id="rId75" Type="http://schemas.openxmlformats.org/officeDocument/2006/relationships/hyperlink" Target="mailto:-@sum(TrialBalance!A67:A70" TargetMode="External"/><Relationship Id="rId83"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sum(TrialBalance!A67:A70"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67:A70" TargetMode="External"/><Relationship Id="rId23" Type="http://schemas.openxmlformats.org/officeDocument/2006/relationships/hyperlink" Target="mailto:=@if(Criteria!F343=%22No%22,Criteria!G346,%22%20%22)" TargetMode="External"/><Relationship Id="rId28" Type="http://schemas.openxmlformats.org/officeDocument/2006/relationships/hyperlink" Target="mailto:=@if(Criteria!E33*Criteria!E34=Criteria!E36*Criteria!E37,%22%20%22,Criteria!E33*Criteria!E34)"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hyperlink" Target="mailto:-@sum(TrialBalance!A67:A70"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sum(TrialBalance!A67:A70"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hyperlink" Target="mailto:=@IF(U501+V501=1,%22GROSS%20PROFIT/(LOSS)%22,IF((U501+V501=2),%22GROSS%20PROFIT%22,%22GROSS%20LOSS%22))" TargetMode="External"/><Relationship Id="rId78" Type="http://schemas.openxmlformats.org/officeDocument/2006/relationships/hyperlink" Target="mailto:-@sum(TrialBalance!A119:A125" TargetMode="External"/><Relationship Id="rId81" Type="http://schemas.openxmlformats.org/officeDocument/2006/relationships/hyperlink" Target="mailto:=@IF(U501+V501=1,%22GROSS%20PROFIT/(LOSS)%22,IF((U501+V501=2),%22GROSS%20PROFIT%22,%22GROSS%20LOSS%22))" TargetMode="External"/><Relationship Id="rId86" Type="http://schemas.openxmlformats.org/officeDocument/2006/relationships/image" Target="../media/image2.jpeg"/><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sum(TrialBalance!A23:A63"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sum(TrialBalance!A77:A111"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6"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TrialBalance!A146-@sum(TrialBalance!A5:A127)" TargetMode="External"/><Relationship Id="rId29"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sum(TrialBalance!A67:A70" TargetMode="External"/><Relationship Id="rId66"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82"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mailto:-@sum(TrialBalance!A8:A22"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sum(TrialBalance!A67:A70" TargetMode="External"/><Relationship Id="rId39"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Criteria!E33*Criteria!E34=Criteria!E36*Criteria!E37,%22%20%22,Criteria!E33*Criteria!E34)" TargetMode="External"/><Relationship Id="rId34"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sum(TrialBalance!A67:A70" TargetMode="External"/><Relationship Id="rId47" Type="http://schemas.openxmlformats.org/officeDocument/2006/relationships/hyperlink" Target="mailto:=@if(Criteria!F343=%22No%22,Criteria!G346,%22%20%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printerSettings" Target="../printerSettings/printerSettings3.bin"/><Relationship Id="rId7"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112:A118"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sum(TrialBalance!A67:A70"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sum(TrialBalance!A67:A70"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sum(TrialBalance!A23:A63"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56" Type="http://schemas.openxmlformats.org/officeDocument/2006/relationships/drawing" Target="../drawings/drawing3.xm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TrialBalance!A146-@sum(TrialBalance!A5:A127)" TargetMode="External"/><Relationship Id="rId17" Type="http://schemas.openxmlformats.org/officeDocument/2006/relationships/hyperlink" Target="mailto:-@sum(TrialBalance!A119:A125"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Criteria!F343=%22No%22,Criteria!G346,%22%20%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sum(TrialBalance!A77:A111"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Criteria!F343=%22No%22,Criteria!G346,%22%20%22)" TargetMode="External"/><Relationship Id="rId57" Type="http://schemas.openxmlformats.org/officeDocument/2006/relationships/image" Target="../media/image5.png"/><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6238-232E-4316-BFE4-8548D730274E}">
  <sheetPr>
    <pageSetUpPr fitToPage="1"/>
  </sheetPr>
  <dimension ref="B1:C43"/>
  <sheetViews>
    <sheetView tabSelected="1" workbookViewId="0">
      <selection activeCell="B15" sqref="B15"/>
    </sheetView>
  </sheetViews>
  <sheetFormatPr defaultRowHeight="15" x14ac:dyDescent="0.25"/>
  <cols>
    <col min="1" max="1" width="9.140625" style="189"/>
    <col min="2" max="2" width="5" style="189" customWidth="1"/>
    <col min="3" max="3" width="91" style="189" bestFit="1" customWidth="1"/>
    <col min="4" max="16384" width="9.140625" style="189"/>
  </cols>
  <sheetData>
    <row r="1" spans="3:3" ht="29.25" customHeight="1" x14ac:dyDescent="0.25">
      <c r="C1" s="191" t="s">
        <v>704</v>
      </c>
    </row>
    <row r="2" spans="3:3" x14ac:dyDescent="0.25">
      <c r="C2" s="192"/>
    </row>
    <row r="3" spans="3:3" ht="31.5" x14ac:dyDescent="0.5">
      <c r="C3" s="193" t="s">
        <v>1182</v>
      </c>
    </row>
    <row r="4" spans="3:3" x14ac:dyDescent="0.25">
      <c r="C4" s="192"/>
    </row>
    <row r="5" spans="3:3" ht="15.75" x14ac:dyDescent="0.25">
      <c r="C5" s="194" t="s">
        <v>705</v>
      </c>
    </row>
    <row r="6" spans="3:3" ht="15.75" x14ac:dyDescent="0.25">
      <c r="C6" s="194" t="s">
        <v>832</v>
      </c>
    </row>
    <row r="29" spans="2:3" ht="15.75" x14ac:dyDescent="0.3">
      <c r="B29" s="197" t="s">
        <v>871</v>
      </c>
    </row>
    <row r="32" spans="2:3" x14ac:dyDescent="0.25">
      <c r="B32" s="190" t="s">
        <v>691</v>
      </c>
      <c r="C32" s="189" t="s">
        <v>878</v>
      </c>
    </row>
    <row r="33" spans="2:3" x14ac:dyDescent="0.25">
      <c r="C33" s="189" t="s">
        <v>886</v>
      </c>
    </row>
    <row r="34" spans="2:3" x14ac:dyDescent="0.25">
      <c r="C34" s="189" t="s">
        <v>843</v>
      </c>
    </row>
    <row r="35" spans="2:3" x14ac:dyDescent="0.25">
      <c r="C35" s="189" t="s">
        <v>842</v>
      </c>
    </row>
    <row r="36" spans="2:3" x14ac:dyDescent="0.25">
      <c r="C36" s="189" t="s">
        <v>872</v>
      </c>
    </row>
    <row r="38" spans="2:3" x14ac:dyDescent="0.25">
      <c r="C38" s="189" t="s">
        <v>870</v>
      </c>
    </row>
    <row r="39" spans="2:3" x14ac:dyDescent="0.25">
      <c r="C39" s="189" t="s">
        <v>873</v>
      </c>
    </row>
    <row r="41" spans="2:3" x14ac:dyDescent="0.25">
      <c r="B41" s="190" t="s">
        <v>691</v>
      </c>
      <c r="C41" s="189" t="s">
        <v>1204</v>
      </c>
    </row>
    <row r="42" spans="2:3" x14ac:dyDescent="0.25">
      <c r="C42" s="189" t="s">
        <v>1144</v>
      </c>
    </row>
    <row r="43" spans="2:3" x14ac:dyDescent="0.25">
      <c r="C43" s="189" t="s">
        <v>1145</v>
      </c>
    </row>
  </sheetData>
  <sheetProtection formatColumns="0" formatRows="0" insertColumns="0" insertRows="0" deleteColumns="0" deleteRows="0" selectLockedCells="1" selectUnlockedCells="1"/>
  <hyperlinks>
    <hyperlink ref="C6" r:id="rId1" xr:uid="{4CF41049-751A-4FD9-A59A-0AC45A0F735A}"/>
    <hyperlink ref="C5" r:id="rId2" xr:uid="{AA0F9878-D3D0-4A80-AE0B-86C20C9CB731}"/>
  </hyperlinks>
  <pageMargins left="0.7" right="0.7" top="0.75" bottom="0.75" header="0.3" footer="0.3"/>
  <pageSetup paperSize="9" scale="78"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C069-9881-4646-AED7-11648B259346}">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H19" sqref="H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81</v>
      </c>
      <c r="H2" s="105"/>
    </row>
    <row r="3" spans="3:8" x14ac:dyDescent="0.25">
      <c r="C3" s="3" t="s">
        <v>80</v>
      </c>
      <c r="D3" s="3"/>
      <c r="E3" s="3" t="str">
        <f>Criteria!E20</f>
        <v>29 FEBRUARY 2024</v>
      </c>
    </row>
    <row r="4" spans="3:8" ht="52.5" customHeight="1" x14ac:dyDescent="0.25">
      <c r="C4" s="137" t="s">
        <v>683</v>
      </c>
      <c r="G4" s="105" t="s">
        <v>82</v>
      </c>
      <c r="H4" s="105"/>
    </row>
    <row r="5" spans="3:8" ht="15.75" customHeight="1" x14ac:dyDescent="0.25">
      <c r="G5" s="25"/>
      <c r="H5" s="25"/>
    </row>
    <row r="6" spans="3:8" x14ac:dyDescent="0.25">
      <c r="G6" s="5">
        <f>Criteria!E22</f>
        <v>2024</v>
      </c>
      <c r="H6" s="5">
        <f>Criteria!E27</f>
        <v>2023</v>
      </c>
    </row>
    <row r="7" spans="3:8" x14ac:dyDescent="0.25">
      <c r="G7" s="101"/>
      <c r="H7" s="101"/>
    </row>
    <row r="8" spans="3:8" x14ac:dyDescent="0.25">
      <c r="C8" s="2" t="str">
        <f>TrialBalance!C318</f>
        <v>CONNECTED ENTITIES LOANS</v>
      </c>
      <c r="G8" s="101"/>
      <c r="H8" s="101"/>
    </row>
    <row r="9" spans="3:8" x14ac:dyDescent="0.25">
      <c r="C9" s="2" t="str">
        <f>TrialBalance!C319</f>
        <v>Interest bearing</v>
      </c>
      <c r="G9" s="101"/>
      <c r="H9" s="101"/>
    </row>
    <row r="10" spans="3:8" x14ac:dyDescent="0.25">
      <c r="C10" s="2">
        <f>TrialBalance!C320</f>
        <v>0</v>
      </c>
      <c r="G10" s="101">
        <f>TrialBalance!L320</f>
        <v>0</v>
      </c>
      <c r="H10" s="101">
        <f>TrialBalance!N320</f>
        <v>0</v>
      </c>
    </row>
    <row r="11" spans="3:8" x14ac:dyDescent="0.25">
      <c r="C11" s="2">
        <f>TrialBalance!C321</f>
        <v>0</v>
      </c>
      <c r="G11" s="101">
        <f>TrialBalance!L321</f>
        <v>0</v>
      </c>
      <c r="H11" s="101">
        <f>TrialBalance!N321</f>
        <v>0</v>
      </c>
    </row>
    <row r="12" spans="3:8" x14ac:dyDescent="0.25">
      <c r="C12" s="2">
        <f>TrialBalance!C322</f>
        <v>0</v>
      </c>
      <c r="G12" s="101">
        <f>TrialBalance!L322</f>
        <v>0</v>
      </c>
      <c r="H12" s="101">
        <f>TrialBalance!N322</f>
        <v>0</v>
      </c>
    </row>
    <row r="13" spans="3:8" x14ac:dyDescent="0.25">
      <c r="C13" s="2">
        <f>TrialBalance!C329</f>
        <v>0</v>
      </c>
      <c r="G13" s="101">
        <f>TrialBalance!L329</f>
        <v>0</v>
      </c>
      <c r="H13" s="101">
        <f>TrialBalance!N329</f>
        <v>0</v>
      </c>
    </row>
    <row r="14" spans="3:8" x14ac:dyDescent="0.25">
      <c r="C14" s="2" t="str">
        <f>TrialBalance!C330</f>
        <v>Interest free</v>
      </c>
      <c r="G14" s="101"/>
      <c r="H14" s="101"/>
    </row>
    <row r="15" spans="3:8" x14ac:dyDescent="0.25">
      <c r="C15" s="2">
        <f>TrialBalance!C331</f>
        <v>0</v>
      </c>
      <c r="G15" s="101">
        <f>TrialBalance!L331</f>
        <v>0</v>
      </c>
      <c r="H15" s="101">
        <f>TrialBalance!N331</f>
        <v>0</v>
      </c>
    </row>
    <row r="16" spans="3:8" x14ac:dyDescent="0.25">
      <c r="C16" s="2">
        <f>TrialBalance!C332</f>
        <v>0</v>
      </c>
      <c r="G16" s="101">
        <f>TrialBalance!L332</f>
        <v>0</v>
      </c>
      <c r="H16" s="101">
        <f>TrialBalance!N332</f>
        <v>0</v>
      </c>
    </row>
    <row r="17" spans="3:8" x14ac:dyDescent="0.25">
      <c r="C17" s="2">
        <f>TrialBalance!C333</f>
        <v>0</v>
      </c>
      <c r="G17" s="101">
        <f>TrialBalance!L333</f>
        <v>0</v>
      </c>
      <c r="H17" s="101">
        <f>TrialBalance!N333</f>
        <v>0</v>
      </c>
    </row>
    <row r="18" spans="3:8" x14ac:dyDescent="0.25">
      <c r="C18" s="2">
        <f>TrialBalance!C340</f>
        <v>0</v>
      </c>
      <c r="G18" s="101">
        <f>TrialBalance!L340</f>
        <v>0</v>
      </c>
      <c r="H18" s="101">
        <f>TrialBalance!N340</f>
        <v>0</v>
      </c>
    </row>
    <row r="19" spans="3:8" x14ac:dyDescent="0.25">
      <c r="C19" s="2" t="str">
        <f>TrialBalance!C341</f>
        <v>OTHER NON - CURRENT RECEIVABLES</v>
      </c>
      <c r="G19" s="101"/>
      <c r="H19" s="101"/>
    </row>
    <row r="20" spans="3:8" x14ac:dyDescent="0.25">
      <c r="C20" s="2" t="str">
        <f>TrialBalance!C342</f>
        <v>Interest bearing</v>
      </c>
      <c r="G20" s="101"/>
      <c r="H20" s="101"/>
    </row>
    <row r="21" spans="3:8" x14ac:dyDescent="0.25">
      <c r="C21" s="2">
        <f>TrialBalance!C343</f>
        <v>0</v>
      </c>
      <c r="G21" s="101">
        <f>TrialBalance!L343</f>
        <v>0</v>
      </c>
      <c r="H21" s="101">
        <f>TrialBalance!N343</f>
        <v>0</v>
      </c>
    </row>
    <row r="22" spans="3:8" x14ac:dyDescent="0.25">
      <c r="C22" s="2">
        <f>TrialBalance!C344</f>
        <v>0</v>
      </c>
      <c r="G22" s="101">
        <f>TrialBalance!L344</f>
        <v>0</v>
      </c>
      <c r="H22" s="101">
        <f>TrialBalance!N344</f>
        <v>0</v>
      </c>
    </row>
    <row r="23" spans="3:8" x14ac:dyDescent="0.25">
      <c r="C23" s="2">
        <f>TrialBalance!C345</f>
        <v>0</v>
      </c>
      <c r="G23" s="101">
        <f>TrialBalance!L345</f>
        <v>0</v>
      </c>
      <c r="H23" s="101">
        <f>TrialBalance!N345</f>
        <v>0</v>
      </c>
    </row>
    <row r="24" spans="3:8" x14ac:dyDescent="0.25">
      <c r="C24" s="2">
        <f>TrialBalance!C346</f>
        <v>0</v>
      </c>
      <c r="G24" s="101">
        <f>TrialBalance!L346</f>
        <v>0</v>
      </c>
      <c r="H24" s="101">
        <f>TrialBalance!N346</f>
        <v>0</v>
      </c>
    </row>
    <row r="25" spans="3:8" x14ac:dyDescent="0.25">
      <c r="C25" s="2" t="str">
        <f>TrialBalance!C347</f>
        <v>Interest free</v>
      </c>
      <c r="G25" s="101"/>
      <c r="H25" s="101"/>
    </row>
    <row r="26" spans="3:8" x14ac:dyDescent="0.25">
      <c r="C26" s="2">
        <f>TrialBalance!C348</f>
        <v>0</v>
      </c>
      <c r="G26" s="101">
        <f>TrialBalance!L348</f>
        <v>0</v>
      </c>
      <c r="H26" s="101">
        <f>TrialBalance!N348</f>
        <v>0</v>
      </c>
    </row>
    <row r="27" spans="3:8" x14ac:dyDescent="0.25">
      <c r="C27" s="2">
        <f>TrialBalance!C349</f>
        <v>0</v>
      </c>
      <c r="G27" s="101">
        <f>TrialBalance!L349</f>
        <v>0</v>
      </c>
      <c r="H27" s="101">
        <f>TrialBalance!N349</f>
        <v>0</v>
      </c>
    </row>
    <row r="28" spans="3:8" x14ac:dyDescent="0.25">
      <c r="C28" s="2">
        <f>TrialBalance!C350</f>
        <v>0</v>
      </c>
      <c r="G28" s="101">
        <f>TrialBalance!L350</f>
        <v>0</v>
      </c>
      <c r="H28" s="101">
        <f>TrialBalance!N350</f>
        <v>0</v>
      </c>
    </row>
    <row r="29" spans="3:8" x14ac:dyDescent="0.25">
      <c r="C29" s="2">
        <f>TrialBalance!C351</f>
        <v>0</v>
      </c>
      <c r="G29" s="101">
        <f>TrialBalance!L351</f>
        <v>0</v>
      </c>
      <c r="H29" s="101">
        <f>TrialBalance!N351</f>
        <v>0</v>
      </c>
    </row>
    <row r="30" spans="3:8" x14ac:dyDescent="0.25">
      <c r="C30" s="2">
        <f>TrialBalance!C352</f>
        <v>0</v>
      </c>
      <c r="G30" s="101">
        <f>TrialBalance!L352</f>
        <v>0</v>
      </c>
      <c r="H30" s="101">
        <f>TrialBalance!N352</f>
        <v>0</v>
      </c>
    </row>
    <row r="31" spans="3:8" s="2" customFormat="1" x14ac:dyDescent="0.25">
      <c r="G31" s="101"/>
      <c r="H31" s="101"/>
    </row>
    <row r="32" spans="3:8" s="2" customFormat="1" ht="16.5" thickBot="1" x14ac:dyDescent="0.3">
      <c r="G32" s="103">
        <f>SUM(G7:G31)</f>
        <v>0</v>
      </c>
      <c r="H32" s="103">
        <f>SUM(H7:H31)</f>
        <v>0</v>
      </c>
    </row>
    <row r="33" spans="3:8" s="2" customFormat="1" ht="16.5" thickTop="1" x14ac:dyDescent="0.25">
      <c r="G33" s="101"/>
      <c r="H33" s="101"/>
    </row>
    <row r="34" spans="3:8" x14ac:dyDescent="0.25">
      <c r="C34" s="1" t="s">
        <v>594</v>
      </c>
      <c r="G34" s="101">
        <f>G32-SUM(TrialBalance!L320:L352)</f>
        <v>0</v>
      </c>
      <c r="H34" s="101">
        <f>H32-SUM(TrialBalance!N320:N352)</f>
        <v>0</v>
      </c>
    </row>
    <row r="2498" spans="7:9" s="2" customFormat="1" x14ac:dyDescent="0.25">
      <c r="G2498" s="5"/>
      <c r="H2498" s="5"/>
      <c r="I2498" s="29"/>
    </row>
  </sheetData>
  <hyperlinks>
    <hyperlink ref="C4" location="TrialBalance!A1" display="NON CURRENT RECEIVABLES" xr:uid="{5330A241-1C70-41F4-9DBE-B09339572CC6}"/>
  </hyperlinks>
  <pageMargins left="0.75" right="0.75" top="1" bottom="1" header="0.5" footer="0.5"/>
  <pageSetup paperSize="9"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E38C-9E84-411E-BC4F-617525A8226F}">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A5" sqref="A5"/>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81</v>
      </c>
      <c r="H2" s="105"/>
    </row>
    <row r="3" spans="3:8" x14ac:dyDescent="0.25">
      <c r="C3" s="3" t="s">
        <v>80</v>
      </c>
      <c r="D3" s="3"/>
      <c r="E3" s="3" t="str">
        <f>Criteria!E20</f>
        <v>29 FEBRUARY 2024</v>
      </c>
    </row>
    <row r="4" spans="3:8" ht="52.5" customHeight="1" x14ac:dyDescent="0.25">
      <c r="C4" s="137" t="s">
        <v>46</v>
      </c>
      <c r="G4" s="105" t="s">
        <v>82</v>
      </c>
      <c r="H4" s="105"/>
    </row>
    <row r="5" spans="3:8" ht="15.75" customHeight="1" x14ac:dyDescent="0.25">
      <c r="G5" s="25"/>
      <c r="H5" s="25"/>
    </row>
    <row r="6" spans="3:8" x14ac:dyDescent="0.25">
      <c r="G6" s="5">
        <f>Criteria!E22</f>
        <v>2024</v>
      </c>
      <c r="H6" s="5">
        <f>Criteria!E27</f>
        <v>2023</v>
      </c>
    </row>
    <row r="7" spans="3:8" x14ac:dyDescent="0.25">
      <c r="G7" s="101"/>
      <c r="H7" s="101"/>
    </row>
    <row r="8" spans="3:8" x14ac:dyDescent="0.25">
      <c r="G8" s="101"/>
      <c r="H8" s="101"/>
    </row>
    <row r="9" spans="3:8" x14ac:dyDescent="0.25">
      <c r="G9" s="101"/>
      <c r="H9" s="101"/>
    </row>
    <row r="10" spans="3:8" x14ac:dyDescent="0.25">
      <c r="G10" s="101"/>
      <c r="H10" s="101"/>
    </row>
    <row r="11" spans="3:8" x14ac:dyDescent="0.25">
      <c r="G11" s="101"/>
      <c r="H11" s="101"/>
    </row>
    <row r="12" spans="3:8" x14ac:dyDescent="0.25">
      <c r="G12" s="101"/>
      <c r="H12" s="101"/>
    </row>
    <row r="13" spans="3:8" x14ac:dyDescent="0.25">
      <c r="G13" s="101"/>
      <c r="H13" s="101"/>
    </row>
    <row r="14" spans="3:8" x14ac:dyDescent="0.25">
      <c r="G14" s="101"/>
      <c r="H14" s="101"/>
    </row>
    <row r="15" spans="3:8" x14ac:dyDescent="0.25">
      <c r="G15" s="101"/>
      <c r="H15" s="101"/>
    </row>
    <row r="16" spans="3:8" s="2" customFormat="1" x14ac:dyDescent="0.25">
      <c r="G16" s="101"/>
      <c r="H16" s="101"/>
    </row>
    <row r="17" spans="3:8" s="2" customFormat="1" ht="16.5" thickBot="1" x14ac:dyDescent="0.3">
      <c r="G17" s="103">
        <f>SUM(G7:G16)</f>
        <v>0</v>
      </c>
      <c r="H17" s="103">
        <f>SUM(H7:H16)</f>
        <v>0</v>
      </c>
    </row>
    <row r="18" spans="3:8" s="2" customFormat="1" ht="16.5" thickTop="1" x14ac:dyDescent="0.25">
      <c r="G18" s="101"/>
      <c r="H18" s="101"/>
    </row>
    <row r="19" spans="3:8" x14ac:dyDescent="0.25">
      <c r="C19" s="1" t="s">
        <v>594</v>
      </c>
      <c r="G19" s="136">
        <f>G17-SUM(TrialBalance!L354:L357)</f>
        <v>0</v>
      </c>
      <c r="H19" s="136">
        <f>H17-SUM(TrialBalance!N354:N357)</f>
        <v>0</v>
      </c>
    </row>
    <row r="2483" spans="7:9" s="2" customFormat="1" x14ac:dyDescent="0.25">
      <c r="G2483" s="5"/>
      <c r="H2483" s="5"/>
      <c r="I2483" s="29"/>
    </row>
  </sheetData>
  <hyperlinks>
    <hyperlink ref="C4" location="TrialBalance!A1" display="INVENTORY" xr:uid="{95A80F32-56AE-4024-9DAC-C4466C8C92F0}"/>
  </hyperlinks>
  <pageMargins left="0.75" right="0.75" top="1" bottom="1" header="0.5" footer="0.5"/>
  <pageSetup paperSize="9" scale="76"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2"/>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2:8" ht="52.5" customHeight="1" x14ac:dyDescent="0.25">
      <c r="C2" s="106" t="str">
        <f>Criteria!E9</f>
        <v>HOLDING COMPANY 268 (PROPRIETARY) LIMITED</v>
      </c>
      <c r="D2" s="156"/>
      <c r="E2" s="156"/>
      <c r="G2" s="105" t="s">
        <v>81</v>
      </c>
      <c r="H2" s="105"/>
    </row>
    <row r="3" spans="2:8" x14ac:dyDescent="0.25">
      <c r="C3" s="3" t="s">
        <v>80</v>
      </c>
      <c r="D3" s="3"/>
      <c r="E3" s="3" t="str">
        <f>Criteria!E20</f>
        <v>29 FEBRUARY 2024</v>
      </c>
    </row>
    <row r="4" spans="2:8" ht="52.5" customHeight="1" x14ac:dyDescent="0.25">
      <c r="C4" s="137" t="s">
        <v>31</v>
      </c>
      <c r="G4" s="105" t="s">
        <v>82</v>
      </c>
      <c r="H4" s="105"/>
    </row>
    <row r="5" spans="2:8" ht="15.75" customHeight="1" x14ac:dyDescent="0.25">
      <c r="G5" s="25"/>
      <c r="H5" s="25"/>
    </row>
    <row r="6" spans="2:8" ht="15.75" customHeight="1" x14ac:dyDescent="0.25">
      <c r="G6" s="25"/>
      <c r="H6" s="25"/>
    </row>
    <row r="7" spans="2:8" x14ac:dyDescent="0.25">
      <c r="B7" s="89" t="s">
        <v>592</v>
      </c>
      <c r="C7" s="3" t="s">
        <v>590</v>
      </c>
      <c r="G7" s="25"/>
      <c r="H7" s="25"/>
    </row>
    <row r="8" spans="2:8" x14ac:dyDescent="0.25">
      <c r="C8" s="6"/>
      <c r="D8" s="6"/>
      <c r="E8" s="6"/>
      <c r="F8" s="6"/>
      <c r="G8" s="100"/>
      <c r="H8" s="100"/>
    </row>
    <row r="10" spans="2:8" x14ac:dyDescent="0.25">
      <c r="G10" s="5">
        <f>Criteria!E22</f>
        <v>2024</v>
      </c>
      <c r="H10" s="5">
        <f>Criteria!E27</f>
        <v>2023</v>
      </c>
    </row>
    <row r="11" spans="2:8" x14ac:dyDescent="0.25">
      <c r="G11" s="101"/>
      <c r="H11" s="101"/>
    </row>
    <row r="12" spans="2:8" x14ac:dyDescent="0.25">
      <c r="C12" s="28"/>
      <c r="G12" s="101"/>
      <c r="H12" s="101"/>
    </row>
    <row r="13" spans="2:8" x14ac:dyDescent="0.25">
      <c r="G13" s="101"/>
      <c r="H13" s="101"/>
    </row>
    <row r="14" spans="2:8" x14ac:dyDescent="0.25">
      <c r="G14" s="101"/>
      <c r="H14" s="101"/>
    </row>
    <row r="15" spans="2:8" x14ac:dyDescent="0.25">
      <c r="G15" s="101"/>
      <c r="H15" s="101"/>
    </row>
    <row r="16" spans="2:8" x14ac:dyDescent="0.25">
      <c r="G16" s="101"/>
      <c r="H16" s="101"/>
    </row>
    <row r="17" spans="2:8" x14ac:dyDescent="0.25">
      <c r="G17" s="101"/>
      <c r="H17" s="101"/>
    </row>
    <row r="18" spans="2:8" s="2" customFormat="1" x14ac:dyDescent="0.25">
      <c r="G18" s="101"/>
      <c r="H18" s="101"/>
    </row>
    <row r="19" spans="2:8" s="2" customFormat="1" x14ac:dyDescent="0.25">
      <c r="G19" s="101"/>
      <c r="H19" s="101"/>
    </row>
    <row r="20" spans="2:8" s="2" customFormat="1" x14ac:dyDescent="0.25">
      <c r="G20" s="101"/>
      <c r="H20" s="101"/>
    </row>
    <row r="21" spans="2:8" s="2" customFormat="1" x14ac:dyDescent="0.25">
      <c r="G21" s="102"/>
      <c r="H21" s="102"/>
    </row>
    <row r="22" spans="2:8" s="2" customFormat="1" x14ac:dyDescent="0.25">
      <c r="G22" s="101">
        <f>SUM(G11:G21)</f>
        <v>0</v>
      </c>
      <c r="H22" s="101">
        <f>SUM(H11:H21)</f>
        <v>0</v>
      </c>
    </row>
    <row r="23" spans="2:8" s="2" customFormat="1" x14ac:dyDescent="0.25">
      <c r="G23" s="101"/>
      <c r="H23" s="101"/>
    </row>
    <row r="24" spans="2:8" s="2" customFormat="1" x14ac:dyDescent="0.25">
      <c r="C24" s="2" t="s">
        <v>589</v>
      </c>
      <c r="G24" s="101">
        <f>TrialBalance!L360</f>
        <v>0</v>
      </c>
      <c r="H24" s="101">
        <f>TrialBalance!N360</f>
        <v>0</v>
      </c>
    </row>
    <row r="25" spans="2:8" s="2" customFormat="1" x14ac:dyDescent="0.25">
      <c r="G25" s="101"/>
      <c r="H25" s="101"/>
    </row>
    <row r="26" spans="2:8" s="2" customFormat="1" ht="16.5" thickBot="1" x14ac:dyDescent="0.3">
      <c r="G26" s="103">
        <f>SUM(G22:G25)</f>
        <v>0</v>
      </c>
      <c r="H26" s="103">
        <f>SUM(H22:H25)</f>
        <v>0</v>
      </c>
    </row>
    <row r="27" spans="2:8" s="2" customFormat="1" ht="16.5" thickTop="1" x14ac:dyDescent="0.25">
      <c r="G27" s="101"/>
      <c r="H27" s="101"/>
    </row>
    <row r="28" spans="2:8" s="2" customFormat="1" x14ac:dyDescent="0.25">
      <c r="C28" s="1" t="s">
        <v>594</v>
      </c>
      <c r="D28" s="1"/>
      <c r="E28" s="1"/>
      <c r="F28" s="1"/>
      <c r="G28" s="7">
        <f>SUM(TrialBalance!L359:L360)-G26</f>
        <v>0</v>
      </c>
      <c r="H28" s="7">
        <f>SUM(TrialBalance!N359:N360)-H26</f>
        <v>0</v>
      </c>
    </row>
    <row r="29" spans="2:8" s="2" customFormat="1" x14ac:dyDescent="0.25">
      <c r="G29" s="101"/>
      <c r="H29" s="101"/>
    </row>
    <row r="30" spans="2:8" s="2" customFormat="1" x14ac:dyDescent="0.25">
      <c r="G30" s="101"/>
      <c r="H30" s="101"/>
    </row>
    <row r="31" spans="2:8" s="2" customFormat="1" x14ac:dyDescent="0.25">
      <c r="G31" s="101"/>
      <c r="H31" s="101"/>
    </row>
    <row r="32" spans="2:8" s="2" customFormat="1" x14ac:dyDescent="0.25">
      <c r="B32" s="89" t="s">
        <v>593</v>
      </c>
      <c r="C32" s="3" t="s">
        <v>521</v>
      </c>
      <c r="G32" s="25"/>
      <c r="H32" s="25"/>
    </row>
    <row r="33" spans="3:8" s="2" customFormat="1" x14ac:dyDescent="0.25">
      <c r="C33" s="6"/>
      <c r="D33" s="6"/>
      <c r="E33" s="6"/>
      <c r="F33" s="6"/>
      <c r="G33" s="100"/>
      <c r="H33" s="100"/>
    </row>
    <row r="34" spans="3:8" s="2" customFormat="1" x14ac:dyDescent="0.25">
      <c r="G34" s="5"/>
      <c r="H34" s="5"/>
    </row>
    <row r="35" spans="3:8" s="2" customFormat="1" x14ac:dyDescent="0.25">
      <c r="G35" s="5">
        <f>Criteria!E22</f>
        <v>2024</v>
      </c>
      <c r="H35" s="5">
        <f>Criteria!E27</f>
        <v>2023</v>
      </c>
    </row>
    <row r="36" spans="3:8" s="2" customFormat="1" x14ac:dyDescent="0.25">
      <c r="G36" s="101"/>
      <c r="H36" s="101"/>
    </row>
    <row r="37" spans="3:8" s="2" customFormat="1" x14ac:dyDescent="0.25">
      <c r="G37" s="4"/>
      <c r="H37" s="4"/>
    </row>
    <row r="38" spans="3:8" s="2" customFormat="1" x14ac:dyDescent="0.25">
      <c r="G38" s="101"/>
      <c r="H38" s="101"/>
    </row>
    <row r="39" spans="3:8" s="2" customFormat="1" x14ac:dyDescent="0.25">
      <c r="G39" s="4"/>
      <c r="H39" s="4"/>
    </row>
    <row r="40" spans="3:8" s="2" customFormat="1" x14ac:dyDescent="0.25">
      <c r="G40" s="4"/>
      <c r="H40" s="4"/>
    </row>
    <row r="41" spans="3:8" s="2" customFormat="1" x14ac:dyDescent="0.25">
      <c r="G41" s="101"/>
      <c r="H41" s="101"/>
    </row>
    <row r="42" spans="3:8" s="2" customFormat="1" x14ac:dyDescent="0.25">
      <c r="G42" s="101"/>
      <c r="H42" s="101"/>
    </row>
    <row r="43" spans="3:8" s="2" customFormat="1" ht="16.5" thickBot="1" x14ac:dyDescent="0.3">
      <c r="G43" s="103">
        <f>SUM(G36:G42)</f>
        <v>0</v>
      </c>
      <c r="H43" s="103">
        <f>SUM(H36:H42)</f>
        <v>0</v>
      </c>
    </row>
    <row r="44" spans="3:8" s="2" customFormat="1" ht="16.5" thickTop="1" x14ac:dyDescent="0.25">
      <c r="G44" s="101"/>
      <c r="H44" s="101"/>
    </row>
    <row r="45" spans="3:8" s="2" customFormat="1" x14ac:dyDescent="0.25">
      <c r="C45" s="1" t="s">
        <v>594</v>
      </c>
      <c r="D45" s="1"/>
      <c r="E45" s="1"/>
      <c r="F45" s="1"/>
      <c r="G45" s="7">
        <f>TrialBalance!D361+TrialBalance!L361-Debtors!G43</f>
        <v>0</v>
      </c>
      <c r="H45" s="7">
        <f>TrialBalance!E361+TrialBalance!N361-Debtors!H43</f>
        <v>0</v>
      </c>
    </row>
    <row r="46" spans="3:8" s="2" customFormat="1" x14ac:dyDescent="0.25">
      <c r="G46" s="101"/>
      <c r="H46" s="101"/>
    </row>
    <row r="47" spans="3:8" s="2" customFormat="1" x14ac:dyDescent="0.25">
      <c r="G47" s="101"/>
      <c r="H47" s="101"/>
    </row>
    <row r="48" spans="3:8" s="2" customFormat="1" x14ac:dyDescent="0.25">
      <c r="G48" s="101"/>
      <c r="H48" s="101"/>
    </row>
    <row r="49" spans="2:8" s="2" customFormat="1" x14ac:dyDescent="0.25">
      <c r="B49" s="89" t="s">
        <v>595</v>
      </c>
      <c r="C49" s="3" t="s">
        <v>596</v>
      </c>
      <c r="G49" s="25"/>
      <c r="H49" s="25"/>
    </row>
    <row r="50" spans="2:8" s="2" customFormat="1" x14ac:dyDescent="0.25">
      <c r="C50" s="6"/>
      <c r="D50" s="6"/>
      <c r="E50" s="6"/>
      <c r="F50" s="6"/>
      <c r="G50" s="100"/>
      <c r="H50" s="100"/>
    </row>
    <row r="51" spans="2:8" s="2" customFormat="1" x14ac:dyDescent="0.25">
      <c r="G51" s="5"/>
      <c r="H51" s="5"/>
    </row>
    <row r="52" spans="2:8" s="2" customFormat="1" x14ac:dyDescent="0.25">
      <c r="G52" s="5">
        <f>Criteria!E22</f>
        <v>2024</v>
      </c>
      <c r="H52" s="5">
        <f>Criteria!E27</f>
        <v>2023</v>
      </c>
    </row>
    <row r="53" spans="2:8" s="2" customFormat="1" x14ac:dyDescent="0.25">
      <c r="G53" s="101"/>
      <c r="H53" s="101"/>
    </row>
    <row r="54" spans="2:8" s="2" customFormat="1" x14ac:dyDescent="0.25">
      <c r="G54" s="4"/>
      <c r="H54" s="4"/>
    </row>
    <row r="55" spans="2:8" x14ac:dyDescent="0.25">
      <c r="G55" s="101"/>
      <c r="H55" s="101"/>
    </row>
    <row r="56" spans="2:8" x14ac:dyDescent="0.25">
      <c r="G56" s="4"/>
      <c r="H56" s="4"/>
    </row>
    <row r="57" spans="2:8" x14ac:dyDescent="0.25">
      <c r="G57" s="4"/>
      <c r="H57" s="4"/>
    </row>
    <row r="58" spans="2:8" x14ac:dyDescent="0.25">
      <c r="G58" s="101"/>
      <c r="H58" s="101"/>
    </row>
    <row r="59" spans="2:8" x14ac:dyDescent="0.25">
      <c r="G59" s="101"/>
      <c r="H59" s="101"/>
    </row>
    <row r="60" spans="2:8" ht="16.5" thickBot="1" x14ac:dyDescent="0.3">
      <c r="G60" s="103">
        <f>SUM(G53:G59)</f>
        <v>0</v>
      </c>
      <c r="H60" s="103">
        <f>SUM(H53:H59)</f>
        <v>0</v>
      </c>
    </row>
    <row r="61" spans="2:8" ht="16.5" thickTop="1" x14ac:dyDescent="0.25">
      <c r="G61" s="101"/>
      <c r="H61" s="101"/>
    </row>
    <row r="62" spans="2:8" x14ac:dyDescent="0.25">
      <c r="C62" s="1" t="s">
        <v>594</v>
      </c>
      <c r="D62" s="1"/>
      <c r="E62" s="1"/>
      <c r="F62" s="1"/>
      <c r="G62" s="7">
        <f>TrialBalance!L362-Debtors!G60</f>
        <v>0</v>
      </c>
      <c r="H62" s="7">
        <f>TrialBalance!N362-Debtors!H60</f>
        <v>0</v>
      </c>
    </row>
    <row r="66" spans="2:8" x14ac:dyDescent="0.25">
      <c r="B66" s="89" t="s">
        <v>597</v>
      </c>
      <c r="C66" s="3" t="s">
        <v>523</v>
      </c>
      <c r="G66" s="25"/>
      <c r="H66" s="25"/>
    </row>
    <row r="67" spans="2:8" x14ac:dyDescent="0.25">
      <c r="C67" s="6"/>
      <c r="D67" s="6"/>
      <c r="E67" s="6"/>
      <c r="F67" s="6"/>
      <c r="G67" s="100"/>
      <c r="H67" s="100"/>
    </row>
    <row r="69" spans="2:8" x14ac:dyDescent="0.25">
      <c r="G69" s="5">
        <f>Criteria!E22</f>
        <v>2024</v>
      </c>
      <c r="H69" s="5">
        <f>Criteria!E27</f>
        <v>2023</v>
      </c>
    </row>
    <row r="70" spans="2:8" x14ac:dyDescent="0.25">
      <c r="G70" s="101"/>
      <c r="H70" s="101"/>
    </row>
    <row r="71" spans="2:8" x14ac:dyDescent="0.25">
      <c r="C71" s="28"/>
      <c r="G71" s="4"/>
      <c r="H71" s="4"/>
    </row>
    <row r="72" spans="2:8" x14ac:dyDescent="0.25">
      <c r="G72" s="4"/>
      <c r="H72" s="4"/>
    </row>
    <row r="73" spans="2:8" x14ac:dyDescent="0.25">
      <c r="G73" s="101"/>
      <c r="H73" s="101"/>
    </row>
    <row r="74" spans="2:8" ht="16.5" thickBot="1" x14ac:dyDescent="0.3">
      <c r="G74" s="103">
        <f>SUM(G70:G73)</f>
        <v>0</v>
      </c>
      <c r="H74" s="103">
        <f>SUM(H70:H73)</f>
        <v>0</v>
      </c>
    </row>
    <row r="75" spans="2:8" ht="16.5" thickTop="1" x14ac:dyDescent="0.25">
      <c r="G75" s="101"/>
      <c r="H75" s="101"/>
    </row>
    <row r="76" spans="2:8" x14ac:dyDescent="0.25">
      <c r="C76" s="1" t="s">
        <v>594</v>
      </c>
      <c r="D76" s="1"/>
      <c r="E76" s="1"/>
      <c r="F76" s="1"/>
      <c r="G76" s="7">
        <f>TrialBalance!L363-Debtors!G74</f>
        <v>0</v>
      </c>
      <c r="H76" s="7">
        <f>TrialBalance!N363-Debtors!H74</f>
        <v>0</v>
      </c>
    </row>
    <row r="80" spans="2:8" x14ac:dyDescent="0.25">
      <c r="B80" s="89" t="s">
        <v>598</v>
      </c>
      <c r="C80" s="3" t="s">
        <v>535</v>
      </c>
      <c r="G80" s="25"/>
      <c r="H80" s="25"/>
    </row>
    <row r="81" spans="3:8" x14ac:dyDescent="0.25">
      <c r="C81" s="6"/>
      <c r="D81" s="6"/>
      <c r="E81" s="6"/>
      <c r="F81" s="6"/>
      <c r="G81" s="100"/>
      <c r="H81" s="100"/>
    </row>
    <row r="83" spans="3:8" x14ac:dyDescent="0.25">
      <c r="G83" s="5">
        <f>Criteria!E22</f>
        <v>2024</v>
      </c>
      <c r="H83" s="5">
        <f>Criteria!E27</f>
        <v>2023</v>
      </c>
    </row>
    <row r="84" spans="3:8" x14ac:dyDescent="0.25">
      <c r="G84" s="101"/>
      <c r="H84" s="101"/>
    </row>
    <row r="85" spans="3:8" x14ac:dyDescent="0.25">
      <c r="C85" s="28"/>
      <c r="G85" s="4"/>
      <c r="H85" s="4"/>
    </row>
    <row r="86" spans="3:8" x14ac:dyDescent="0.25">
      <c r="G86" s="4"/>
      <c r="H86" s="4"/>
    </row>
    <row r="87" spans="3:8" x14ac:dyDescent="0.25">
      <c r="C87" s="28"/>
      <c r="G87" s="4"/>
      <c r="H87" s="4"/>
    </row>
    <row r="88" spans="3:8" x14ac:dyDescent="0.25">
      <c r="C88" s="108"/>
      <c r="G88" s="4"/>
      <c r="H88" s="4"/>
    </row>
    <row r="89" spans="3:8" x14ac:dyDescent="0.25">
      <c r="G89" s="4"/>
      <c r="H89" s="4"/>
    </row>
    <row r="90" spans="3:8" x14ac:dyDescent="0.25">
      <c r="G90" s="101"/>
      <c r="H90" s="101"/>
    </row>
    <row r="91" spans="3:8" ht="16.5" thickBot="1" x14ac:dyDescent="0.3">
      <c r="G91" s="103">
        <f>SUM(G84:G90)</f>
        <v>0</v>
      </c>
      <c r="H91" s="103">
        <f>SUM(H84:H90)</f>
        <v>0</v>
      </c>
    </row>
    <row r="92" spans="3:8" ht="16.5" thickTop="1" x14ac:dyDescent="0.25">
      <c r="G92" s="101"/>
      <c r="H92" s="101"/>
    </row>
    <row r="93" spans="3:8" x14ac:dyDescent="0.25">
      <c r="C93" s="1" t="s">
        <v>594</v>
      </c>
      <c r="D93" s="1"/>
      <c r="E93" s="1"/>
      <c r="F93" s="1"/>
      <c r="G93" s="7">
        <f>G91-TrialBalance!L364</f>
        <v>0</v>
      </c>
      <c r="H93" s="7">
        <f>H91-TrialBalance!N364</f>
        <v>0</v>
      </c>
    </row>
    <row r="2602" spans="7:9" s="2" customFormat="1" x14ac:dyDescent="0.25">
      <c r="G2602" s="5"/>
      <c r="H2602" s="5"/>
      <c r="I2602" s="29"/>
    </row>
  </sheetData>
  <hyperlinks>
    <hyperlink ref="C4" location="TrialBalance!A1" display="DEBTORS" xr:uid="{F8E76A99-6AE1-4F45-95CA-275BE4FCB13C}"/>
  </hyperlinks>
  <pageMargins left="0.75" right="0.75" top="1" bottom="1" header="0.5" footer="0.5"/>
  <pageSetup paperSize="9" scale="76"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C9" sqref="C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2:8" ht="52.5" customHeight="1" x14ac:dyDescent="0.25">
      <c r="C2" s="106" t="str">
        <f>Criteria!E9</f>
        <v>HOLDING COMPANY 268 (PROPRIETARY) LIMITED</v>
      </c>
      <c r="D2" s="156"/>
      <c r="E2" s="156"/>
      <c r="G2" s="105" t="s">
        <v>81</v>
      </c>
      <c r="H2" s="105"/>
    </row>
    <row r="3" spans="2:8" x14ac:dyDescent="0.25">
      <c r="C3" s="3" t="s">
        <v>80</v>
      </c>
      <c r="D3" s="3"/>
      <c r="E3" s="3" t="str">
        <f>Criteria!E20</f>
        <v>29 FEBRUARY 2024</v>
      </c>
    </row>
    <row r="4" spans="2:8" ht="52.5" customHeight="1" x14ac:dyDescent="0.25">
      <c r="C4" s="139" t="s">
        <v>599</v>
      </c>
      <c r="G4" s="105" t="s">
        <v>82</v>
      </c>
      <c r="H4" s="105"/>
    </row>
    <row r="5" spans="2:8" ht="15.75" customHeight="1" x14ac:dyDescent="0.25">
      <c r="G5" s="25"/>
      <c r="H5" s="25"/>
    </row>
    <row r="6" spans="2:8" ht="15.75" customHeight="1" x14ac:dyDescent="0.25">
      <c r="G6" s="25"/>
      <c r="H6" s="25"/>
    </row>
    <row r="7" spans="2:8" x14ac:dyDescent="0.25">
      <c r="B7" s="89" t="s">
        <v>592</v>
      </c>
      <c r="C7" s="3" t="s">
        <v>536</v>
      </c>
      <c r="G7" s="25"/>
      <c r="H7" s="25"/>
    </row>
    <row r="8" spans="2:8" x14ac:dyDescent="0.25">
      <c r="C8" s="6"/>
      <c r="D8" s="6"/>
      <c r="E8" s="6"/>
      <c r="F8" s="6"/>
      <c r="G8" s="100"/>
      <c r="H8" s="100"/>
    </row>
    <row r="10" spans="2:8" x14ac:dyDescent="0.25">
      <c r="G10" s="5">
        <f>Criteria!E22</f>
        <v>2024</v>
      </c>
      <c r="H10" s="5">
        <f>Criteria!E27</f>
        <v>2023</v>
      </c>
    </row>
    <row r="11" spans="2:8" x14ac:dyDescent="0.25">
      <c r="G11" s="101"/>
      <c r="H11" s="101"/>
    </row>
    <row r="12" spans="2:8" x14ac:dyDescent="0.25">
      <c r="C12" s="28">
        <f>TrialBalance!C366</f>
        <v>0</v>
      </c>
      <c r="G12" s="101">
        <f>TrialBalance!L366</f>
        <v>0</v>
      </c>
      <c r="H12" s="101">
        <f>TrialBalance!N366</f>
        <v>0</v>
      </c>
    </row>
    <row r="13" spans="2:8" x14ac:dyDescent="0.25">
      <c r="C13" s="28">
        <f>TrialBalance!C367</f>
        <v>0</v>
      </c>
      <c r="G13" s="101">
        <f>TrialBalance!L367</f>
        <v>0</v>
      </c>
      <c r="H13" s="101">
        <f>TrialBalance!N367</f>
        <v>0</v>
      </c>
    </row>
    <row r="14" spans="2:8" x14ac:dyDescent="0.25">
      <c r="C14" s="28">
        <f>TrialBalance!C368</f>
        <v>0</v>
      </c>
      <c r="G14" s="101">
        <f>TrialBalance!L368</f>
        <v>0</v>
      </c>
      <c r="H14" s="101">
        <f>TrialBalance!N368</f>
        <v>0</v>
      </c>
    </row>
    <row r="15" spans="2:8" x14ac:dyDescent="0.25">
      <c r="C15" s="28">
        <f>TrialBalance!C369</f>
        <v>0</v>
      </c>
      <c r="G15" s="101">
        <f>TrialBalance!L369</f>
        <v>0</v>
      </c>
      <c r="H15" s="101">
        <f>TrialBalance!N369</f>
        <v>0</v>
      </c>
    </row>
    <row r="16" spans="2:8" x14ac:dyDescent="0.25">
      <c r="C16" s="28">
        <f>TrialBalance!C370</f>
        <v>0</v>
      </c>
      <c r="G16" s="101">
        <f>TrialBalance!L370</f>
        <v>0</v>
      </c>
      <c r="H16" s="101">
        <f>TrialBalance!N370</f>
        <v>0</v>
      </c>
    </row>
    <row r="17" spans="2:8" x14ac:dyDescent="0.25">
      <c r="C17" s="28">
        <f>TrialBalance!C371</f>
        <v>0</v>
      </c>
      <c r="G17" s="101">
        <f>TrialBalance!L371</f>
        <v>0</v>
      </c>
      <c r="H17" s="101">
        <f>TrialBalance!N371</f>
        <v>0</v>
      </c>
    </row>
    <row r="18" spans="2:8" s="2" customFormat="1" x14ac:dyDescent="0.25">
      <c r="G18" s="101"/>
      <c r="H18" s="101"/>
    </row>
    <row r="19" spans="2:8" s="2" customFormat="1" ht="16.5" thickBot="1" x14ac:dyDescent="0.3">
      <c r="G19" s="103">
        <f>SUM(G11:G18)</f>
        <v>0</v>
      </c>
      <c r="H19" s="103">
        <f>SUM(H11:H18)</f>
        <v>0</v>
      </c>
    </row>
    <row r="20" spans="2:8" s="2" customFormat="1" ht="16.5" thickTop="1" x14ac:dyDescent="0.25">
      <c r="G20" s="101"/>
      <c r="H20" s="101"/>
    </row>
    <row r="21" spans="2:8" s="2" customFormat="1" x14ac:dyDescent="0.25">
      <c r="C21" s="1" t="s">
        <v>594</v>
      </c>
      <c r="D21" s="1"/>
      <c r="E21" s="1"/>
      <c r="F21" s="1"/>
      <c r="G21" s="7">
        <f>SUM(TrialBalance!L366:L371)-G19</f>
        <v>0</v>
      </c>
      <c r="H21" s="7">
        <f>SUM(TrialBalance!N366:N371)-H19</f>
        <v>0</v>
      </c>
    </row>
    <row r="22" spans="2:8" s="2" customFormat="1" x14ac:dyDescent="0.25">
      <c r="G22" s="101"/>
      <c r="H22" s="101"/>
    </row>
    <row r="23" spans="2:8" s="2" customFormat="1" x14ac:dyDescent="0.25">
      <c r="G23" s="101"/>
      <c r="H23" s="101"/>
    </row>
    <row r="24" spans="2:8" s="2" customFormat="1" x14ac:dyDescent="0.25">
      <c r="G24" s="101"/>
      <c r="H24" s="101"/>
    </row>
    <row r="25" spans="2:8" s="2" customFormat="1" x14ac:dyDescent="0.25">
      <c r="B25" s="89" t="s">
        <v>593</v>
      </c>
      <c r="C25" s="3" t="s">
        <v>542</v>
      </c>
      <c r="G25" s="25"/>
      <c r="H25" s="25"/>
    </row>
    <row r="26" spans="2:8" s="2" customFormat="1" x14ac:dyDescent="0.25">
      <c r="C26" s="6"/>
      <c r="D26" s="6"/>
      <c r="E26" s="6"/>
      <c r="F26" s="6"/>
      <c r="G26" s="100"/>
      <c r="H26" s="100"/>
    </row>
    <row r="27" spans="2:8" s="2" customFormat="1" x14ac:dyDescent="0.25">
      <c r="G27" s="5"/>
      <c r="H27" s="5"/>
    </row>
    <row r="28" spans="2:8" s="2" customFormat="1" x14ac:dyDescent="0.25">
      <c r="G28" s="5">
        <f>Criteria!E22</f>
        <v>2024</v>
      </c>
      <c r="H28" s="5">
        <f>Criteria!E27</f>
        <v>2023</v>
      </c>
    </row>
    <row r="29" spans="2:8" s="2" customFormat="1" x14ac:dyDescent="0.25">
      <c r="G29" s="101"/>
      <c r="H29" s="101"/>
    </row>
    <row r="30" spans="2:8" s="2" customFormat="1" x14ac:dyDescent="0.25">
      <c r="C30" s="28"/>
      <c r="G30" s="4"/>
      <c r="H30" s="4"/>
    </row>
    <row r="31" spans="2:8" s="2" customFormat="1" x14ac:dyDescent="0.25">
      <c r="C31" s="28"/>
      <c r="G31" s="101"/>
      <c r="H31" s="101"/>
    </row>
    <row r="32" spans="2:8" s="2" customFormat="1" x14ac:dyDescent="0.25">
      <c r="C32" s="28"/>
      <c r="G32" s="101"/>
      <c r="H32" s="101"/>
    </row>
    <row r="33" spans="3:8" s="2" customFormat="1" x14ac:dyDescent="0.25">
      <c r="C33" s="28"/>
      <c r="G33" s="101"/>
      <c r="H33" s="101"/>
    </row>
    <row r="34" spans="3:8" s="2" customFormat="1" x14ac:dyDescent="0.25">
      <c r="C34" s="28"/>
      <c r="G34" s="101"/>
      <c r="H34" s="101"/>
    </row>
    <row r="35" spans="3:8" s="2" customFormat="1" x14ac:dyDescent="0.25">
      <c r="C35" s="28"/>
      <c r="G35" s="101"/>
      <c r="H35" s="101"/>
    </row>
    <row r="36" spans="3:8" s="2" customFormat="1" x14ac:dyDescent="0.25">
      <c r="G36" s="101"/>
      <c r="H36" s="101"/>
    </row>
    <row r="37" spans="3:8" s="2" customFormat="1" ht="16.5" thickBot="1" x14ac:dyDescent="0.3">
      <c r="G37" s="103">
        <f>SUM(G29:G36)</f>
        <v>0</v>
      </c>
      <c r="H37" s="103">
        <f>SUM(H29:H36)</f>
        <v>0</v>
      </c>
    </row>
    <row r="38" spans="3:8" s="2" customFormat="1" ht="16.5" thickTop="1" x14ac:dyDescent="0.25">
      <c r="G38" s="101"/>
      <c r="H38" s="101"/>
    </row>
    <row r="39" spans="3:8" s="2" customFormat="1" x14ac:dyDescent="0.25">
      <c r="C39" s="1" t="s">
        <v>594</v>
      </c>
      <c r="D39" s="1"/>
      <c r="E39" s="1"/>
      <c r="F39" s="1"/>
      <c r="G39" s="7">
        <f>G37-TrialBalance!L372</f>
        <v>0</v>
      </c>
      <c r="H39" s="7">
        <f>H37-TrialBalance!N372</f>
        <v>0</v>
      </c>
    </row>
    <row r="40" spans="3:8" s="2" customFormat="1" x14ac:dyDescent="0.25">
      <c r="G40" s="5"/>
      <c r="H40" s="5"/>
    </row>
    <row r="41" spans="3:8" s="2" customFormat="1" x14ac:dyDescent="0.25">
      <c r="G41" s="101"/>
      <c r="H41" s="101"/>
    </row>
    <row r="42" spans="3:8" s="2" customFormat="1" x14ac:dyDescent="0.25">
      <c r="G42" s="101"/>
      <c r="H42" s="101"/>
    </row>
    <row r="2540" spans="7:9" s="2" customFormat="1" x14ac:dyDescent="0.25">
      <c r="G2540" s="5"/>
      <c r="H2540" s="5"/>
      <c r="I2540" s="29"/>
    </row>
  </sheetData>
  <hyperlinks>
    <hyperlink ref="C4" location="TrialBalance!A1" display="BANK AND CASH" xr:uid="{35ACDB94-2A26-4C55-9F40-0F8BF1355106}"/>
  </hyperlinks>
  <pageMargins left="0.75" right="0.75" top="1" bottom="1" header="0.5" footer="0.5"/>
  <pageSetup paperSize="9" scale="74"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600"/>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07"/>
  </cols>
  <sheetData>
    <row r="2" spans="2:8" ht="52.5" customHeight="1" x14ac:dyDescent="0.25">
      <c r="C2" s="106" t="str">
        <f>Criteria!E9</f>
        <v>HOLDING COMPANY 268 (PROPRIETARY) LIMITED</v>
      </c>
      <c r="D2" s="156"/>
      <c r="E2" s="156"/>
      <c r="G2" s="105" t="s">
        <v>81</v>
      </c>
      <c r="H2" s="105"/>
    </row>
    <row r="3" spans="2:8" x14ac:dyDescent="0.25">
      <c r="C3" s="3" t="s">
        <v>80</v>
      </c>
      <c r="D3" s="3"/>
      <c r="E3" s="3" t="str">
        <f>Criteria!E20</f>
        <v>29 FEBRUARY 2024</v>
      </c>
    </row>
    <row r="4" spans="2:8" ht="52.5" customHeight="1" x14ac:dyDescent="0.25">
      <c r="C4" s="137" t="s">
        <v>434</v>
      </c>
      <c r="G4" s="105" t="s">
        <v>82</v>
      </c>
      <c r="H4" s="105"/>
    </row>
    <row r="5" spans="2:8" ht="15.75" customHeight="1" x14ac:dyDescent="0.25">
      <c r="G5" s="25"/>
      <c r="H5" s="25"/>
    </row>
    <row r="6" spans="2:8" ht="15.75" customHeight="1" x14ac:dyDescent="0.25">
      <c r="G6" s="25"/>
      <c r="H6" s="25"/>
    </row>
    <row r="7" spans="2:8" x14ac:dyDescent="0.25">
      <c r="B7" s="89" t="s">
        <v>592</v>
      </c>
      <c r="C7" s="3" t="s">
        <v>600</v>
      </c>
      <c r="G7" s="25"/>
      <c r="H7" s="25"/>
    </row>
    <row r="8" spans="2:8" x14ac:dyDescent="0.25">
      <c r="C8" s="6"/>
      <c r="D8" s="6"/>
      <c r="E8" s="6"/>
      <c r="F8" s="6"/>
      <c r="G8" s="100"/>
      <c r="H8" s="100"/>
    </row>
    <row r="10" spans="2:8" x14ac:dyDescent="0.25">
      <c r="G10" s="5">
        <f>Criteria!E22</f>
        <v>2024</v>
      </c>
      <c r="H10" s="5">
        <f>Criteria!E27</f>
        <v>2023</v>
      </c>
    </row>
    <row r="11" spans="2:8" x14ac:dyDescent="0.25">
      <c r="G11" s="101"/>
      <c r="H11" s="101"/>
    </row>
    <row r="12" spans="2:8" x14ac:dyDescent="0.25">
      <c r="C12" s="28"/>
      <c r="G12" s="101"/>
      <c r="H12" s="101"/>
    </row>
    <row r="13" spans="2:8" s="2" customFormat="1" x14ac:dyDescent="0.25">
      <c r="G13" s="101"/>
      <c r="H13" s="101"/>
    </row>
    <row r="14" spans="2:8" s="2" customFormat="1" x14ac:dyDescent="0.25">
      <c r="G14" s="101"/>
      <c r="H14" s="101"/>
    </row>
    <row r="15" spans="2:8" s="2" customFormat="1" x14ac:dyDescent="0.25">
      <c r="G15" s="101"/>
      <c r="H15" s="101"/>
    </row>
    <row r="16" spans="2:8" s="2" customFormat="1" x14ac:dyDescent="0.25">
      <c r="G16" s="101"/>
      <c r="H16" s="101"/>
    </row>
    <row r="17" spans="2:8" s="2" customFormat="1" x14ac:dyDescent="0.25">
      <c r="G17" s="101"/>
      <c r="H17" s="101"/>
    </row>
    <row r="18" spans="2:8" s="2" customFormat="1" ht="16.5" thickBot="1" x14ac:dyDescent="0.3">
      <c r="G18" s="103">
        <f>SUM(G11:G17)</f>
        <v>0</v>
      </c>
      <c r="H18" s="103">
        <f>SUM(H11:H17)</f>
        <v>0</v>
      </c>
    </row>
    <row r="19" spans="2:8" s="2" customFormat="1" ht="16.5" thickTop="1" x14ac:dyDescent="0.25">
      <c r="G19" s="101"/>
      <c r="H19" s="101"/>
    </row>
    <row r="20" spans="2:8" s="2" customFormat="1" x14ac:dyDescent="0.25">
      <c r="C20" s="1" t="s">
        <v>594</v>
      </c>
      <c r="D20" s="1"/>
      <c r="E20" s="1"/>
      <c r="F20" s="1"/>
      <c r="G20" s="7">
        <f>G18+TrialBalance!L379</f>
        <v>0</v>
      </c>
      <c r="H20" s="7">
        <f>H18+TrialBalance!N379</f>
        <v>0</v>
      </c>
    </row>
    <row r="21" spans="2:8" s="2" customFormat="1" x14ac:dyDescent="0.25">
      <c r="G21" s="101"/>
      <c r="H21" s="101"/>
    </row>
    <row r="22" spans="2:8" s="2" customFormat="1" x14ac:dyDescent="0.25">
      <c r="G22" s="101"/>
      <c r="H22" s="101"/>
    </row>
    <row r="23" spans="2:8" s="2" customFormat="1" x14ac:dyDescent="0.25">
      <c r="G23" s="101"/>
      <c r="H23" s="101"/>
    </row>
    <row r="24" spans="2:8" s="2" customFormat="1" x14ac:dyDescent="0.25">
      <c r="B24" s="89" t="s">
        <v>593</v>
      </c>
      <c r="C24" s="3" t="s">
        <v>581</v>
      </c>
      <c r="G24" s="25"/>
      <c r="H24" s="25"/>
    </row>
    <row r="25" spans="2:8" s="2" customFormat="1" x14ac:dyDescent="0.25">
      <c r="C25" s="6"/>
      <c r="D25" s="6"/>
      <c r="E25" s="6"/>
      <c r="F25" s="6"/>
      <c r="G25" s="100"/>
      <c r="H25" s="100"/>
    </row>
    <row r="26" spans="2:8" s="2" customFormat="1" x14ac:dyDescent="0.25">
      <c r="G26" s="5"/>
      <c r="H26" s="5"/>
    </row>
    <row r="27" spans="2:8" s="2" customFormat="1" x14ac:dyDescent="0.25">
      <c r="G27" s="5">
        <f>Criteria!E22</f>
        <v>2024</v>
      </c>
      <c r="H27" s="5">
        <f>Criteria!E27</f>
        <v>2023</v>
      </c>
    </row>
    <row r="28" spans="2:8" s="2" customFormat="1" x14ac:dyDescent="0.25">
      <c r="G28" s="101"/>
      <c r="H28" s="101"/>
    </row>
    <row r="29" spans="2:8" s="2" customFormat="1" x14ac:dyDescent="0.25">
      <c r="G29" s="4"/>
      <c r="H29" s="4"/>
    </row>
    <row r="30" spans="2:8" s="2" customFormat="1" x14ac:dyDescent="0.25">
      <c r="G30" s="4"/>
      <c r="H30" s="101"/>
    </row>
    <row r="31" spans="2:8" s="2" customFormat="1" x14ac:dyDescent="0.25">
      <c r="G31" s="4"/>
      <c r="H31" s="4"/>
    </row>
    <row r="32" spans="2:8" s="2" customFormat="1" x14ac:dyDescent="0.25">
      <c r="G32" s="4"/>
      <c r="H32" s="4"/>
    </row>
    <row r="33" spans="2:8" s="2" customFormat="1" x14ac:dyDescent="0.25">
      <c r="G33" s="101"/>
      <c r="H33" s="101"/>
    </row>
    <row r="34" spans="2:8" s="2" customFormat="1" x14ac:dyDescent="0.25">
      <c r="G34" s="101"/>
      <c r="H34" s="101"/>
    </row>
    <row r="35" spans="2:8" s="2" customFormat="1" ht="16.5" thickBot="1" x14ac:dyDescent="0.3">
      <c r="G35" s="103">
        <f>SUM(G28:G34)</f>
        <v>0</v>
      </c>
      <c r="H35" s="103">
        <f>SUM(H28:H34)</f>
        <v>0</v>
      </c>
    </row>
    <row r="36" spans="2:8" s="2" customFormat="1" ht="16.5" thickTop="1" x14ac:dyDescent="0.25">
      <c r="G36" s="101"/>
      <c r="H36" s="101"/>
    </row>
    <row r="37" spans="2:8" s="2" customFormat="1" x14ac:dyDescent="0.25">
      <c r="C37" s="1" t="s">
        <v>594</v>
      </c>
      <c r="D37" s="1"/>
      <c r="E37" s="1"/>
      <c r="F37" s="1"/>
      <c r="G37" s="7">
        <f>G35+TrialBalance!L380</f>
        <v>0</v>
      </c>
      <c r="H37" s="7">
        <f>H35+TrialBalance!N380</f>
        <v>0</v>
      </c>
    </row>
    <row r="38" spans="2:8" s="2" customFormat="1" x14ac:dyDescent="0.25">
      <c r="G38" s="101"/>
      <c r="H38" s="101"/>
    </row>
    <row r="39" spans="2:8" s="2" customFormat="1" x14ac:dyDescent="0.25">
      <c r="G39" s="101"/>
      <c r="H39" s="101"/>
    </row>
    <row r="40" spans="2:8" s="2" customFormat="1" x14ac:dyDescent="0.25">
      <c r="G40" s="101"/>
      <c r="H40" s="101"/>
    </row>
    <row r="41" spans="2:8" s="2" customFormat="1" x14ac:dyDescent="0.25">
      <c r="B41" s="89" t="s">
        <v>595</v>
      </c>
      <c r="C41" s="3" t="s">
        <v>833</v>
      </c>
      <c r="G41" s="25"/>
      <c r="H41" s="25"/>
    </row>
    <row r="42" spans="2:8" s="2" customFormat="1" x14ac:dyDescent="0.25">
      <c r="C42" s="6"/>
      <c r="D42" s="6"/>
      <c r="E42" s="6"/>
      <c r="F42" s="6"/>
      <c r="G42" s="100"/>
      <c r="H42" s="100"/>
    </row>
    <row r="43" spans="2:8" s="2" customFormat="1" x14ac:dyDescent="0.25">
      <c r="G43" s="5"/>
      <c r="H43" s="5"/>
    </row>
    <row r="44" spans="2:8" s="2" customFormat="1" x14ac:dyDescent="0.25">
      <c r="G44" s="5">
        <f>Criteria!E22</f>
        <v>2024</v>
      </c>
      <c r="H44" s="5">
        <f>Criteria!E27</f>
        <v>2023</v>
      </c>
    </row>
    <row r="45" spans="2:8" s="2" customFormat="1" x14ac:dyDescent="0.25">
      <c r="G45" s="101"/>
      <c r="H45" s="101"/>
    </row>
    <row r="46" spans="2:8" s="2" customFormat="1" x14ac:dyDescent="0.25">
      <c r="G46" s="4"/>
      <c r="H46" s="4"/>
    </row>
    <row r="47" spans="2:8" x14ac:dyDescent="0.25">
      <c r="G47" s="101"/>
      <c r="H47" s="101"/>
    </row>
    <row r="48" spans="2:8" x14ac:dyDescent="0.25">
      <c r="G48" s="4"/>
      <c r="H48" s="4"/>
    </row>
    <row r="49" spans="2:10" x14ac:dyDescent="0.25">
      <c r="G49" s="4"/>
      <c r="H49" s="4"/>
    </row>
    <row r="50" spans="2:10" x14ac:dyDescent="0.25">
      <c r="G50" s="101"/>
      <c r="H50" s="101"/>
    </row>
    <row r="51" spans="2:10" x14ac:dyDescent="0.25">
      <c r="G51" s="101"/>
      <c r="H51" s="101"/>
    </row>
    <row r="52" spans="2:10" ht="16.5" thickBot="1" x14ac:dyDescent="0.3">
      <c r="G52" s="103">
        <f>SUM(G45:G51)</f>
        <v>0</v>
      </c>
      <c r="H52" s="103">
        <f>SUM(H45:H51)</f>
        <v>0</v>
      </c>
    </row>
    <row r="53" spans="2:10" ht="16.5" thickTop="1" x14ac:dyDescent="0.25">
      <c r="G53" s="101"/>
      <c r="H53" s="101"/>
    </row>
    <row r="54" spans="2:10" x14ac:dyDescent="0.25">
      <c r="C54" s="1" t="s">
        <v>594</v>
      </c>
      <c r="D54" s="1"/>
      <c r="E54" s="1"/>
      <c r="F54" s="1"/>
      <c r="G54" s="7">
        <f>G52+TrialBalance!L381</f>
        <v>0</v>
      </c>
      <c r="H54" s="7">
        <f>H52+TrialBalance!N381</f>
        <v>0</v>
      </c>
    </row>
    <row r="58" spans="2:10" x14ac:dyDescent="0.25">
      <c r="B58" s="89" t="s">
        <v>597</v>
      </c>
      <c r="C58" s="3" t="s">
        <v>582</v>
      </c>
      <c r="G58" s="25"/>
      <c r="H58" s="25"/>
    </row>
    <row r="59" spans="2:10" x14ac:dyDescent="0.25">
      <c r="C59" s="6"/>
      <c r="D59" s="6"/>
      <c r="E59" s="6"/>
      <c r="F59" s="6"/>
      <c r="G59" s="100"/>
      <c r="H59" s="100"/>
    </row>
    <row r="61" spans="2:10" x14ac:dyDescent="0.25">
      <c r="G61" s="5">
        <f>Criteria!E22</f>
        <v>2024</v>
      </c>
      <c r="H61" s="5">
        <f>Criteria!E27</f>
        <v>2023</v>
      </c>
    </row>
    <row r="63" spans="2:10" x14ac:dyDescent="0.25">
      <c r="G63" s="4"/>
      <c r="H63" s="4"/>
      <c r="I63" s="4"/>
    </row>
    <row r="64" spans="2:10" x14ac:dyDescent="0.25">
      <c r="G64" s="4"/>
      <c r="H64" s="4"/>
      <c r="I64" s="4"/>
      <c r="J64" s="14"/>
    </row>
    <row r="65" spans="2:9" x14ac:dyDescent="0.25">
      <c r="G65" s="4"/>
      <c r="H65" s="4"/>
      <c r="I65" s="4"/>
    </row>
    <row r="66" spans="2:9" x14ac:dyDescent="0.25">
      <c r="G66" s="4"/>
      <c r="H66" s="4"/>
      <c r="I66" s="4"/>
    </row>
    <row r="67" spans="2:9" x14ac:dyDescent="0.25">
      <c r="G67" s="4"/>
      <c r="H67" s="4"/>
      <c r="I67" s="4"/>
    </row>
    <row r="68" spans="2:9" x14ac:dyDescent="0.25">
      <c r="G68" s="4"/>
      <c r="H68" s="4"/>
      <c r="I68" s="4"/>
    </row>
    <row r="69" spans="2:9" x14ac:dyDescent="0.25">
      <c r="G69" s="4"/>
      <c r="H69" s="4"/>
      <c r="I69" s="4"/>
    </row>
    <row r="70" spans="2:9" x14ac:dyDescent="0.25">
      <c r="G70" s="4"/>
      <c r="H70" s="4"/>
      <c r="I70" s="4"/>
    </row>
    <row r="71" spans="2:9" x14ac:dyDescent="0.25">
      <c r="G71" s="4"/>
      <c r="H71" s="4"/>
      <c r="I71" s="4"/>
    </row>
    <row r="72" spans="2:9" ht="16.5" thickBot="1" x14ac:dyDescent="0.3">
      <c r="G72" s="103">
        <f>SUM(G62:G71)</f>
        <v>0</v>
      </c>
      <c r="H72" s="103">
        <f>SUM(H62:H71)</f>
        <v>0</v>
      </c>
    </row>
    <row r="73" spans="2:9" ht="16.5" thickTop="1" x14ac:dyDescent="0.25">
      <c r="G73" s="101"/>
      <c r="H73" s="101"/>
    </row>
    <row r="74" spans="2:9" x14ac:dyDescent="0.25">
      <c r="C74" s="1" t="s">
        <v>594</v>
      </c>
      <c r="D74" s="1"/>
      <c r="E74" s="1"/>
      <c r="F74" s="1"/>
      <c r="G74" s="7">
        <f>G72+TrialBalance!L382</f>
        <v>0</v>
      </c>
      <c r="H74" s="7">
        <f>H72+TrialBalance!N382</f>
        <v>0</v>
      </c>
    </row>
    <row r="78" spans="2:9" x14ac:dyDescent="0.25">
      <c r="B78" s="89" t="s">
        <v>598</v>
      </c>
      <c r="C78" s="3" t="s">
        <v>583</v>
      </c>
      <c r="G78" s="25"/>
      <c r="H78" s="25"/>
    </row>
    <row r="79" spans="2:9" x14ac:dyDescent="0.25">
      <c r="C79" s="6"/>
      <c r="D79" s="6"/>
      <c r="E79" s="6"/>
      <c r="F79" s="6"/>
      <c r="G79" s="100"/>
      <c r="H79" s="100"/>
    </row>
    <row r="81" spans="3:8" x14ac:dyDescent="0.25">
      <c r="G81" s="5">
        <f>Criteria!E22</f>
        <v>2024</v>
      </c>
      <c r="H81" s="5">
        <f>Criteria!E27</f>
        <v>2023</v>
      </c>
    </row>
    <row r="82" spans="3:8" x14ac:dyDescent="0.25">
      <c r="G82" s="101"/>
      <c r="H82" s="101"/>
    </row>
    <row r="83" spans="3:8" x14ac:dyDescent="0.25">
      <c r="C83" s="28"/>
      <c r="G83" s="4"/>
      <c r="H83" s="4"/>
    </row>
    <row r="84" spans="3:8" x14ac:dyDescent="0.25">
      <c r="G84" s="4"/>
      <c r="H84" s="4"/>
    </row>
    <row r="85" spans="3:8" x14ac:dyDescent="0.25">
      <c r="C85" s="28"/>
      <c r="G85" s="4"/>
      <c r="H85" s="4"/>
    </row>
    <row r="86" spans="3:8" x14ac:dyDescent="0.25">
      <c r="C86" s="108"/>
      <c r="G86" s="4"/>
      <c r="H86" s="4"/>
    </row>
    <row r="87" spans="3:8" x14ac:dyDescent="0.25">
      <c r="G87" s="4"/>
      <c r="H87" s="4"/>
    </row>
    <row r="88" spans="3:8" x14ac:dyDescent="0.25">
      <c r="G88" s="101"/>
      <c r="H88" s="101"/>
    </row>
    <row r="89" spans="3:8" ht="16.5" thickBot="1" x14ac:dyDescent="0.3">
      <c r="G89" s="103">
        <f>SUM(G82:G88)</f>
        <v>0</v>
      </c>
      <c r="H89" s="103">
        <f>SUM(H82:H88)</f>
        <v>0</v>
      </c>
    </row>
    <row r="90" spans="3:8" ht="16.5" thickTop="1" x14ac:dyDescent="0.25">
      <c r="G90" s="101"/>
      <c r="H90" s="101"/>
    </row>
    <row r="91" spans="3:8" x14ac:dyDescent="0.25">
      <c r="C91" s="1" t="s">
        <v>594</v>
      </c>
      <c r="D91" s="1"/>
      <c r="E91" s="1"/>
      <c r="F91" s="1"/>
      <c r="G91" s="7">
        <f>G89+TrialBalance!L383</f>
        <v>0</v>
      </c>
      <c r="H91" s="7">
        <f>H89+TrialBalance!N383</f>
        <v>0</v>
      </c>
    </row>
    <row r="2600" spans="7:9" s="2" customFormat="1" x14ac:dyDescent="0.25">
      <c r="G2600" s="5"/>
      <c r="H2600" s="5"/>
      <c r="I2600" s="29"/>
    </row>
  </sheetData>
  <hyperlinks>
    <hyperlink ref="C4" location="TrialBalance!A1" display="CREDITORS" xr:uid="{25059F72-F2E2-4E52-8BE9-6558C5509CD9}"/>
  </hyperlinks>
  <pageMargins left="0.75" right="0.75" top="1" bottom="1" header="0.5" footer="0.5"/>
  <pageSetup paperSize="9" scale="74"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A3D4-76EF-474F-B588-887BE57D807E}">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12" sqref="C1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81</v>
      </c>
      <c r="H2" s="105"/>
    </row>
    <row r="3" spans="3:8" x14ac:dyDescent="0.25">
      <c r="C3" s="3" t="s">
        <v>80</v>
      </c>
      <c r="D3" s="3"/>
      <c r="E3" s="3" t="str">
        <f>Criteria!E20</f>
        <v>29 FEBRUARY 2024</v>
      </c>
    </row>
    <row r="4" spans="3:8" ht="52.5" customHeight="1" x14ac:dyDescent="0.25">
      <c r="C4" s="137" t="s">
        <v>693</v>
      </c>
      <c r="G4" s="105" t="s">
        <v>82</v>
      </c>
      <c r="H4" s="105"/>
    </row>
    <row r="5" spans="3:8" ht="15.75" customHeight="1" x14ac:dyDescent="0.25">
      <c r="G5" s="25"/>
      <c r="H5" s="25"/>
    </row>
    <row r="6" spans="3:8" x14ac:dyDescent="0.25">
      <c r="G6" s="5">
        <f>Criteria!E22</f>
        <v>2024</v>
      </c>
      <c r="H6" s="5">
        <f>Criteria!E27</f>
        <v>2023</v>
      </c>
    </row>
    <row r="7" spans="3:8" x14ac:dyDescent="0.25">
      <c r="G7" s="101"/>
      <c r="H7" s="101"/>
    </row>
    <row r="8" spans="3:8" x14ac:dyDescent="0.25">
      <c r="C8" s="17" t="s">
        <v>694</v>
      </c>
      <c r="G8" s="101"/>
      <c r="H8" s="101"/>
    </row>
    <row r="9" spans="3:8" x14ac:dyDescent="0.25">
      <c r="G9" s="101"/>
      <c r="H9" s="101"/>
    </row>
    <row r="10" spans="3:8" x14ac:dyDescent="0.25">
      <c r="G10" s="101"/>
      <c r="H10" s="101"/>
    </row>
    <row r="11" spans="3:8" x14ac:dyDescent="0.25">
      <c r="G11" s="101"/>
      <c r="H11" s="101"/>
    </row>
    <row r="12" spans="3:8" x14ac:dyDescent="0.25">
      <c r="G12" s="101"/>
      <c r="H12" s="101"/>
    </row>
    <row r="13" spans="3:8" x14ac:dyDescent="0.25">
      <c r="G13" s="101"/>
      <c r="H13" s="101"/>
    </row>
    <row r="14" spans="3:8" x14ac:dyDescent="0.25">
      <c r="G14" s="101"/>
      <c r="H14" s="101"/>
    </row>
    <row r="15" spans="3:8" x14ac:dyDescent="0.25">
      <c r="G15" s="101"/>
      <c r="H15" s="101"/>
    </row>
    <row r="16" spans="3:8" s="2" customFormat="1" x14ac:dyDescent="0.25">
      <c r="G16" s="101"/>
      <c r="H16" s="101"/>
    </row>
    <row r="17" spans="3:8" s="2" customFormat="1" ht="16.5" thickBot="1" x14ac:dyDescent="0.3">
      <c r="G17" s="103">
        <f>SUM(G7:G16)</f>
        <v>0</v>
      </c>
      <c r="H17" s="103">
        <f>SUM(H7:H16)</f>
        <v>0</v>
      </c>
    </row>
    <row r="18" spans="3:8" s="2" customFormat="1" ht="16.5" thickTop="1" x14ac:dyDescent="0.25">
      <c r="G18" s="101"/>
      <c r="H18" s="101"/>
    </row>
    <row r="19" spans="3:8" x14ac:dyDescent="0.25">
      <c r="C19" s="1" t="s">
        <v>594</v>
      </c>
      <c r="G19" s="101">
        <f>(TrialBalance!L40+TrialBalanceA!I40+TrialBalanceB!I40+TrialBalanceC!I40)-G17</f>
        <v>0</v>
      </c>
      <c r="H19" s="101">
        <f>(TrialBalance!N40+TrialBalanceA!K40+TrialBalanceB!K40+TrialBalanceC!K40)-H17</f>
        <v>0</v>
      </c>
    </row>
    <row r="22" spans="3:8" x14ac:dyDescent="0.25">
      <c r="C22" s="17" t="s">
        <v>695</v>
      </c>
      <c r="G22" s="101"/>
      <c r="H22" s="101"/>
    </row>
    <row r="23" spans="3:8" x14ac:dyDescent="0.25">
      <c r="G23" s="101"/>
      <c r="H23" s="101"/>
    </row>
    <row r="24" spans="3:8" x14ac:dyDescent="0.25">
      <c r="G24" s="101"/>
      <c r="H24" s="101"/>
    </row>
    <row r="25" spans="3:8" x14ac:dyDescent="0.25">
      <c r="G25" s="101"/>
      <c r="H25" s="101"/>
    </row>
    <row r="26" spans="3:8" x14ac:dyDescent="0.25">
      <c r="G26" s="101"/>
      <c r="H26" s="101"/>
    </row>
    <row r="27" spans="3:8" x14ac:dyDescent="0.25">
      <c r="G27" s="101"/>
      <c r="H27" s="101"/>
    </row>
    <row r="28" spans="3:8" x14ac:dyDescent="0.25">
      <c r="G28" s="101"/>
      <c r="H28" s="101"/>
    </row>
    <row r="29" spans="3:8" x14ac:dyDescent="0.25">
      <c r="G29" s="101"/>
      <c r="H29" s="101"/>
    </row>
    <row r="30" spans="3:8" x14ac:dyDescent="0.25">
      <c r="G30" s="101"/>
      <c r="H30" s="101"/>
    </row>
    <row r="31" spans="3:8" ht="16.5" thickBot="1" x14ac:dyDescent="0.3">
      <c r="G31" s="103">
        <f>SUM(G23:G30)</f>
        <v>0</v>
      </c>
      <c r="H31" s="103">
        <f>SUM(H23:H30)</f>
        <v>0</v>
      </c>
    </row>
    <row r="32" spans="3:8" ht="16.5" thickTop="1" x14ac:dyDescent="0.25">
      <c r="G32" s="101"/>
      <c r="H32" s="101"/>
    </row>
    <row r="33" spans="3:8" x14ac:dyDescent="0.25">
      <c r="C33" s="1" t="s">
        <v>594</v>
      </c>
      <c r="G33" s="101">
        <f>(TrialBalance!L50+TrialBalanceA!I50+TrialBalanceB!I50+TrialBalanceC!I50)-G31</f>
        <v>0</v>
      </c>
      <c r="H33" s="101">
        <f>(TrialBalance!N50+TrialBalanceA!K50+TrialBalanceB!K50+TrialBalanceC!K50)-H31</f>
        <v>0</v>
      </c>
    </row>
    <row r="2483" spans="7:9" s="2" customFormat="1" x14ac:dyDescent="0.25">
      <c r="G2483" s="5"/>
      <c r="H2483" s="5"/>
      <c r="I2483" s="29"/>
    </row>
  </sheetData>
  <hyperlinks>
    <hyperlink ref="C4" location="TrialBalance!A1" display="EXPENSES" xr:uid="{1A26ACC8-1272-457D-AD6A-4918B8752794}"/>
  </hyperlinks>
  <pageMargins left="0.75" right="0.75" top="1" bottom="1" header="0.5" footer="0.5"/>
  <pageSetup paperSize="9"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E2" sqref="E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81</v>
      </c>
      <c r="H2" s="105"/>
    </row>
    <row r="3" spans="3:8" x14ac:dyDescent="0.25">
      <c r="C3" s="3" t="s">
        <v>80</v>
      </c>
      <c r="D3" s="3"/>
      <c r="E3" s="3" t="str">
        <f>Criteria!E20</f>
        <v>29 FEBRUARY 2024</v>
      </c>
    </row>
    <row r="4" spans="3:8" ht="52.5" customHeight="1" x14ac:dyDescent="0.25">
      <c r="C4" s="104"/>
      <c r="G4" s="105" t="s">
        <v>82</v>
      </c>
      <c r="H4" s="105"/>
    </row>
    <row r="5" spans="3:8" ht="15.75" customHeight="1" x14ac:dyDescent="0.25">
      <c r="G5" s="25"/>
      <c r="H5" s="25"/>
    </row>
    <row r="6" spans="3:8" x14ac:dyDescent="0.25">
      <c r="G6" s="5">
        <f>Criteria!E22</f>
        <v>2024</v>
      </c>
      <c r="H6" s="5">
        <f>Criteria!E27</f>
        <v>2023</v>
      </c>
    </row>
    <row r="7" spans="3:8" x14ac:dyDescent="0.25">
      <c r="G7" s="101"/>
      <c r="H7" s="101"/>
    </row>
    <row r="8" spans="3:8" x14ac:dyDescent="0.25">
      <c r="G8" s="101"/>
      <c r="H8" s="101"/>
    </row>
    <row r="9" spans="3:8" x14ac:dyDescent="0.25">
      <c r="G9" s="101"/>
      <c r="H9" s="101"/>
    </row>
    <row r="10" spans="3:8" x14ac:dyDescent="0.25">
      <c r="G10" s="101"/>
      <c r="H10" s="101"/>
    </row>
    <row r="11" spans="3:8" x14ac:dyDescent="0.25">
      <c r="G11" s="101"/>
      <c r="H11" s="101"/>
    </row>
    <row r="12" spans="3:8" x14ac:dyDescent="0.25">
      <c r="G12" s="101"/>
      <c r="H12" s="101"/>
    </row>
    <row r="13" spans="3:8" x14ac:dyDescent="0.25">
      <c r="G13" s="101"/>
      <c r="H13" s="101"/>
    </row>
    <row r="14" spans="3:8" x14ac:dyDescent="0.25">
      <c r="G14" s="101"/>
      <c r="H14" s="101"/>
    </row>
    <row r="15" spans="3:8" x14ac:dyDescent="0.25">
      <c r="G15" s="101"/>
      <c r="H15" s="101"/>
    </row>
    <row r="16" spans="3:8" s="2" customFormat="1" x14ac:dyDescent="0.25">
      <c r="G16" s="101"/>
      <c r="H16" s="101"/>
    </row>
    <row r="17" spans="3:8" s="2" customFormat="1" ht="16.5" thickBot="1" x14ac:dyDescent="0.3">
      <c r="G17" s="103">
        <f>SUM(G7:G16)</f>
        <v>0</v>
      </c>
      <c r="H17" s="103">
        <f>SUM(H7:H16)</f>
        <v>0</v>
      </c>
    </row>
    <row r="18" spans="3:8" s="2" customFormat="1" ht="16.5" thickTop="1" x14ac:dyDescent="0.25">
      <c r="G18" s="101"/>
      <c r="H18" s="101"/>
    </row>
    <row r="19" spans="3:8" x14ac:dyDescent="0.25">
      <c r="C19" s="1" t="s">
        <v>594</v>
      </c>
      <c r="G19" s="101"/>
      <c r="H19" s="101"/>
    </row>
    <row r="2483" spans="7:9" s="2" customFormat="1" x14ac:dyDescent="0.25">
      <c r="G2483" s="5"/>
      <c r="H2483" s="5"/>
      <c r="I2483" s="29"/>
    </row>
  </sheetData>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21F1-6B60-4F26-8E77-AFE607268D65}">
  <sheetPr>
    <pageSetUpPr fitToPage="1"/>
  </sheetPr>
  <dimension ref="A2:J2487"/>
  <sheetViews>
    <sheetView zoomScale="87" zoomScaleNormal="87" workbookViewId="0">
      <pane xSplit="2" ySplit="4" topLeftCell="C6" activePane="bottomRight" state="frozen"/>
      <selection pane="topRight" activeCell="C1" sqref="C1"/>
      <selection pane="bottomLeft" activeCell="A5" sqref="A5"/>
      <selection pane="bottomRight" activeCell="G19" sqref="G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3.28515625" style="2" bestFit="1" customWidth="1"/>
    <col min="11" max="16384" width="9.140625" style="107"/>
  </cols>
  <sheetData>
    <row r="2" spans="3:8" ht="52.5" customHeight="1" x14ac:dyDescent="0.25">
      <c r="C2" s="106" t="str">
        <f>Criteria!E9</f>
        <v>HOLDING COMPANY 268 (PROPRIETARY) LIMITED</v>
      </c>
      <c r="D2" s="156"/>
      <c r="E2" s="156"/>
      <c r="G2" s="105" t="s">
        <v>81</v>
      </c>
      <c r="H2" s="105"/>
    </row>
    <row r="3" spans="3:8" x14ac:dyDescent="0.25">
      <c r="C3" s="3" t="s">
        <v>80</v>
      </c>
      <c r="D3" s="3"/>
      <c r="E3" s="3" t="str">
        <f>Criteria!E20</f>
        <v>29 FEBRUARY 2024</v>
      </c>
    </row>
    <row r="4" spans="3:8" ht="52.5" customHeight="1" x14ac:dyDescent="0.25">
      <c r="C4" s="104"/>
      <c r="G4" s="105" t="s">
        <v>82</v>
      </c>
      <c r="H4" s="105"/>
    </row>
    <row r="5" spans="3:8" ht="15.75" customHeight="1" x14ac:dyDescent="0.25">
      <c r="G5" s="25"/>
      <c r="H5" s="25"/>
    </row>
    <row r="6" spans="3:8" x14ac:dyDescent="0.25">
      <c r="G6" s="5">
        <f>Criteria!E22</f>
        <v>2024</v>
      </c>
      <c r="H6" s="5">
        <f>Criteria!E27</f>
        <v>2023</v>
      </c>
    </row>
    <row r="7" spans="3:8" x14ac:dyDescent="0.25">
      <c r="G7" s="101"/>
      <c r="H7" s="101"/>
    </row>
    <row r="8" spans="3:8" x14ac:dyDescent="0.25">
      <c r="C8" s="94" t="s">
        <v>83</v>
      </c>
      <c r="D8" s="94"/>
      <c r="E8" s="94"/>
      <c r="F8" s="94"/>
      <c r="G8" s="95">
        <f>H21</f>
        <v>0</v>
      </c>
      <c r="H8" s="95"/>
    </row>
    <row r="9" spans="3:8" x14ac:dyDescent="0.25">
      <c r="C9" s="94"/>
      <c r="D9" s="94"/>
      <c r="E9" s="94"/>
      <c r="F9" s="94"/>
      <c r="G9" s="95"/>
      <c r="H9" s="95"/>
    </row>
    <row r="10" spans="3:8" x14ac:dyDescent="0.25">
      <c r="C10" s="94"/>
      <c r="D10" s="94"/>
      <c r="E10" s="94"/>
      <c r="F10" s="94"/>
      <c r="G10" s="94"/>
      <c r="H10" s="95"/>
    </row>
    <row r="11" spans="3:8" s="2" customFormat="1" ht="16.5" thickBot="1" x14ac:dyDescent="0.3">
      <c r="C11" s="94" t="s">
        <v>586</v>
      </c>
      <c r="D11" s="94"/>
      <c r="E11" s="94"/>
      <c r="F11" s="94"/>
      <c r="G11" s="98"/>
      <c r="H11" s="98"/>
    </row>
    <row r="12" spans="3:8" s="2" customFormat="1" ht="16.5" thickTop="1" x14ac:dyDescent="0.25">
      <c r="C12" s="94"/>
      <c r="D12" s="94"/>
      <c r="E12" s="94"/>
      <c r="F12" s="94"/>
      <c r="G12" s="96"/>
      <c r="H12" s="95"/>
    </row>
    <row r="13" spans="3:8" s="2" customFormat="1" x14ac:dyDescent="0.25">
      <c r="C13" s="94"/>
      <c r="D13" s="94"/>
      <c r="E13" s="94"/>
      <c r="F13" s="94"/>
      <c r="G13" s="96"/>
      <c r="H13" s="95"/>
    </row>
    <row r="14" spans="3:8" s="2" customFormat="1" x14ac:dyDescent="0.25">
      <c r="C14" s="94"/>
      <c r="D14" s="94"/>
      <c r="E14" s="94"/>
      <c r="F14" s="94"/>
      <c r="G14" s="96"/>
      <c r="H14" s="95"/>
    </row>
    <row r="15" spans="3:8" s="2" customFormat="1" x14ac:dyDescent="0.25">
      <c r="C15" s="94" t="s">
        <v>1180</v>
      </c>
      <c r="D15" s="94"/>
      <c r="E15" s="94"/>
      <c r="F15" s="94"/>
      <c r="G15" s="94"/>
      <c r="H15" s="95"/>
    </row>
    <row r="16" spans="3:8" s="2" customFormat="1" x14ac:dyDescent="0.25">
      <c r="C16" s="94"/>
      <c r="D16" s="94"/>
      <c r="E16" s="97">
        <v>44986</v>
      </c>
      <c r="F16" s="94">
        <v>8.25</v>
      </c>
      <c r="G16" s="94"/>
      <c r="H16" s="95"/>
    </row>
    <row r="17" spans="3:10" s="2" customFormat="1" x14ac:dyDescent="0.25">
      <c r="C17" s="94"/>
      <c r="D17" s="94"/>
      <c r="E17" s="97">
        <v>45351</v>
      </c>
      <c r="F17" s="94">
        <v>8.25</v>
      </c>
      <c r="G17" s="94"/>
      <c r="H17" s="95"/>
    </row>
    <row r="18" spans="3:10" s="2" customFormat="1" x14ac:dyDescent="0.25">
      <c r="C18" s="94"/>
      <c r="D18" s="94"/>
      <c r="E18" s="94" t="s">
        <v>587</v>
      </c>
      <c r="F18" s="94">
        <f>(F16+F17)/2</f>
        <v>8.25</v>
      </c>
      <c r="G18" s="96">
        <f>ROUND((G8+G11)/2*F18/100,0)</f>
        <v>0</v>
      </c>
      <c r="H18" s="95"/>
      <c r="I18" s="14"/>
      <c r="J18" s="14"/>
    </row>
    <row r="19" spans="3:10" s="2" customFormat="1" x14ac:dyDescent="0.25">
      <c r="G19" s="101"/>
      <c r="H19" s="101"/>
    </row>
    <row r="20" spans="3:10" s="2" customFormat="1" x14ac:dyDescent="0.25">
      <c r="G20" s="101"/>
      <c r="H20" s="101"/>
    </row>
    <row r="21" spans="3:10" s="2" customFormat="1" ht="16.5" thickBot="1" x14ac:dyDescent="0.3">
      <c r="G21" s="103">
        <f>SUM(G11:G20)</f>
        <v>0</v>
      </c>
      <c r="H21" s="103">
        <f>SUM(H11:H20)</f>
        <v>0</v>
      </c>
    </row>
    <row r="22" spans="3:10" s="2" customFormat="1" ht="16.5" thickTop="1" x14ac:dyDescent="0.25">
      <c r="G22" s="101"/>
      <c r="H22" s="101"/>
    </row>
    <row r="23" spans="3:10" s="2" customFormat="1" x14ac:dyDescent="0.25">
      <c r="C23" s="1" t="s">
        <v>594</v>
      </c>
      <c r="G23" s="101"/>
      <c r="H23" s="101"/>
    </row>
    <row r="2487" spans="7:9" s="2" customFormat="1" x14ac:dyDescent="0.25">
      <c r="G2487" s="5"/>
      <c r="H2487" s="5"/>
      <c r="I2487" s="29"/>
    </row>
  </sheetData>
  <pageMargins left="0.75" right="0.75" top="1" bottom="1" header="0.5" footer="0.5"/>
  <pageSetup paperSize="9" scale="76"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2F49-0370-4073-BDF8-E7693CDD378C}">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C17" sqref="C17"/>
    </sheetView>
  </sheetViews>
  <sheetFormatPr defaultRowHeight="15.75" x14ac:dyDescent="0.25"/>
  <cols>
    <col min="1" max="1" width="4.7109375" style="2" customWidth="1"/>
    <col min="2" max="2" width="10.570312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07"/>
  </cols>
  <sheetData>
    <row r="2" spans="2:9" ht="52.5" customHeight="1" x14ac:dyDescent="0.25">
      <c r="C2" s="106" t="str">
        <f>Criteria!E9</f>
        <v>HOLDING COMPANY 268 (PROPRIETARY) LIMITED</v>
      </c>
      <c r="D2" s="156"/>
      <c r="E2" s="156"/>
      <c r="G2" s="105" t="s">
        <v>81</v>
      </c>
      <c r="H2" s="105"/>
    </row>
    <row r="3" spans="2:9" x14ac:dyDescent="0.25">
      <c r="C3" s="3" t="s">
        <v>80</v>
      </c>
      <c r="D3" s="3"/>
      <c r="E3" s="3" t="str">
        <f>Criteria!E20</f>
        <v>29 FEBRUARY 2024</v>
      </c>
    </row>
    <row r="4" spans="2:9" ht="52.5" customHeight="1" x14ac:dyDescent="0.25">
      <c r="C4" s="104"/>
      <c r="G4" s="105" t="s">
        <v>82</v>
      </c>
      <c r="H4" s="105"/>
    </row>
    <row r="5" spans="2:9" s="2" customFormat="1" ht="15.75" customHeight="1" x14ac:dyDescent="0.25">
      <c r="G5" s="25"/>
      <c r="H5" s="25"/>
    </row>
    <row r="6" spans="2:9" s="2" customFormat="1" ht="15.75" customHeight="1" x14ac:dyDescent="0.25">
      <c r="C6" s="2" t="s">
        <v>442</v>
      </c>
      <c r="E6" s="66"/>
      <c r="F6" s="64"/>
      <c r="G6" s="64"/>
      <c r="I6" s="64"/>
    </row>
    <row r="7" spans="2:9" s="2" customFormat="1" ht="15.75" customHeight="1" x14ac:dyDescent="0.25">
      <c r="E7" s="64"/>
      <c r="F7" s="64"/>
      <c r="G7" s="64"/>
      <c r="I7" s="64"/>
    </row>
    <row r="8" spans="2:9" s="2" customFormat="1" ht="15.75" customHeight="1" x14ac:dyDescent="0.25">
      <c r="C8" s="2" t="s">
        <v>443</v>
      </c>
      <c r="E8" s="66"/>
      <c r="F8" s="64"/>
      <c r="G8" s="64"/>
      <c r="I8" s="64"/>
    </row>
    <row r="9" spans="2:9" s="2" customFormat="1" ht="15.75" customHeight="1" x14ac:dyDescent="0.25">
      <c r="C9" s="2" t="s">
        <v>444</v>
      </c>
      <c r="E9" s="67"/>
      <c r="F9" s="64"/>
      <c r="G9" s="64"/>
      <c r="I9" s="64"/>
    </row>
    <row r="10" spans="2:9" s="2" customFormat="1" ht="15.75" customHeight="1" x14ac:dyDescent="0.25">
      <c r="E10" s="64"/>
      <c r="F10" s="64"/>
      <c r="G10" s="64"/>
      <c r="I10" s="64"/>
    </row>
    <row r="11" spans="2:9" s="2" customFormat="1" ht="15.75" customHeight="1" x14ac:dyDescent="0.25">
      <c r="E11" s="64"/>
      <c r="F11" s="64"/>
      <c r="G11" s="64"/>
      <c r="I11" s="64"/>
    </row>
    <row r="12" spans="2:9" s="2" customFormat="1" ht="15.75" customHeight="1" x14ac:dyDescent="0.25">
      <c r="E12" s="64"/>
      <c r="F12" s="64"/>
      <c r="G12" s="64"/>
      <c r="I12" s="64"/>
    </row>
    <row r="13" spans="2:9" s="2" customFormat="1" ht="15.75" customHeight="1" x14ac:dyDescent="0.25">
      <c r="E13" s="64"/>
      <c r="F13" s="64"/>
      <c r="G13" s="64"/>
      <c r="I13" s="64"/>
    </row>
    <row r="14" spans="2:9" s="2" customFormat="1" ht="15.75" customHeight="1" x14ac:dyDescent="0.25">
      <c r="B14" s="6" t="s">
        <v>167</v>
      </c>
      <c r="C14" s="6" t="s">
        <v>445</v>
      </c>
      <c r="D14" s="6"/>
      <c r="E14" s="68" t="s">
        <v>120</v>
      </c>
      <c r="F14" s="68" t="s">
        <v>119</v>
      </c>
      <c r="G14" s="68" t="s">
        <v>446</v>
      </c>
      <c r="I14" s="64"/>
    </row>
    <row r="15" spans="2:9" s="2" customFormat="1" ht="15.75" customHeight="1" x14ac:dyDescent="0.25">
      <c r="E15" s="64"/>
      <c r="F15" s="64"/>
      <c r="G15" s="64"/>
      <c r="I15" s="64"/>
    </row>
    <row r="16" spans="2:9" s="2" customFormat="1" ht="15.75" customHeight="1" x14ac:dyDescent="0.25">
      <c r="E16" s="64"/>
      <c r="F16" s="64"/>
      <c r="G16" s="69">
        <f>E6</f>
        <v>0</v>
      </c>
      <c r="I16" s="64"/>
    </row>
    <row r="17" spans="2:9" s="2" customFormat="1" x14ac:dyDescent="0.25">
      <c r="B17" s="2">
        <v>1</v>
      </c>
      <c r="C17" s="14">
        <f>$E$8</f>
        <v>0</v>
      </c>
      <c r="E17" s="64">
        <f>G16*$E$9/12</f>
        <v>0</v>
      </c>
      <c r="F17" s="64">
        <f>C17-E17</f>
        <v>0</v>
      </c>
      <c r="G17" s="64">
        <f t="shared" ref="G17" si="0">G16-F17</f>
        <v>0</v>
      </c>
      <c r="I17" s="64"/>
    </row>
    <row r="18" spans="2:9" s="2" customFormat="1" x14ac:dyDescent="0.25">
      <c r="B18" s="2">
        <f t="shared" ref="B18:B81" si="1">B17+1</f>
        <v>2</v>
      </c>
      <c r="C18" s="14">
        <f t="shared" ref="C18:C81" si="2">$E$8</f>
        <v>0</v>
      </c>
      <c r="E18" s="64">
        <f t="shared" ref="E18:E81" si="3">G17*$E$9/12</f>
        <v>0</v>
      </c>
      <c r="F18" s="64">
        <f t="shared" ref="F18:F81" si="4">C18-E18</f>
        <v>0</v>
      </c>
      <c r="G18" s="64">
        <f t="shared" ref="G18:G81" si="5">G17-F18</f>
        <v>0</v>
      </c>
      <c r="I18" s="64"/>
    </row>
    <row r="19" spans="2:9" s="2" customFormat="1" x14ac:dyDescent="0.25">
      <c r="B19" s="2">
        <f t="shared" si="1"/>
        <v>3</v>
      </c>
      <c r="C19" s="14">
        <f t="shared" si="2"/>
        <v>0</v>
      </c>
      <c r="E19" s="64">
        <f t="shared" si="3"/>
        <v>0</v>
      </c>
      <c r="F19" s="64">
        <f t="shared" si="4"/>
        <v>0</v>
      </c>
      <c r="G19" s="64">
        <f t="shared" si="5"/>
        <v>0</v>
      </c>
      <c r="I19" s="64"/>
    </row>
    <row r="20" spans="2:9" s="2" customFormat="1" x14ac:dyDescent="0.25">
      <c r="B20" s="2">
        <f t="shared" si="1"/>
        <v>4</v>
      </c>
      <c r="C20" s="14">
        <f t="shared" si="2"/>
        <v>0</v>
      </c>
      <c r="E20" s="64">
        <f t="shared" si="3"/>
        <v>0</v>
      </c>
      <c r="F20" s="64">
        <f t="shared" si="4"/>
        <v>0</v>
      </c>
      <c r="G20" s="64">
        <f t="shared" si="5"/>
        <v>0</v>
      </c>
      <c r="I20" s="64"/>
    </row>
    <row r="21" spans="2:9" s="2" customFormat="1" x14ac:dyDescent="0.25">
      <c r="B21" s="2">
        <f t="shared" si="1"/>
        <v>5</v>
      </c>
      <c r="C21" s="14">
        <f t="shared" si="2"/>
        <v>0</v>
      </c>
      <c r="E21" s="64">
        <f t="shared" si="3"/>
        <v>0</v>
      </c>
      <c r="F21" s="64">
        <f t="shared" si="4"/>
        <v>0</v>
      </c>
      <c r="G21" s="64">
        <f t="shared" si="5"/>
        <v>0</v>
      </c>
      <c r="I21" s="64"/>
    </row>
    <row r="22" spans="2:9" s="2" customFormat="1" x14ac:dyDescent="0.25">
      <c r="B22" s="2">
        <f t="shared" si="1"/>
        <v>6</v>
      </c>
      <c r="C22" s="14">
        <f t="shared" si="2"/>
        <v>0</v>
      </c>
      <c r="E22" s="64">
        <f t="shared" si="3"/>
        <v>0</v>
      </c>
      <c r="F22" s="64">
        <f t="shared" si="4"/>
        <v>0</v>
      </c>
      <c r="G22" s="64">
        <f t="shared" si="5"/>
        <v>0</v>
      </c>
      <c r="I22" s="64"/>
    </row>
    <row r="23" spans="2:9" x14ac:dyDescent="0.25">
      <c r="B23" s="2">
        <f t="shared" si="1"/>
        <v>7</v>
      </c>
      <c r="C23" s="14">
        <f t="shared" si="2"/>
        <v>0</v>
      </c>
      <c r="E23" s="64">
        <f t="shared" si="3"/>
        <v>0</v>
      </c>
      <c r="F23" s="64">
        <f t="shared" si="4"/>
        <v>0</v>
      </c>
      <c r="G23" s="64">
        <f t="shared" si="5"/>
        <v>0</v>
      </c>
      <c r="H23" s="107"/>
      <c r="I23" s="64"/>
    </row>
    <row r="24" spans="2:9" x14ac:dyDescent="0.25">
      <c r="B24" s="2">
        <f t="shared" si="1"/>
        <v>8</v>
      </c>
      <c r="C24" s="14">
        <f t="shared" si="2"/>
        <v>0</v>
      </c>
      <c r="E24" s="64">
        <f t="shared" si="3"/>
        <v>0</v>
      </c>
      <c r="F24" s="64">
        <f t="shared" si="4"/>
        <v>0</v>
      </c>
      <c r="G24" s="64">
        <f t="shared" si="5"/>
        <v>0</v>
      </c>
      <c r="H24" s="107"/>
      <c r="I24" s="64"/>
    </row>
    <row r="25" spans="2:9" x14ac:dyDescent="0.25">
      <c r="B25" s="2">
        <f t="shared" si="1"/>
        <v>9</v>
      </c>
      <c r="C25" s="14">
        <f t="shared" si="2"/>
        <v>0</v>
      </c>
      <c r="E25" s="64">
        <f t="shared" si="3"/>
        <v>0</v>
      </c>
      <c r="F25" s="64">
        <f t="shared" si="4"/>
        <v>0</v>
      </c>
      <c r="G25" s="64">
        <f t="shared" si="5"/>
        <v>0</v>
      </c>
      <c r="H25" s="107"/>
      <c r="I25" s="64"/>
    </row>
    <row r="26" spans="2:9" x14ac:dyDescent="0.25">
      <c r="B26" s="2">
        <f t="shared" si="1"/>
        <v>10</v>
      </c>
      <c r="C26" s="14">
        <f t="shared" si="2"/>
        <v>0</v>
      </c>
      <c r="E26" s="64">
        <f t="shared" si="3"/>
        <v>0</v>
      </c>
      <c r="F26" s="64">
        <f t="shared" si="4"/>
        <v>0</v>
      </c>
      <c r="G26" s="64">
        <f t="shared" si="5"/>
        <v>0</v>
      </c>
      <c r="H26" s="107"/>
      <c r="I26" s="64"/>
    </row>
    <row r="27" spans="2:9" x14ac:dyDescent="0.25">
      <c r="B27" s="2">
        <f t="shared" si="1"/>
        <v>11</v>
      </c>
      <c r="C27" s="14">
        <f t="shared" si="2"/>
        <v>0</v>
      </c>
      <c r="E27" s="64">
        <f t="shared" si="3"/>
        <v>0</v>
      </c>
      <c r="F27" s="64">
        <f t="shared" si="4"/>
        <v>0</v>
      </c>
      <c r="G27" s="64">
        <f t="shared" si="5"/>
        <v>0</v>
      </c>
      <c r="H27" s="107"/>
      <c r="I27" s="64"/>
    </row>
    <row r="28" spans="2:9" x14ac:dyDescent="0.25">
      <c r="B28" s="2">
        <f t="shared" si="1"/>
        <v>12</v>
      </c>
      <c r="C28" s="14">
        <f t="shared" si="2"/>
        <v>0</v>
      </c>
      <c r="E28" s="64">
        <f t="shared" si="3"/>
        <v>0</v>
      </c>
      <c r="F28" s="64">
        <f t="shared" si="4"/>
        <v>0</v>
      </c>
      <c r="G28" s="64">
        <f t="shared" si="5"/>
        <v>0</v>
      </c>
      <c r="H28" s="107"/>
      <c r="I28" s="64"/>
    </row>
    <row r="29" spans="2:9" x14ac:dyDescent="0.25">
      <c r="B29" s="2">
        <f t="shared" si="1"/>
        <v>13</v>
      </c>
      <c r="C29" s="14">
        <f t="shared" si="2"/>
        <v>0</v>
      </c>
      <c r="E29" s="64">
        <f t="shared" si="3"/>
        <v>0</v>
      </c>
      <c r="F29" s="64">
        <f t="shared" si="4"/>
        <v>0</v>
      </c>
      <c r="G29" s="64">
        <f t="shared" si="5"/>
        <v>0</v>
      </c>
      <c r="H29" s="107"/>
      <c r="I29" s="64"/>
    </row>
    <row r="30" spans="2:9" x14ac:dyDescent="0.25">
      <c r="B30" s="2">
        <f t="shared" si="1"/>
        <v>14</v>
      </c>
      <c r="C30" s="14">
        <f t="shared" si="2"/>
        <v>0</v>
      </c>
      <c r="E30" s="64">
        <f t="shared" si="3"/>
        <v>0</v>
      </c>
      <c r="F30" s="64">
        <f t="shared" si="4"/>
        <v>0</v>
      </c>
      <c r="G30" s="64">
        <f t="shared" si="5"/>
        <v>0</v>
      </c>
      <c r="H30" s="107"/>
      <c r="I30" s="64"/>
    </row>
    <row r="31" spans="2:9" x14ac:dyDescent="0.25">
      <c r="B31" s="2">
        <f t="shared" si="1"/>
        <v>15</v>
      </c>
      <c r="C31" s="14">
        <f t="shared" si="2"/>
        <v>0</v>
      </c>
      <c r="E31" s="64">
        <f t="shared" si="3"/>
        <v>0</v>
      </c>
      <c r="F31" s="64">
        <f t="shared" si="4"/>
        <v>0</v>
      </c>
      <c r="G31" s="64">
        <f t="shared" si="5"/>
        <v>0</v>
      </c>
      <c r="H31" s="107"/>
      <c r="I31" s="64"/>
    </row>
    <row r="32" spans="2:9" x14ac:dyDescent="0.25">
      <c r="B32" s="2">
        <f t="shared" si="1"/>
        <v>16</v>
      </c>
      <c r="C32" s="14">
        <f t="shared" si="2"/>
        <v>0</v>
      </c>
      <c r="E32" s="64">
        <f t="shared" si="3"/>
        <v>0</v>
      </c>
      <c r="F32" s="64">
        <f t="shared" si="4"/>
        <v>0</v>
      </c>
      <c r="G32" s="64">
        <f t="shared" si="5"/>
        <v>0</v>
      </c>
      <c r="H32" s="107"/>
      <c r="I32" s="64"/>
    </row>
    <row r="33" spans="2:9" x14ac:dyDescent="0.25">
      <c r="B33" s="2">
        <f t="shared" si="1"/>
        <v>17</v>
      </c>
      <c r="C33" s="14">
        <f t="shared" si="2"/>
        <v>0</v>
      </c>
      <c r="E33" s="64">
        <f t="shared" si="3"/>
        <v>0</v>
      </c>
      <c r="F33" s="64">
        <f t="shared" si="4"/>
        <v>0</v>
      </c>
      <c r="G33" s="64">
        <f t="shared" si="5"/>
        <v>0</v>
      </c>
      <c r="H33" s="107"/>
      <c r="I33" s="64"/>
    </row>
    <row r="34" spans="2:9" x14ac:dyDescent="0.25">
      <c r="B34" s="2">
        <f t="shared" si="1"/>
        <v>18</v>
      </c>
      <c r="C34" s="14">
        <f t="shared" si="2"/>
        <v>0</v>
      </c>
      <c r="E34" s="64">
        <f t="shared" si="3"/>
        <v>0</v>
      </c>
      <c r="F34" s="64">
        <f t="shared" si="4"/>
        <v>0</v>
      </c>
      <c r="G34" s="64">
        <f t="shared" si="5"/>
        <v>0</v>
      </c>
      <c r="H34" s="107"/>
      <c r="I34" s="64"/>
    </row>
    <row r="35" spans="2:9" x14ac:dyDescent="0.25">
      <c r="B35" s="2">
        <f t="shared" si="1"/>
        <v>19</v>
      </c>
      <c r="C35" s="14">
        <f t="shared" si="2"/>
        <v>0</v>
      </c>
      <c r="E35" s="64">
        <f t="shared" si="3"/>
        <v>0</v>
      </c>
      <c r="F35" s="64">
        <f t="shared" si="4"/>
        <v>0</v>
      </c>
      <c r="G35" s="64">
        <f t="shared" si="5"/>
        <v>0</v>
      </c>
      <c r="H35" s="107"/>
      <c r="I35" s="64"/>
    </row>
    <row r="36" spans="2:9" x14ac:dyDescent="0.25">
      <c r="B36" s="2">
        <f t="shared" si="1"/>
        <v>20</v>
      </c>
      <c r="C36" s="14">
        <f t="shared" si="2"/>
        <v>0</v>
      </c>
      <c r="E36" s="64">
        <f t="shared" si="3"/>
        <v>0</v>
      </c>
      <c r="F36" s="64">
        <f t="shared" si="4"/>
        <v>0</v>
      </c>
      <c r="G36" s="64">
        <f t="shared" si="5"/>
        <v>0</v>
      </c>
      <c r="H36" s="107"/>
      <c r="I36" s="64"/>
    </row>
    <row r="37" spans="2:9" x14ac:dyDescent="0.25">
      <c r="B37" s="2">
        <f t="shared" si="1"/>
        <v>21</v>
      </c>
      <c r="C37" s="14">
        <f t="shared" si="2"/>
        <v>0</v>
      </c>
      <c r="E37" s="64">
        <f t="shared" si="3"/>
        <v>0</v>
      </c>
      <c r="F37" s="64">
        <f t="shared" si="4"/>
        <v>0</v>
      </c>
      <c r="G37" s="64">
        <f t="shared" si="5"/>
        <v>0</v>
      </c>
      <c r="H37" s="107"/>
      <c r="I37" s="64"/>
    </row>
    <row r="38" spans="2:9" x14ac:dyDescent="0.25">
      <c r="B38" s="2">
        <f t="shared" si="1"/>
        <v>22</v>
      </c>
      <c r="C38" s="14">
        <f t="shared" si="2"/>
        <v>0</v>
      </c>
      <c r="E38" s="64">
        <f t="shared" si="3"/>
        <v>0</v>
      </c>
      <c r="F38" s="64">
        <f t="shared" si="4"/>
        <v>0</v>
      </c>
      <c r="G38" s="64">
        <f t="shared" si="5"/>
        <v>0</v>
      </c>
      <c r="H38" s="107"/>
      <c r="I38" s="64"/>
    </row>
    <row r="39" spans="2:9" x14ac:dyDescent="0.25">
      <c r="B39" s="2">
        <f t="shared" si="1"/>
        <v>23</v>
      </c>
      <c r="C39" s="14">
        <f t="shared" si="2"/>
        <v>0</v>
      </c>
      <c r="E39" s="64">
        <f t="shared" si="3"/>
        <v>0</v>
      </c>
      <c r="F39" s="64">
        <f t="shared" si="4"/>
        <v>0</v>
      </c>
      <c r="G39" s="64">
        <f t="shared" si="5"/>
        <v>0</v>
      </c>
      <c r="H39" s="107"/>
      <c r="I39" s="64"/>
    </row>
    <row r="40" spans="2:9" x14ac:dyDescent="0.25">
      <c r="B40" s="2">
        <f t="shared" si="1"/>
        <v>24</v>
      </c>
      <c r="C40" s="14">
        <f t="shared" si="2"/>
        <v>0</v>
      </c>
      <c r="E40" s="64">
        <f t="shared" si="3"/>
        <v>0</v>
      </c>
      <c r="F40" s="64">
        <f t="shared" si="4"/>
        <v>0</v>
      </c>
      <c r="G40" s="64">
        <f t="shared" si="5"/>
        <v>0</v>
      </c>
      <c r="H40" s="107"/>
      <c r="I40" s="64"/>
    </row>
    <row r="41" spans="2:9" x14ac:dyDescent="0.25">
      <c r="B41" s="2">
        <f t="shared" si="1"/>
        <v>25</v>
      </c>
      <c r="C41" s="14">
        <f t="shared" si="2"/>
        <v>0</v>
      </c>
      <c r="E41" s="64">
        <f t="shared" si="3"/>
        <v>0</v>
      </c>
      <c r="F41" s="64">
        <f t="shared" si="4"/>
        <v>0</v>
      </c>
      <c r="G41" s="64">
        <f t="shared" si="5"/>
        <v>0</v>
      </c>
      <c r="H41" s="107"/>
      <c r="I41" s="64"/>
    </row>
    <row r="42" spans="2:9" x14ac:dyDescent="0.25">
      <c r="B42" s="2">
        <f t="shared" si="1"/>
        <v>26</v>
      </c>
      <c r="C42" s="14">
        <f t="shared" si="2"/>
        <v>0</v>
      </c>
      <c r="E42" s="64">
        <f t="shared" si="3"/>
        <v>0</v>
      </c>
      <c r="F42" s="64">
        <f t="shared" si="4"/>
        <v>0</v>
      </c>
      <c r="G42" s="64">
        <f t="shared" si="5"/>
        <v>0</v>
      </c>
      <c r="H42" s="107"/>
      <c r="I42" s="64"/>
    </row>
    <row r="43" spans="2:9" x14ac:dyDescent="0.25">
      <c r="B43" s="2">
        <f t="shared" si="1"/>
        <v>27</v>
      </c>
      <c r="C43" s="14">
        <f t="shared" si="2"/>
        <v>0</v>
      </c>
      <c r="E43" s="64">
        <f t="shared" si="3"/>
        <v>0</v>
      </c>
      <c r="F43" s="64">
        <f t="shared" si="4"/>
        <v>0</v>
      </c>
      <c r="G43" s="64">
        <f t="shared" si="5"/>
        <v>0</v>
      </c>
      <c r="H43" s="107"/>
      <c r="I43" s="64"/>
    </row>
    <row r="44" spans="2:9" x14ac:dyDescent="0.25">
      <c r="B44" s="2">
        <f t="shared" si="1"/>
        <v>28</v>
      </c>
      <c r="C44" s="14">
        <f t="shared" si="2"/>
        <v>0</v>
      </c>
      <c r="E44" s="64">
        <f t="shared" si="3"/>
        <v>0</v>
      </c>
      <c r="F44" s="64">
        <f t="shared" si="4"/>
        <v>0</v>
      </c>
      <c r="G44" s="64">
        <f t="shared" si="5"/>
        <v>0</v>
      </c>
      <c r="H44" s="107"/>
      <c r="I44" s="64"/>
    </row>
    <row r="45" spans="2:9" x14ac:dyDescent="0.25">
      <c r="B45" s="2">
        <f t="shared" si="1"/>
        <v>29</v>
      </c>
      <c r="C45" s="14">
        <f t="shared" si="2"/>
        <v>0</v>
      </c>
      <c r="E45" s="64">
        <f t="shared" si="3"/>
        <v>0</v>
      </c>
      <c r="F45" s="64">
        <f t="shared" si="4"/>
        <v>0</v>
      </c>
      <c r="G45" s="64">
        <f t="shared" si="5"/>
        <v>0</v>
      </c>
      <c r="H45" s="107"/>
      <c r="I45" s="64"/>
    </row>
    <row r="46" spans="2:9" x14ac:dyDescent="0.25">
      <c r="B46" s="2">
        <f t="shared" si="1"/>
        <v>30</v>
      </c>
      <c r="C46" s="14">
        <f t="shared" si="2"/>
        <v>0</v>
      </c>
      <c r="E46" s="64">
        <f t="shared" si="3"/>
        <v>0</v>
      </c>
      <c r="F46" s="64">
        <f t="shared" si="4"/>
        <v>0</v>
      </c>
      <c r="G46" s="64">
        <f t="shared" si="5"/>
        <v>0</v>
      </c>
      <c r="H46" s="107"/>
      <c r="I46" s="64"/>
    </row>
    <row r="47" spans="2:9" x14ac:dyDescent="0.25">
      <c r="B47" s="2">
        <f t="shared" si="1"/>
        <v>31</v>
      </c>
      <c r="C47" s="14">
        <f t="shared" si="2"/>
        <v>0</v>
      </c>
      <c r="E47" s="64">
        <f t="shared" si="3"/>
        <v>0</v>
      </c>
      <c r="F47" s="64">
        <f t="shared" si="4"/>
        <v>0</v>
      </c>
      <c r="G47" s="64">
        <f t="shared" si="5"/>
        <v>0</v>
      </c>
      <c r="H47" s="107"/>
      <c r="I47" s="64"/>
    </row>
    <row r="48" spans="2:9" x14ac:dyDescent="0.25">
      <c r="B48" s="2">
        <f t="shared" si="1"/>
        <v>32</v>
      </c>
      <c r="C48" s="14">
        <f t="shared" si="2"/>
        <v>0</v>
      </c>
      <c r="E48" s="64">
        <f t="shared" si="3"/>
        <v>0</v>
      </c>
      <c r="F48" s="64">
        <f t="shared" si="4"/>
        <v>0</v>
      </c>
      <c r="G48" s="64">
        <f t="shared" si="5"/>
        <v>0</v>
      </c>
      <c r="H48" s="107"/>
      <c r="I48" s="64"/>
    </row>
    <row r="49" spans="2:9" x14ac:dyDescent="0.25">
      <c r="B49" s="2">
        <f t="shared" si="1"/>
        <v>33</v>
      </c>
      <c r="C49" s="14">
        <f t="shared" si="2"/>
        <v>0</v>
      </c>
      <c r="E49" s="64">
        <f t="shared" si="3"/>
        <v>0</v>
      </c>
      <c r="F49" s="64">
        <f t="shared" si="4"/>
        <v>0</v>
      </c>
      <c r="G49" s="64">
        <f t="shared" si="5"/>
        <v>0</v>
      </c>
      <c r="H49" s="107"/>
      <c r="I49" s="64"/>
    </row>
    <row r="50" spans="2:9" x14ac:dyDescent="0.25">
      <c r="B50" s="2">
        <f t="shared" si="1"/>
        <v>34</v>
      </c>
      <c r="C50" s="14">
        <f t="shared" si="2"/>
        <v>0</v>
      </c>
      <c r="E50" s="64">
        <f t="shared" si="3"/>
        <v>0</v>
      </c>
      <c r="F50" s="64">
        <f t="shared" si="4"/>
        <v>0</v>
      </c>
      <c r="G50" s="64">
        <f t="shared" si="5"/>
        <v>0</v>
      </c>
      <c r="H50" s="107"/>
      <c r="I50" s="64"/>
    </row>
    <row r="51" spans="2:9" x14ac:dyDescent="0.25">
      <c r="B51" s="2">
        <f t="shared" si="1"/>
        <v>35</v>
      </c>
      <c r="C51" s="14">
        <f t="shared" si="2"/>
        <v>0</v>
      </c>
      <c r="E51" s="64">
        <f t="shared" si="3"/>
        <v>0</v>
      </c>
      <c r="F51" s="64">
        <f t="shared" si="4"/>
        <v>0</v>
      </c>
      <c r="G51" s="64">
        <f t="shared" si="5"/>
        <v>0</v>
      </c>
      <c r="H51" s="107"/>
    </row>
    <row r="52" spans="2:9" x14ac:dyDescent="0.25">
      <c r="B52" s="2">
        <f t="shared" si="1"/>
        <v>36</v>
      </c>
      <c r="C52" s="14">
        <f t="shared" si="2"/>
        <v>0</v>
      </c>
      <c r="E52" s="64">
        <f t="shared" si="3"/>
        <v>0</v>
      </c>
      <c r="F52" s="64">
        <f t="shared" si="4"/>
        <v>0</v>
      </c>
      <c r="G52" s="64">
        <f t="shared" si="5"/>
        <v>0</v>
      </c>
      <c r="H52" s="107"/>
      <c r="I52" s="64"/>
    </row>
    <row r="53" spans="2:9" x14ac:dyDescent="0.25">
      <c r="B53" s="2">
        <f t="shared" si="1"/>
        <v>37</v>
      </c>
      <c r="C53" s="14">
        <f t="shared" si="2"/>
        <v>0</v>
      </c>
      <c r="E53" s="64">
        <f t="shared" si="3"/>
        <v>0</v>
      </c>
      <c r="F53" s="64">
        <f t="shared" si="4"/>
        <v>0</v>
      </c>
      <c r="G53" s="64">
        <f t="shared" si="5"/>
        <v>0</v>
      </c>
      <c r="H53" s="107"/>
      <c r="I53" s="64"/>
    </row>
    <row r="54" spans="2:9" x14ac:dyDescent="0.25">
      <c r="B54" s="2">
        <f t="shared" si="1"/>
        <v>38</v>
      </c>
      <c r="C54" s="14">
        <f t="shared" si="2"/>
        <v>0</v>
      </c>
      <c r="E54" s="64">
        <f t="shared" si="3"/>
        <v>0</v>
      </c>
      <c r="F54" s="64">
        <f t="shared" si="4"/>
        <v>0</v>
      </c>
      <c r="G54" s="64">
        <f t="shared" si="5"/>
        <v>0</v>
      </c>
      <c r="H54" s="107"/>
      <c r="I54" s="64"/>
    </row>
    <row r="55" spans="2:9" x14ac:dyDescent="0.25">
      <c r="B55" s="2">
        <f t="shared" si="1"/>
        <v>39</v>
      </c>
      <c r="C55" s="14">
        <f t="shared" si="2"/>
        <v>0</v>
      </c>
      <c r="E55" s="64">
        <f t="shared" si="3"/>
        <v>0</v>
      </c>
      <c r="F55" s="64">
        <f t="shared" si="4"/>
        <v>0</v>
      </c>
      <c r="G55" s="64">
        <f t="shared" si="5"/>
        <v>0</v>
      </c>
      <c r="H55" s="107"/>
      <c r="I55" s="64"/>
    </row>
    <row r="56" spans="2:9" x14ac:dyDescent="0.25">
      <c r="B56" s="2">
        <f t="shared" si="1"/>
        <v>40</v>
      </c>
      <c r="C56" s="14">
        <f t="shared" si="2"/>
        <v>0</v>
      </c>
      <c r="E56" s="64">
        <f t="shared" si="3"/>
        <v>0</v>
      </c>
      <c r="F56" s="64">
        <f t="shared" si="4"/>
        <v>0</v>
      </c>
      <c r="G56" s="64">
        <f t="shared" si="5"/>
        <v>0</v>
      </c>
      <c r="H56" s="107"/>
      <c r="I56" s="64"/>
    </row>
    <row r="57" spans="2:9" x14ac:dyDescent="0.25">
      <c r="B57" s="2">
        <f t="shared" si="1"/>
        <v>41</v>
      </c>
      <c r="C57" s="14">
        <f t="shared" si="2"/>
        <v>0</v>
      </c>
      <c r="E57" s="64">
        <f t="shared" si="3"/>
        <v>0</v>
      </c>
      <c r="F57" s="64">
        <f t="shared" si="4"/>
        <v>0</v>
      </c>
      <c r="G57" s="64">
        <f t="shared" si="5"/>
        <v>0</v>
      </c>
      <c r="H57" s="107"/>
      <c r="I57" s="64"/>
    </row>
    <row r="58" spans="2:9" x14ac:dyDescent="0.25">
      <c r="B58" s="2">
        <f t="shared" si="1"/>
        <v>42</v>
      </c>
      <c r="C58" s="14">
        <f t="shared" si="2"/>
        <v>0</v>
      </c>
      <c r="E58" s="64">
        <f t="shared" si="3"/>
        <v>0</v>
      </c>
      <c r="F58" s="64">
        <f t="shared" si="4"/>
        <v>0</v>
      </c>
      <c r="G58" s="64">
        <f t="shared" si="5"/>
        <v>0</v>
      </c>
      <c r="H58" s="107"/>
      <c r="I58" s="64"/>
    </row>
    <row r="59" spans="2:9" x14ac:dyDescent="0.25">
      <c r="B59" s="2">
        <f t="shared" si="1"/>
        <v>43</v>
      </c>
      <c r="C59" s="14">
        <f t="shared" si="2"/>
        <v>0</v>
      </c>
      <c r="E59" s="64">
        <f t="shared" si="3"/>
        <v>0</v>
      </c>
      <c r="F59" s="64">
        <f t="shared" si="4"/>
        <v>0</v>
      </c>
      <c r="G59" s="64">
        <f t="shared" si="5"/>
        <v>0</v>
      </c>
      <c r="H59" s="107"/>
      <c r="I59" s="64"/>
    </row>
    <row r="60" spans="2:9" x14ac:dyDescent="0.25">
      <c r="B60" s="2">
        <f t="shared" si="1"/>
        <v>44</v>
      </c>
      <c r="C60" s="14">
        <f t="shared" si="2"/>
        <v>0</v>
      </c>
      <c r="E60" s="64">
        <f t="shared" si="3"/>
        <v>0</v>
      </c>
      <c r="F60" s="64">
        <f t="shared" si="4"/>
        <v>0</v>
      </c>
      <c r="G60" s="64">
        <f t="shared" si="5"/>
        <v>0</v>
      </c>
      <c r="H60" s="107"/>
      <c r="I60" s="64"/>
    </row>
    <row r="61" spans="2:9" x14ac:dyDescent="0.25">
      <c r="B61" s="2">
        <f t="shared" si="1"/>
        <v>45</v>
      </c>
      <c r="C61" s="14">
        <f t="shared" si="2"/>
        <v>0</v>
      </c>
      <c r="E61" s="64">
        <f t="shared" si="3"/>
        <v>0</v>
      </c>
      <c r="F61" s="64">
        <f t="shared" si="4"/>
        <v>0</v>
      </c>
      <c r="G61" s="64">
        <f t="shared" si="5"/>
        <v>0</v>
      </c>
      <c r="H61" s="107"/>
      <c r="I61" s="64"/>
    </row>
    <row r="62" spans="2:9" x14ac:dyDescent="0.25">
      <c r="B62" s="2">
        <f t="shared" si="1"/>
        <v>46</v>
      </c>
      <c r="C62" s="14">
        <f t="shared" si="2"/>
        <v>0</v>
      </c>
      <c r="E62" s="64">
        <f t="shared" si="3"/>
        <v>0</v>
      </c>
      <c r="F62" s="64">
        <f t="shared" si="4"/>
        <v>0</v>
      </c>
      <c r="G62" s="64">
        <f t="shared" si="5"/>
        <v>0</v>
      </c>
      <c r="H62" s="107"/>
      <c r="I62" s="64"/>
    </row>
    <row r="63" spans="2:9" x14ac:dyDescent="0.25">
      <c r="B63" s="2">
        <f t="shared" si="1"/>
        <v>47</v>
      </c>
      <c r="C63" s="14">
        <f t="shared" si="2"/>
        <v>0</v>
      </c>
      <c r="E63" s="64">
        <f t="shared" si="3"/>
        <v>0</v>
      </c>
      <c r="F63" s="64">
        <f t="shared" si="4"/>
        <v>0</v>
      </c>
      <c r="G63" s="64">
        <f t="shared" si="5"/>
        <v>0</v>
      </c>
      <c r="H63" s="107"/>
      <c r="I63" s="64"/>
    </row>
    <row r="64" spans="2:9" x14ac:dyDescent="0.25">
      <c r="B64" s="2">
        <f t="shared" si="1"/>
        <v>48</v>
      </c>
      <c r="C64" s="14">
        <f t="shared" si="2"/>
        <v>0</v>
      </c>
      <c r="E64" s="64">
        <f t="shared" si="3"/>
        <v>0</v>
      </c>
      <c r="F64" s="64">
        <f t="shared" si="4"/>
        <v>0</v>
      </c>
      <c r="G64" s="64">
        <f t="shared" si="5"/>
        <v>0</v>
      </c>
      <c r="H64" s="107"/>
      <c r="I64" s="64"/>
    </row>
    <row r="65" spans="2:9" x14ac:dyDescent="0.25">
      <c r="B65" s="2">
        <f t="shared" si="1"/>
        <v>49</v>
      </c>
      <c r="C65" s="14">
        <f t="shared" si="2"/>
        <v>0</v>
      </c>
      <c r="E65" s="64">
        <f t="shared" si="3"/>
        <v>0</v>
      </c>
      <c r="F65" s="64">
        <f t="shared" si="4"/>
        <v>0</v>
      </c>
      <c r="G65" s="64">
        <f t="shared" si="5"/>
        <v>0</v>
      </c>
      <c r="H65" s="107"/>
      <c r="I65" s="64"/>
    </row>
    <row r="66" spans="2:9" x14ac:dyDescent="0.25">
      <c r="B66" s="2">
        <f t="shared" si="1"/>
        <v>50</v>
      </c>
      <c r="C66" s="14">
        <f t="shared" si="2"/>
        <v>0</v>
      </c>
      <c r="E66" s="64">
        <f t="shared" si="3"/>
        <v>0</v>
      </c>
      <c r="F66" s="64">
        <f t="shared" si="4"/>
        <v>0</v>
      </c>
      <c r="G66" s="64">
        <f t="shared" si="5"/>
        <v>0</v>
      </c>
      <c r="H66" s="107"/>
      <c r="I66" s="64"/>
    </row>
    <row r="67" spans="2:9" x14ac:dyDescent="0.25">
      <c r="B67" s="2">
        <f t="shared" si="1"/>
        <v>51</v>
      </c>
      <c r="C67" s="14">
        <f t="shared" si="2"/>
        <v>0</v>
      </c>
      <c r="E67" s="64">
        <f t="shared" si="3"/>
        <v>0</v>
      </c>
      <c r="F67" s="64">
        <f t="shared" si="4"/>
        <v>0</v>
      </c>
      <c r="G67" s="64">
        <f t="shared" si="5"/>
        <v>0</v>
      </c>
      <c r="H67" s="107"/>
      <c r="I67" s="64"/>
    </row>
    <row r="68" spans="2:9" x14ac:dyDescent="0.25">
      <c r="B68" s="2">
        <f t="shared" si="1"/>
        <v>52</v>
      </c>
      <c r="C68" s="14">
        <f t="shared" si="2"/>
        <v>0</v>
      </c>
      <c r="E68" s="64">
        <f t="shared" si="3"/>
        <v>0</v>
      </c>
      <c r="F68" s="64">
        <f t="shared" si="4"/>
        <v>0</v>
      </c>
      <c r="G68" s="64">
        <f t="shared" si="5"/>
        <v>0</v>
      </c>
      <c r="H68" s="107"/>
      <c r="I68" s="64"/>
    </row>
    <row r="69" spans="2:9" x14ac:dyDescent="0.25">
      <c r="B69" s="2">
        <f t="shared" si="1"/>
        <v>53</v>
      </c>
      <c r="C69" s="14">
        <f t="shared" si="2"/>
        <v>0</v>
      </c>
      <c r="E69" s="64">
        <f t="shared" si="3"/>
        <v>0</v>
      </c>
      <c r="F69" s="64">
        <f t="shared" si="4"/>
        <v>0</v>
      </c>
      <c r="G69" s="64">
        <f t="shared" si="5"/>
        <v>0</v>
      </c>
      <c r="H69" s="107"/>
      <c r="I69" s="64"/>
    </row>
    <row r="70" spans="2:9" x14ac:dyDescent="0.25">
      <c r="B70" s="2">
        <f t="shared" si="1"/>
        <v>54</v>
      </c>
      <c r="C70" s="14">
        <f t="shared" si="2"/>
        <v>0</v>
      </c>
      <c r="E70" s="64">
        <f t="shared" si="3"/>
        <v>0</v>
      </c>
      <c r="F70" s="64">
        <f t="shared" si="4"/>
        <v>0</v>
      </c>
      <c r="G70" s="64">
        <f t="shared" si="5"/>
        <v>0</v>
      </c>
      <c r="H70" s="107"/>
      <c r="I70" s="64"/>
    </row>
    <row r="71" spans="2:9" x14ac:dyDescent="0.25">
      <c r="B71" s="2">
        <f t="shared" si="1"/>
        <v>55</v>
      </c>
      <c r="C71" s="14">
        <f t="shared" si="2"/>
        <v>0</v>
      </c>
      <c r="E71" s="64">
        <f t="shared" si="3"/>
        <v>0</v>
      </c>
      <c r="F71" s="64">
        <f t="shared" si="4"/>
        <v>0</v>
      </c>
      <c r="G71" s="64">
        <f t="shared" si="5"/>
        <v>0</v>
      </c>
      <c r="H71" s="107"/>
      <c r="I71" s="64"/>
    </row>
    <row r="72" spans="2:9" x14ac:dyDescent="0.25">
      <c r="B72" s="2">
        <f t="shared" si="1"/>
        <v>56</v>
      </c>
      <c r="C72" s="14">
        <f t="shared" si="2"/>
        <v>0</v>
      </c>
      <c r="E72" s="64">
        <f t="shared" si="3"/>
        <v>0</v>
      </c>
      <c r="F72" s="64">
        <f t="shared" si="4"/>
        <v>0</v>
      </c>
      <c r="G72" s="64">
        <f t="shared" si="5"/>
        <v>0</v>
      </c>
      <c r="H72" s="107"/>
      <c r="I72" s="64"/>
    </row>
    <row r="73" spans="2:9" x14ac:dyDescent="0.25">
      <c r="B73" s="2">
        <f t="shared" si="1"/>
        <v>57</v>
      </c>
      <c r="C73" s="14">
        <f t="shared" si="2"/>
        <v>0</v>
      </c>
      <c r="E73" s="64">
        <f t="shared" si="3"/>
        <v>0</v>
      </c>
      <c r="F73" s="64">
        <f t="shared" si="4"/>
        <v>0</v>
      </c>
      <c r="G73" s="64">
        <f t="shared" si="5"/>
        <v>0</v>
      </c>
      <c r="H73" s="107"/>
      <c r="I73" s="64"/>
    </row>
    <row r="74" spans="2:9" x14ac:dyDescent="0.25">
      <c r="B74" s="2">
        <f t="shared" si="1"/>
        <v>58</v>
      </c>
      <c r="C74" s="14">
        <f t="shared" si="2"/>
        <v>0</v>
      </c>
      <c r="E74" s="64">
        <f t="shared" si="3"/>
        <v>0</v>
      </c>
      <c r="F74" s="64">
        <f t="shared" si="4"/>
        <v>0</v>
      </c>
      <c r="G74" s="64">
        <f t="shared" si="5"/>
        <v>0</v>
      </c>
      <c r="H74" s="107"/>
      <c r="I74" s="64"/>
    </row>
    <row r="75" spans="2:9" x14ac:dyDescent="0.25">
      <c r="B75" s="2">
        <f t="shared" si="1"/>
        <v>59</v>
      </c>
      <c r="C75" s="14">
        <f t="shared" si="2"/>
        <v>0</v>
      </c>
      <c r="E75" s="64">
        <f t="shared" si="3"/>
        <v>0</v>
      </c>
      <c r="F75" s="64">
        <f t="shared" si="4"/>
        <v>0</v>
      </c>
      <c r="G75" s="64">
        <f t="shared" si="5"/>
        <v>0</v>
      </c>
      <c r="H75" s="107"/>
      <c r="I75" s="64"/>
    </row>
    <row r="76" spans="2:9" x14ac:dyDescent="0.25">
      <c r="B76" s="2">
        <f t="shared" si="1"/>
        <v>60</v>
      </c>
      <c r="C76" s="14">
        <f t="shared" si="2"/>
        <v>0</v>
      </c>
      <c r="E76" s="64">
        <f t="shared" si="3"/>
        <v>0</v>
      </c>
      <c r="F76" s="64">
        <f t="shared" si="4"/>
        <v>0</v>
      </c>
      <c r="G76" s="64">
        <f t="shared" si="5"/>
        <v>0</v>
      </c>
      <c r="H76" s="107"/>
      <c r="I76" s="64"/>
    </row>
    <row r="77" spans="2:9" x14ac:dyDescent="0.25">
      <c r="B77" s="2">
        <f t="shared" si="1"/>
        <v>61</v>
      </c>
      <c r="C77" s="14">
        <f t="shared" si="2"/>
        <v>0</v>
      </c>
      <c r="E77" s="64">
        <f t="shared" si="3"/>
        <v>0</v>
      </c>
      <c r="F77" s="64">
        <f t="shared" si="4"/>
        <v>0</v>
      </c>
      <c r="G77" s="64">
        <f t="shared" si="5"/>
        <v>0</v>
      </c>
      <c r="H77" s="107"/>
      <c r="I77" s="64"/>
    </row>
    <row r="78" spans="2:9" x14ac:dyDescent="0.25">
      <c r="B78" s="2">
        <f t="shared" si="1"/>
        <v>62</v>
      </c>
      <c r="C78" s="14">
        <f t="shared" si="2"/>
        <v>0</v>
      </c>
      <c r="E78" s="64">
        <f t="shared" si="3"/>
        <v>0</v>
      </c>
      <c r="F78" s="64">
        <f t="shared" si="4"/>
        <v>0</v>
      </c>
      <c r="G78" s="64">
        <f t="shared" si="5"/>
        <v>0</v>
      </c>
      <c r="H78" s="107"/>
      <c r="I78" s="64"/>
    </row>
    <row r="79" spans="2:9" x14ac:dyDescent="0.25">
      <c r="B79" s="2">
        <f t="shared" si="1"/>
        <v>63</v>
      </c>
      <c r="C79" s="14">
        <f t="shared" si="2"/>
        <v>0</v>
      </c>
      <c r="E79" s="64">
        <f t="shared" si="3"/>
        <v>0</v>
      </c>
      <c r="F79" s="64">
        <f t="shared" si="4"/>
        <v>0</v>
      </c>
      <c r="G79" s="64">
        <f t="shared" si="5"/>
        <v>0</v>
      </c>
      <c r="H79" s="107"/>
      <c r="I79" s="64"/>
    </row>
    <row r="80" spans="2:9" x14ac:dyDescent="0.25">
      <c r="B80" s="2">
        <f t="shared" si="1"/>
        <v>64</v>
      </c>
      <c r="C80" s="14">
        <f t="shared" si="2"/>
        <v>0</v>
      </c>
      <c r="E80" s="64">
        <f t="shared" si="3"/>
        <v>0</v>
      </c>
      <c r="F80" s="64">
        <f t="shared" si="4"/>
        <v>0</v>
      </c>
      <c r="G80" s="64">
        <f t="shared" si="5"/>
        <v>0</v>
      </c>
      <c r="H80" s="107"/>
      <c r="I80" s="64"/>
    </row>
    <row r="81" spans="2:9" x14ac:dyDescent="0.25">
      <c r="B81" s="2">
        <f t="shared" si="1"/>
        <v>65</v>
      </c>
      <c r="C81" s="14">
        <f t="shared" si="2"/>
        <v>0</v>
      </c>
      <c r="E81" s="64">
        <f t="shared" si="3"/>
        <v>0</v>
      </c>
      <c r="F81" s="64">
        <f t="shared" si="4"/>
        <v>0</v>
      </c>
      <c r="G81" s="64">
        <f t="shared" si="5"/>
        <v>0</v>
      </c>
      <c r="H81" s="107"/>
      <c r="I81" s="64"/>
    </row>
    <row r="82" spans="2:9" x14ac:dyDescent="0.25">
      <c r="B82" s="2">
        <f t="shared" ref="B82:B145" si="6">B81+1</f>
        <v>66</v>
      </c>
      <c r="C82" s="14">
        <f t="shared" ref="C82:C145" si="7">$E$8</f>
        <v>0</v>
      </c>
      <c r="E82" s="64">
        <f t="shared" ref="E82:E145" si="8">G81*$E$9/12</f>
        <v>0</v>
      </c>
      <c r="F82" s="64">
        <f t="shared" ref="F82:F145" si="9">C82-E82</f>
        <v>0</v>
      </c>
      <c r="G82" s="64">
        <f t="shared" ref="G82:G145" si="10">G81-F82</f>
        <v>0</v>
      </c>
      <c r="H82" s="107"/>
      <c r="I82" s="64"/>
    </row>
    <row r="83" spans="2:9" x14ac:dyDescent="0.25">
      <c r="B83" s="2">
        <f t="shared" si="6"/>
        <v>67</v>
      </c>
      <c r="C83" s="14">
        <f t="shared" si="7"/>
        <v>0</v>
      </c>
      <c r="E83" s="64">
        <f t="shared" si="8"/>
        <v>0</v>
      </c>
      <c r="F83" s="64">
        <f t="shared" si="9"/>
        <v>0</v>
      </c>
      <c r="G83" s="64">
        <f t="shared" si="10"/>
        <v>0</v>
      </c>
      <c r="H83" s="107"/>
      <c r="I83" s="64"/>
    </row>
    <row r="84" spans="2:9" x14ac:dyDescent="0.25">
      <c r="B84" s="2">
        <f t="shared" si="6"/>
        <v>68</v>
      </c>
      <c r="C84" s="14">
        <f t="shared" si="7"/>
        <v>0</v>
      </c>
      <c r="E84" s="64">
        <f t="shared" si="8"/>
        <v>0</v>
      </c>
      <c r="F84" s="64">
        <f t="shared" si="9"/>
        <v>0</v>
      </c>
      <c r="G84" s="64">
        <f t="shared" si="10"/>
        <v>0</v>
      </c>
      <c r="H84" s="107"/>
      <c r="I84" s="64"/>
    </row>
    <row r="85" spans="2:9" x14ac:dyDescent="0.25">
      <c r="B85" s="2">
        <f t="shared" si="6"/>
        <v>69</v>
      </c>
      <c r="C85" s="14">
        <f t="shared" si="7"/>
        <v>0</v>
      </c>
      <c r="E85" s="64">
        <f t="shared" si="8"/>
        <v>0</v>
      </c>
      <c r="F85" s="64">
        <f t="shared" si="9"/>
        <v>0</v>
      </c>
      <c r="G85" s="64">
        <f t="shared" si="10"/>
        <v>0</v>
      </c>
      <c r="H85" s="107"/>
      <c r="I85" s="64"/>
    </row>
    <row r="86" spans="2:9" x14ac:dyDescent="0.25">
      <c r="B86" s="2">
        <f t="shared" si="6"/>
        <v>70</v>
      </c>
      <c r="C86" s="14">
        <f t="shared" si="7"/>
        <v>0</v>
      </c>
      <c r="E86" s="64">
        <f t="shared" si="8"/>
        <v>0</v>
      </c>
      <c r="F86" s="64">
        <f t="shared" si="9"/>
        <v>0</v>
      </c>
      <c r="G86" s="64">
        <f t="shared" si="10"/>
        <v>0</v>
      </c>
      <c r="H86" s="107"/>
      <c r="I86" s="64"/>
    </row>
    <row r="87" spans="2:9" x14ac:dyDescent="0.25">
      <c r="B87" s="2">
        <f t="shared" si="6"/>
        <v>71</v>
      </c>
      <c r="C87" s="14">
        <f t="shared" si="7"/>
        <v>0</v>
      </c>
      <c r="E87" s="64">
        <f t="shared" si="8"/>
        <v>0</v>
      </c>
      <c r="F87" s="64">
        <f t="shared" si="9"/>
        <v>0</v>
      </c>
      <c r="G87" s="64">
        <f t="shared" si="10"/>
        <v>0</v>
      </c>
      <c r="H87" s="107"/>
      <c r="I87" s="64"/>
    </row>
    <row r="88" spans="2:9" x14ac:dyDescent="0.25">
      <c r="B88" s="2">
        <f t="shared" si="6"/>
        <v>72</v>
      </c>
      <c r="C88" s="14">
        <f t="shared" si="7"/>
        <v>0</v>
      </c>
      <c r="E88" s="64">
        <f t="shared" si="8"/>
        <v>0</v>
      </c>
      <c r="F88" s="64">
        <f t="shared" si="9"/>
        <v>0</v>
      </c>
      <c r="G88" s="64">
        <f t="shared" si="10"/>
        <v>0</v>
      </c>
      <c r="H88" s="107"/>
      <c r="I88" s="64"/>
    </row>
    <row r="89" spans="2:9" x14ac:dyDescent="0.25">
      <c r="B89" s="2">
        <f t="shared" si="6"/>
        <v>73</v>
      </c>
      <c r="C89" s="14">
        <f t="shared" si="7"/>
        <v>0</v>
      </c>
      <c r="E89" s="64">
        <f t="shared" si="8"/>
        <v>0</v>
      </c>
      <c r="F89" s="64">
        <f t="shared" si="9"/>
        <v>0</v>
      </c>
      <c r="G89" s="64">
        <f t="shared" si="10"/>
        <v>0</v>
      </c>
      <c r="H89" s="107"/>
      <c r="I89" s="64"/>
    </row>
    <row r="90" spans="2:9" x14ac:dyDescent="0.25">
      <c r="B90" s="2">
        <f t="shared" si="6"/>
        <v>74</v>
      </c>
      <c r="C90" s="14">
        <f t="shared" si="7"/>
        <v>0</v>
      </c>
      <c r="E90" s="64">
        <f t="shared" si="8"/>
        <v>0</v>
      </c>
      <c r="F90" s="64">
        <f t="shared" si="9"/>
        <v>0</v>
      </c>
      <c r="G90" s="64">
        <f t="shared" si="10"/>
        <v>0</v>
      </c>
      <c r="H90" s="107"/>
      <c r="I90" s="64"/>
    </row>
    <row r="91" spans="2:9" x14ac:dyDescent="0.25">
      <c r="B91" s="2">
        <f t="shared" si="6"/>
        <v>75</v>
      </c>
      <c r="C91" s="14">
        <f t="shared" si="7"/>
        <v>0</v>
      </c>
      <c r="E91" s="64">
        <f t="shared" si="8"/>
        <v>0</v>
      </c>
      <c r="F91" s="64">
        <f t="shared" si="9"/>
        <v>0</v>
      </c>
      <c r="G91" s="64">
        <f t="shared" si="10"/>
        <v>0</v>
      </c>
      <c r="H91" s="107"/>
      <c r="I91" s="64"/>
    </row>
    <row r="92" spans="2:9" x14ac:dyDescent="0.25">
      <c r="B92" s="2">
        <f t="shared" si="6"/>
        <v>76</v>
      </c>
      <c r="C92" s="14">
        <f t="shared" si="7"/>
        <v>0</v>
      </c>
      <c r="E92" s="64">
        <f t="shared" si="8"/>
        <v>0</v>
      </c>
      <c r="F92" s="64">
        <f t="shared" si="9"/>
        <v>0</v>
      </c>
      <c r="G92" s="64">
        <f t="shared" si="10"/>
        <v>0</v>
      </c>
      <c r="H92" s="107"/>
      <c r="I92" s="64"/>
    </row>
    <row r="93" spans="2:9" x14ac:dyDescent="0.25">
      <c r="B93" s="2">
        <f t="shared" si="6"/>
        <v>77</v>
      </c>
      <c r="C93" s="14">
        <f t="shared" si="7"/>
        <v>0</v>
      </c>
      <c r="E93" s="64">
        <f t="shared" si="8"/>
        <v>0</v>
      </c>
      <c r="F93" s="64">
        <f t="shared" si="9"/>
        <v>0</v>
      </c>
      <c r="G93" s="64">
        <f t="shared" si="10"/>
        <v>0</v>
      </c>
      <c r="H93" s="107"/>
      <c r="I93" s="64"/>
    </row>
    <row r="94" spans="2:9" x14ac:dyDescent="0.25">
      <c r="B94" s="2">
        <f t="shared" si="6"/>
        <v>78</v>
      </c>
      <c r="C94" s="14">
        <f t="shared" si="7"/>
        <v>0</v>
      </c>
      <c r="E94" s="64">
        <f t="shared" si="8"/>
        <v>0</v>
      </c>
      <c r="F94" s="64">
        <f t="shared" si="9"/>
        <v>0</v>
      </c>
      <c r="G94" s="64">
        <f t="shared" si="10"/>
        <v>0</v>
      </c>
      <c r="H94" s="107"/>
      <c r="I94" s="64"/>
    </row>
    <row r="95" spans="2:9" x14ac:dyDescent="0.25">
      <c r="B95" s="2">
        <f t="shared" si="6"/>
        <v>79</v>
      </c>
      <c r="C95" s="14">
        <f t="shared" si="7"/>
        <v>0</v>
      </c>
      <c r="E95" s="64">
        <f t="shared" si="8"/>
        <v>0</v>
      </c>
      <c r="F95" s="64">
        <f t="shared" si="9"/>
        <v>0</v>
      </c>
      <c r="G95" s="64">
        <f t="shared" si="10"/>
        <v>0</v>
      </c>
      <c r="H95" s="107"/>
      <c r="I95" s="64"/>
    </row>
    <row r="96" spans="2:9" x14ac:dyDescent="0.25">
      <c r="B96" s="2">
        <f t="shared" si="6"/>
        <v>80</v>
      </c>
      <c r="C96" s="14">
        <f t="shared" si="7"/>
        <v>0</v>
      </c>
      <c r="E96" s="64">
        <f t="shared" si="8"/>
        <v>0</v>
      </c>
      <c r="F96" s="64">
        <f t="shared" si="9"/>
        <v>0</v>
      </c>
      <c r="G96" s="64">
        <f t="shared" si="10"/>
        <v>0</v>
      </c>
      <c r="H96" s="107"/>
      <c r="I96" s="64"/>
    </row>
    <row r="97" spans="2:9" x14ac:dyDescent="0.25">
      <c r="B97" s="2">
        <f t="shared" si="6"/>
        <v>81</v>
      </c>
      <c r="C97" s="14">
        <f t="shared" si="7"/>
        <v>0</v>
      </c>
      <c r="E97" s="64">
        <f t="shared" si="8"/>
        <v>0</v>
      </c>
      <c r="F97" s="64">
        <f t="shared" si="9"/>
        <v>0</v>
      </c>
      <c r="G97" s="64">
        <f t="shared" si="10"/>
        <v>0</v>
      </c>
      <c r="H97" s="107"/>
      <c r="I97" s="64"/>
    </row>
    <row r="98" spans="2:9" x14ac:dyDescent="0.25">
      <c r="B98" s="2">
        <f t="shared" si="6"/>
        <v>82</v>
      </c>
      <c r="C98" s="14">
        <f t="shared" si="7"/>
        <v>0</v>
      </c>
      <c r="E98" s="64">
        <f t="shared" si="8"/>
        <v>0</v>
      </c>
      <c r="F98" s="64">
        <f t="shared" si="9"/>
        <v>0</v>
      </c>
      <c r="G98" s="64">
        <f t="shared" si="10"/>
        <v>0</v>
      </c>
      <c r="H98" s="107"/>
      <c r="I98" s="64"/>
    </row>
    <row r="99" spans="2:9" x14ac:dyDescent="0.25">
      <c r="B99" s="2">
        <f t="shared" si="6"/>
        <v>83</v>
      </c>
      <c r="C99" s="14">
        <f t="shared" si="7"/>
        <v>0</v>
      </c>
      <c r="E99" s="64">
        <f t="shared" si="8"/>
        <v>0</v>
      </c>
      <c r="F99" s="64">
        <f t="shared" si="9"/>
        <v>0</v>
      </c>
      <c r="G99" s="64">
        <f t="shared" si="10"/>
        <v>0</v>
      </c>
      <c r="H99" s="107"/>
      <c r="I99" s="64"/>
    </row>
    <row r="100" spans="2:9" x14ac:dyDescent="0.25">
      <c r="B100" s="2">
        <f t="shared" si="6"/>
        <v>84</v>
      </c>
      <c r="C100" s="14">
        <f t="shared" si="7"/>
        <v>0</v>
      </c>
      <c r="E100" s="64">
        <f t="shared" si="8"/>
        <v>0</v>
      </c>
      <c r="F100" s="64">
        <f t="shared" si="9"/>
        <v>0</v>
      </c>
      <c r="G100" s="64">
        <f t="shared" si="10"/>
        <v>0</v>
      </c>
      <c r="H100" s="107"/>
      <c r="I100" s="64"/>
    </row>
    <row r="101" spans="2:9" x14ac:dyDescent="0.25">
      <c r="B101" s="2">
        <f t="shared" si="6"/>
        <v>85</v>
      </c>
      <c r="C101" s="14">
        <f t="shared" si="7"/>
        <v>0</v>
      </c>
      <c r="E101" s="64">
        <f t="shared" si="8"/>
        <v>0</v>
      </c>
      <c r="F101" s="64">
        <f t="shared" si="9"/>
        <v>0</v>
      </c>
      <c r="G101" s="64">
        <f t="shared" si="10"/>
        <v>0</v>
      </c>
      <c r="H101" s="107"/>
      <c r="I101" s="64"/>
    </row>
    <row r="102" spans="2:9" x14ac:dyDescent="0.25">
      <c r="B102" s="2">
        <f t="shared" si="6"/>
        <v>86</v>
      </c>
      <c r="C102" s="14">
        <f t="shared" si="7"/>
        <v>0</v>
      </c>
      <c r="E102" s="64">
        <f t="shared" si="8"/>
        <v>0</v>
      </c>
      <c r="F102" s="64">
        <f t="shared" si="9"/>
        <v>0</v>
      </c>
      <c r="G102" s="64">
        <f t="shared" si="10"/>
        <v>0</v>
      </c>
      <c r="H102" s="107"/>
      <c r="I102" s="64"/>
    </row>
    <row r="103" spans="2:9" x14ac:dyDescent="0.25">
      <c r="B103" s="2">
        <f t="shared" si="6"/>
        <v>87</v>
      </c>
      <c r="C103" s="14">
        <f t="shared" si="7"/>
        <v>0</v>
      </c>
      <c r="E103" s="64">
        <f t="shared" si="8"/>
        <v>0</v>
      </c>
      <c r="F103" s="64">
        <f t="shared" si="9"/>
        <v>0</v>
      </c>
      <c r="G103" s="64">
        <f t="shared" si="10"/>
        <v>0</v>
      </c>
      <c r="H103" s="107"/>
      <c r="I103" s="64"/>
    </row>
    <row r="104" spans="2:9" x14ac:dyDescent="0.25">
      <c r="B104" s="2">
        <f t="shared" si="6"/>
        <v>88</v>
      </c>
      <c r="C104" s="14">
        <f t="shared" si="7"/>
        <v>0</v>
      </c>
      <c r="E104" s="64">
        <f t="shared" si="8"/>
        <v>0</v>
      </c>
      <c r="F104" s="64">
        <f t="shared" si="9"/>
        <v>0</v>
      </c>
      <c r="G104" s="64">
        <f t="shared" si="10"/>
        <v>0</v>
      </c>
      <c r="H104" s="107"/>
      <c r="I104" s="64"/>
    </row>
    <row r="105" spans="2:9" x14ac:dyDescent="0.25">
      <c r="B105" s="2">
        <f t="shared" si="6"/>
        <v>89</v>
      </c>
      <c r="C105" s="14">
        <f t="shared" si="7"/>
        <v>0</v>
      </c>
      <c r="E105" s="64">
        <f t="shared" si="8"/>
        <v>0</v>
      </c>
      <c r="F105" s="64">
        <f t="shared" si="9"/>
        <v>0</v>
      </c>
      <c r="G105" s="64">
        <f t="shared" si="10"/>
        <v>0</v>
      </c>
      <c r="H105" s="107"/>
      <c r="I105" s="64"/>
    </row>
    <row r="106" spans="2:9" x14ac:dyDescent="0.25">
      <c r="B106" s="2">
        <f t="shared" si="6"/>
        <v>90</v>
      </c>
      <c r="C106" s="14">
        <f t="shared" si="7"/>
        <v>0</v>
      </c>
      <c r="E106" s="64">
        <f t="shared" si="8"/>
        <v>0</v>
      </c>
      <c r="F106" s="64">
        <f t="shared" si="9"/>
        <v>0</v>
      </c>
      <c r="G106" s="64">
        <f t="shared" si="10"/>
        <v>0</v>
      </c>
      <c r="H106" s="107"/>
      <c r="I106" s="64"/>
    </row>
    <row r="107" spans="2:9" x14ac:dyDescent="0.25">
      <c r="B107" s="2">
        <f t="shared" si="6"/>
        <v>91</v>
      </c>
      <c r="C107" s="14">
        <f t="shared" si="7"/>
        <v>0</v>
      </c>
      <c r="E107" s="64">
        <f t="shared" si="8"/>
        <v>0</v>
      </c>
      <c r="F107" s="64">
        <f t="shared" si="9"/>
        <v>0</v>
      </c>
      <c r="G107" s="64">
        <f t="shared" si="10"/>
        <v>0</v>
      </c>
      <c r="H107" s="107"/>
      <c r="I107" s="64"/>
    </row>
    <row r="108" spans="2:9" x14ac:dyDescent="0.25">
      <c r="B108" s="2">
        <f t="shared" si="6"/>
        <v>92</v>
      </c>
      <c r="C108" s="14">
        <f t="shared" si="7"/>
        <v>0</v>
      </c>
      <c r="E108" s="64">
        <f t="shared" si="8"/>
        <v>0</v>
      </c>
      <c r="F108" s="64">
        <f t="shared" si="9"/>
        <v>0</v>
      </c>
      <c r="G108" s="64">
        <f t="shared" si="10"/>
        <v>0</v>
      </c>
      <c r="H108" s="107"/>
      <c r="I108" s="64"/>
    </row>
    <row r="109" spans="2:9" x14ac:dyDescent="0.25">
      <c r="B109" s="2">
        <f t="shared" si="6"/>
        <v>93</v>
      </c>
      <c r="C109" s="14">
        <f t="shared" si="7"/>
        <v>0</v>
      </c>
      <c r="E109" s="64">
        <f t="shared" si="8"/>
        <v>0</v>
      </c>
      <c r="F109" s="64">
        <f t="shared" si="9"/>
        <v>0</v>
      </c>
      <c r="G109" s="64">
        <f t="shared" si="10"/>
        <v>0</v>
      </c>
      <c r="H109" s="107"/>
      <c r="I109" s="64"/>
    </row>
    <row r="110" spans="2:9" x14ac:dyDescent="0.25">
      <c r="B110" s="2">
        <f t="shared" si="6"/>
        <v>94</v>
      </c>
      <c r="C110" s="14">
        <f t="shared" si="7"/>
        <v>0</v>
      </c>
      <c r="E110" s="64">
        <f t="shared" si="8"/>
        <v>0</v>
      </c>
      <c r="F110" s="64">
        <f t="shared" si="9"/>
        <v>0</v>
      </c>
      <c r="G110" s="64">
        <f t="shared" si="10"/>
        <v>0</v>
      </c>
      <c r="H110" s="107"/>
      <c r="I110" s="64"/>
    </row>
    <row r="111" spans="2:9" x14ac:dyDescent="0.25">
      <c r="B111" s="2">
        <f t="shared" si="6"/>
        <v>95</v>
      </c>
      <c r="C111" s="14">
        <f t="shared" si="7"/>
        <v>0</v>
      </c>
      <c r="E111" s="64">
        <f t="shared" si="8"/>
        <v>0</v>
      </c>
      <c r="F111" s="64">
        <f t="shared" si="9"/>
        <v>0</v>
      </c>
      <c r="G111" s="64">
        <f t="shared" si="10"/>
        <v>0</v>
      </c>
      <c r="H111" s="107"/>
      <c r="I111" s="64"/>
    </row>
    <row r="112" spans="2:9" x14ac:dyDescent="0.25">
      <c r="B112" s="2">
        <f t="shared" si="6"/>
        <v>96</v>
      </c>
      <c r="C112" s="14">
        <f t="shared" si="7"/>
        <v>0</v>
      </c>
      <c r="E112" s="64">
        <f t="shared" si="8"/>
        <v>0</v>
      </c>
      <c r="F112" s="64">
        <f t="shared" si="9"/>
        <v>0</v>
      </c>
      <c r="G112" s="64">
        <f t="shared" si="10"/>
        <v>0</v>
      </c>
      <c r="H112" s="107"/>
      <c r="I112" s="64"/>
    </row>
    <row r="113" spans="2:9" x14ac:dyDescent="0.25">
      <c r="B113" s="2">
        <f t="shared" si="6"/>
        <v>97</v>
      </c>
      <c r="C113" s="14">
        <f t="shared" si="7"/>
        <v>0</v>
      </c>
      <c r="E113" s="64">
        <f t="shared" si="8"/>
        <v>0</v>
      </c>
      <c r="F113" s="64">
        <f t="shared" si="9"/>
        <v>0</v>
      </c>
      <c r="G113" s="64">
        <f t="shared" si="10"/>
        <v>0</v>
      </c>
      <c r="H113" s="107"/>
      <c r="I113" s="64"/>
    </row>
    <row r="114" spans="2:9" x14ac:dyDescent="0.25">
      <c r="B114" s="2">
        <f t="shared" si="6"/>
        <v>98</v>
      </c>
      <c r="C114" s="14">
        <f t="shared" si="7"/>
        <v>0</v>
      </c>
      <c r="E114" s="64">
        <f t="shared" si="8"/>
        <v>0</v>
      </c>
      <c r="F114" s="64">
        <f t="shared" si="9"/>
        <v>0</v>
      </c>
      <c r="G114" s="64">
        <f t="shared" si="10"/>
        <v>0</v>
      </c>
      <c r="H114" s="107"/>
      <c r="I114" s="64"/>
    </row>
    <row r="115" spans="2:9" x14ac:dyDescent="0.25">
      <c r="B115" s="2">
        <f t="shared" si="6"/>
        <v>99</v>
      </c>
      <c r="C115" s="14">
        <f t="shared" si="7"/>
        <v>0</v>
      </c>
      <c r="E115" s="64">
        <f t="shared" si="8"/>
        <v>0</v>
      </c>
      <c r="F115" s="64">
        <f t="shared" si="9"/>
        <v>0</v>
      </c>
      <c r="G115" s="64">
        <f t="shared" si="10"/>
        <v>0</v>
      </c>
      <c r="H115" s="107"/>
      <c r="I115" s="64"/>
    </row>
    <row r="116" spans="2:9" x14ac:dyDescent="0.25">
      <c r="B116" s="2">
        <f t="shared" si="6"/>
        <v>100</v>
      </c>
      <c r="C116" s="14">
        <f t="shared" si="7"/>
        <v>0</v>
      </c>
      <c r="E116" s="64">
        <f t="shared" si="8"/>
        <v>0</v>
      </c>
      <c r="F116" s="64">
        <f t="shared" si="9"/>
        <v>0</v>
      </c>
      <c r="G116" s="64">
        <f t="shared" si="10"/>
        <v>0</v>
      </c>
      <c r="H116" s="107"/>
      <c r="I116" s="64"/>
    </row>
    <row r="117" spans="2:9" x14ac:dyDescent="0.25">
      <c r="B117" s="2">
        <f t="shared" si="6"/>
        <v>101</v>
      </c>
      <c r="C117" s="14">
        <f t="shared" si="7"/>
        <v>0</v>
      </c>
      <c r="E117" s="64">
        <f t="shared" si="8"/>
        <v>0</v>
      </c>
      <c r="F117" s="64">
        <f t="shared" si="9"/>
        <v>0</v>
      </c>
      <c r="G117" s="64">
        <f t="shared" si="10"/>
        <v>0</v>
      </c>
      <c r="H117" s="107"/>
      <c r="I117" s="64"/>
    </row>
    <row r="118" spans="2:9" x14ac:dyDescent="0.25">
      <c r="B118" s="2">
        <f t="shared" si="6"/>
        <v>102</v>
      </c>
      <c r="C118" s="14">
        <f t="shared" si="7"/>
        <v>0</v>
      </c>
      <c r="E118" s="64">
        <f t="shared" si="8"/>
        <v>0</v>
      </c>
      <c r="F118" s="64">
        <f t="shared" si="9"/>
        <v>0</v>
      </c>
      <c r="G118" s="64">
        <f t="shared" si="10"/>
        <v>0</v>
      </c>
      <c r="H118" s="107"/>
      <c r="I118" s="64"/>
    </row>
    <row r="119" spans="2:9" x14ac:dyDescent="0.25">
      <c r="B119" s="2">
        <f t="shared" si="6"/>
        <v>103</v>
      </c>
      <c r="C119" s="14">
        <f t="shared" si="7"/>
        <v>0</v>
      </c>
      <c r="E119" s="64">
        <f t="shared" si="8"/>
        <v>0</v>
      </c>
      <c r="F119" s="64">
        <f t="shared" si="9"/>
        <v>0</v>
      </c>
      <c r="G119" s="64">
        <f t="shared" si="10"/>
        <v>0</v>
      </c>
      <c r="H119" s="107"/>
      <c r="I119" s="64"/>
    </row>
    <row r="120" spans="2:9" x14ac:dyDescent="0.25">
      <c r="B120" s="2">
        <f t="shared" si="6"/>
        <v>104</v>
      </c>
      <c r="C120" s="14">
        <f t="shared" si="7"/>
        <v>0</v>
      </c>
      <c r="E120" s="64">
        <f t="shared" si="8"/>
        <v>0</v>
      </c>
      <c r="F120" s="64">
        <f t="shared" si="9"/>
        <v>0</v>
      </c>
      <c r="G120" s="64">
        <f t="shared" si="10"/>
        <v>0</v>
      </c>
      <c r="H120" s="107"/>
      <c r="I120" s="64"/>
    </row>
    <row r="121" spans="2:9" x14ac:dyDescent="0.25">
      <c r="B121" s="2">
        <f t="shared" si="6"/>
        <v>105</v>
      </c>
      <c r="C121" s="14">
        <f t="shared" si="7"/>
        <v>0</v>
      </c>
      <c r="E121" s="64">
        <f t="shared" si="8"/>
        <v>0</v>
      </c>
      <c r="F121" s="64">
        <f t="shared" si="9"/>
        <v>0</v>
      </c>
      <c r="G121" s="64">
        <f t="shared" si="10"/>
        <v>0</v>
      </c>
      <c r="H121" s="107"/>
      <c r="I121" s="64"/>
    </row>
    <row r="122" spans="2:9" x14ac:dyDescent="0.25">
      <c r="B122" s="2">
        <f t="shared" si="6"/>
        <v>106</v>
      </c>
      <c r="C122" s="14">
        <f t="shared" si="7"/>
        <v>0</v>
      </c>
      <c r="E122" s="64">
        <f t="shared" si="8"/>
        <v>0</v>
      </c>
      <c r="F122" s="64">
        <f t="shared" si="9"/>
        <v>0</v>
      </c>
      <c r="G122" s="64">
        <f t="shared" si="10"/>
        <v>0</v>
      </c>
      <c r="H122" s="107"/>
      <c r="I122" s="64"/>
    </row>
    <row r="123" spans="2:9" x14ac:dyDescent="0.25">
      <c r="B123" s="2">
        <f t="shared" si="6"/>
        <v>107</v>
      </c>
      <c r="C123" s="14">
        <f t="shared" si="7"/>
        <v>0</v>
      </c>
      <c r="E123" s="64">
        <f t="shared" si="8"/>
        <v>0</v>
      </c>
      <c r="F123" s="64">
        <f t="shared" si="9"/>
        <v>0</v>
      </c>
      <c r="G123" s="64">
        <f t="shared" si="10"/>
        <v>0</v>
      </c>
      <c r="H123" s="107"/>
      <c r="I123" s="64"/>
    </row>
    <row r="124" spans="2:9" x14ac:dyDescent="0.25">
      <c r="B124" s="2">
        <f t="shared" si="6"/>
        <v>108</v>
      </c>
      <c r="C124" s="14">
        <f t="shared" si="7"/>
        <v>0</v>
      </c>
      <c r="E124" s="64">
        <f t="shared" si="8"/>
        <v>0</v>
      </c>
      <c r="F124" s="64">
        <f t="shared" si="9"/>
        <v>0</v>
      </c>
      <c r="G124" s="64">
        <f t="shared" si="10"/>
        <v>0</v>
      </c>
      <c r="H124" s="107"/>
      <c r="I124" s="64"/>
    </row>
    <row r="125" spans="2:9" x14ac:dyDescent="0.25">
      <c r="B125" s="2">
        <f t="shared" si="6"/>
        <v>109</v>
      </c>
      <c r="C125" s="14">
        <f t="shared" si="7"/>
        <v>0</v>
      </c>
      <c r="E125" s="64">
        <f t="shared" si="8"/>
        <v>0</v>
      </c>
      <c r="F125" s="64">
        <f t="shared" si="9"/>
        <v>0</v>
      </c>
      <c r="G125" s="64">
        <f t="shared" si="10"/>
        <v>0</v>
      </c>
      <c r="H125" s="107"/>
      <c r="I125" s="64"/>
    </row>
    <row r="126" spans="2:9" x14ac:dyDescent="0.25">
      <c r="B126" s="2">
        <f t="shared" si="6"/>
        <v>110</v>
      </c>
      <c r="C126" s="14">
        <f t="shared" si="7"/>
        <v>0</v>
      </c>
      <c r="E126" s="64">
        <f t="shared" si="8"/>
        <v>0</v>
      </c>
      <c r="F126" s="64">
        <f t="shared" si="9"/>
        <v>0</v>
      </c>
      <c r="G126" s="64">
        <f t="shared" si="10"/>
        <v>0</v>
      </c>
      <c r="H126" s="107"/>
      <c r="I126" s="64"/>
    </row>
    <row r="127" spans="2:9" x14ac:dyDescent="0.25">
      <c r="B127" s="2">
        <f t="shared" si="6"/>
        <v>111</v>
      </c>
      <c r="C127" s="14">
        <f t="shared" si="7"/>
        <v>0</v>
      </c>
      <c r="E127" s="64">
        <f t="shared" si="8"/>
        <v>0</v>
      </c>
      <c r="F127" s="64">
        <f t="shared" si="9"/>
        <v>0</v>
      </c>
      <c r="G127" s="64">
        <f t="shared" si="10"/>
        <v>0</v>
      </c>
      <c r="H127" s="107"/>
      <c r="I127" s="64"/>
    </row>
    <row r="128" spans="2:9" x14ac:dyDescent="0.25">
      <c r="B128" s="2">
        <f t="shared" si="6"/>
        <v>112</v>
      </c>
      <c r="C128" s="14">
        <f t="shared" si="7"/>
        <v>0</v>
      </c>
      <c r="E128" s="64">
        <f t="shared" si="8"/>
        <v>0</v>
      </c>
      <c r="F128" s="64">
        <f t="shared" si="9"/>
        <v>0</v>
      </c>
      <c r="G128" s="64">
        <f t="shared" si="10"/>
        <v>0</v>
      </c>
      <c r="H128" s="107"/>
      <c r="I128" s="64"/>
    </row>
    <row r="129" spans="2:9" x14ac:dyDescent="0.25">
      <c r="B129" s="2">
        <f t="shared" si="6"/>
        <v>113</v>
      </c>
      <c r="C129" s="14">
        <f t="shared" si="7"/>
        <v>0</v>
      </c>
      <c r="E129" s="64">
        <f t="shared" si="8"/>
        <v>0</v>
      </c>
      <c r="F129" s="64">
        <f t="shared" si="9"/>
        <v>0</v>
      </c>
      <c r="G129" s="64">
        <f t="shared" si="10"/>
        <v>0</v>
      </c>
      <c r="H129" s="107"/>
      <c r="I129" s="64"/>
    </row>
    <row r="130" spans="2:9" x14ac:dyDescent="0.25">
      <c r="B130" s="2">
        <f t="shared" si="6"/>
        <v>114</v>
      </c>
      <c r="C130" s="14">
        <f t="shared" si="7"/>
        <v>0</v>
      </c>
      <c r="E130" s="64">
        <f t="shared" si="8"/>
        <v>0</v>
      </c>
      <c r="F130" s="64">
        <f t="shared" si="9"/>
        <v>0</v>
      </c>
      <c r="G130" s="64">
        <f t="shared" si="10"/>
        <v>0</v>
      </c>
      <c r="H130" s="107"/>
      <c r="I130" s="64"/>
    </row>
    <row r="131" spans="2:9" x14ac:dyDescent="0.25">
      <c r="B131" s="2">
        <f t="shared" si="6"/>
        <v>115</v>
      </c>
      <c r="C131" s="14">
        <f t="shared" si="7"/>
        <v>0</v>
      </c>
      <c r="E131" s="64">
        <f t="shared" si="8"/>
        <v>0</v>
      </c>
      <c r="F131" s="64">
        <f t="shared" si="9"/>
        <v>0</v>
      </c>
      <c r="G131" s="64">
        <f t="shared" si="10"/>
        <v>0</v>
      </c>
      <c r="H131" s="107"/>
      <c r="I131" s="64"/>
    </row>
    <row r="132" spans="2:9" x14ac:dyDescent="0.25">
      <c r="B132" s="2">
        <f t="shared" si="6"/>
        <v>116</v>
      </c>
      <c r="C132" s="14">
        <f t="shared" si="7"/>
        <v>0</v>
      </c>
      <c r="E132" s="64">
        <f t="shared" si="8"/>
        <v>0</v>
      </c>
      <c r="F132" s="64">
        <f t="shared" si="9"/>
        <v>0</v>
      </c>
      <c r="G132" s="64">
        <f t="shared" si="10"/>
        <v>0</v>
      </c>
      <c r="H132" s="107"/>
      <c r="I132" s="64"/>
    </row>
    <row r="133" spans="2:9" x14ac:dyDescent="0.25">
      <c r="B133" s="2">
        <f t="shared" si="6"/>
        <v>117</v>
      </c>
      <c r="C133" s="14">
        <f t="shared" si="7"/>
        <v>0</v>
      </c>
      <c r="E133" s="64">
        <f t="shared" si="8"/>
        <v>0</v>
      </c>
      <c r="F133" s="64">
        <f t="shared" si="9"/>
        <v>0</v>
      </c>
      <c r="G133" s="64">
        <f t="shared" si="10"/>
        <v>0</v>
      </c>
      <c r="H133" s="107"/>
      <c r="I133" s="64"/>
    </row>
    <row r="134" spans="2:9" x14ac:dyDescent="0.25">
      <c r="B134" s="2">
        <f t="shared" si="6"/>
        <v>118</v>
      </c>
      <c r="C134" s="14">
        <f t="shared" si="7"/>
        <v>0</v>
      </c>
      <c r="E134" s="64">
        <f t="shared" si="8"/>
        <v>0</v>
      </c>
      <c r="F134" s="64">
        <f t="shared" si="9"/>
        <v>0</v>
      </c>
      <c r="G134" s="64">
        <f t="shared" si="10"/>
        <v>0</v>
      </c>
      <c r="H134" s="107"/>
      <c r="I134" s="64"/>
    </row>
    <row r="135" spans="2:9" x14ac:dyDescent="0.25">
      <c r="B135" s="2">
        <f t="shared" si="6"/>
        <v>119</v>
      </c>
      <c r="C135" s="14">
        <f t="shared" si="7"/>
        <v>0</v>
      </c>
      <c r="E135" s="64">
        <f t="shared" si="8"/>
        <v>0</v>
      </c>
      <c r="F135" s="64">
        <f t="shared" si="9"/>
        <v>0</v>
      </c>
      <c r="G135" s="64">
        <f t="shared" si="10"/>
        <v>0</v>
      </c>
      <c r="H135" s="107"/>
      <c r="I135" s="64"/>
    </row>
    <row r="136" spans="2:9" x14ac:dyDescent="0.25">
      <c r="B136" s="2">
        <f t="shared" si="6"/>
        <v>120</v>
      </c>
      <c r="C136" s="14">
        <f t="shared" si="7"/>
        <v>0</v>
      </c>
      <c r="E136" s="64">
        <f t="shared" si="8"/>
        <v>0</v>
      </c>
      <c r="F136" s="64">
        <f t="shared" si="9"/>
        <v>0</v>
      </c>
      <c r="G136" s="64">
        <f t="shared" si="10"/>
        <v>0</v>
      </c>
      <c r="H136" s="107"/>
      <c r="I136" s="64"/>
    </row>
    <row r="137" spans="2:9" x14ac:dyDescent="0.25">
      <c r="B137" s="2">
        <f t="shared" si="6"/>
        <v>121</v>
      </c>
      <c r="C137" s="14">
        <f t="shared" si="7"/>
        <v>0</v>
      </c>
      <c r="E137" s="64">
        <f t="shared" si="8"/>
        <v>0</v>
      </c>
      <c r="F137" s="64">
        <f t="shared" si="9"/>
        <v>0</v>
      </c>
      <c r="G137" s="64">
        <f t="shared" si="10"/>
        <v>0</v>
      </c>
      <c r="H137" s="107"/>
      <c r="I137" s="64"/>
    </row>
    <row r="138" spans="2:9" x14ac:dyDescent="0.25">
      <c r="B138" s="2">
        <f t="shared" si="6"/>
        <v>122</v>
      </c>
      <c r="C138" s="14">
        <f t="shared" si="7"/>
        <v>0</v>
      </c>
      <c r="E138" s="64">
        <f t="shared" si="8"/>
        <v>0</v>
      </c>
      <c r="F138" s="64">
        <f t="shared" si="9"/>
        <v>0</v>
      </c>
      <c r="G138" s="64">
        <f t="shared" si="10"/>
        <v>0</v>
      </c>
      <c r="H138" s="107"/>
      <c r="I138" s="64"/>
    </row>
    <row r="139" spans="2:9" x14ac:dyDescent="0.25">
      <c r="B139" s="2">
        <f t="shared" si="6"/>
        <v>123</v>
      </c>
      <c r="C139" s="14">
        <f t="shared" si="7"/>
        <v>0</v>
      </c>
      <c r="E139" s="64">
        <f t="shared" si="8"/>
        <v>0</v>
      </c>
      <c r="F139" s="64">
        <f t="shared" si="9"/>
        <v>0</v>
      </c>
      <c r="G139" s="64">
        <f t="shared" si="10"/>
        <v>0</v>
      </c>
      <c r="H139" s="107"/>
      <c r="I139" s="64"/>
    </row>
    <row r="140" spans="2:9" x14ac:dyDescent="0.25">
      <c r="B140" s="2">
        <f t="shared" si="6"/>
        <v>124</v>
      </c>
      <c r="C140" s="14">
        <f t="shared" si="7"/>
        <v>0</v>
      </c>
      <c r="E140" s="64">
        <f t="shared" si="8"/>
        <v>0</v>
      </c>
      <c r="F140" s="64">
        <f t="shared" si="9"/>
        <v>0</v>
      </c>
      <c r="G140" s="64">
        <f t="shared" si="10"/>
        <v>0</v>
      </c>
      <c r="H140" s="107"/>
      <c r="I140" s="64"/>
    </row>
    <row r="141" spans="2:9" x14ac:dyDescent="0.25">
      <c r="B141" s="2">
        <f t="shared" si="6"/>
        <v>125</v>
      </c>
      <c r="C141" s="14">
        <f t="shared" si="7"/>
        <v>0</v>
      </c>
      <c r="E141" s="64">
        <f t="shared" si="8"/>
        <v>0</v>
      </c>
      <c r="F141" s="64">
        <f t="shared" si="9"/>
        <v>0</v>
      </c>
      <c r="G141" s="64">
        <f t="shared" si="10"/>
        <v>0</v>
      </c>
      <c r="H141" s="107"/>
      <c r="I141" s="64"/>
    </row>
    <row r="142" spans="2:9" x14ac:dyDescent="0.25">
      <c r="B142" s="2">
        <f t="shared" si="6"/>
        <v>126</v>
      </c>
      <c r="C142" s="14">
        <f t="shared" si="7"/>
        <v>0</v>
      </c>
      <c r="E142" s="64">
        <f t="shared" si="8"/>
        <v>0</v>
      </c>
      <c r="F142" s="64">
        <f t="shared" si="9"/>
        <v>0</v>
      </c>
      <c r="G142" s="64">
        <f t="shared" si="10"/>
        <v>0</v>
      </c>
      <c r="H142" s="107"/>
      <c r="I142" s="64"/>
    </row>
    <row r="143" spans="2:9" x14ac:dyDescent="0.25">
      <c r="B143" s="2">
        <f t="shared" si="6"/>
        <v>127</v>
      </c>
      <c r="C143" s="14">
        <f t="shared" si="7"/>
        <v>0</v>
      </c>
      <c r="E143" s="64">
        <f t="shared" si="8"/>
        <v>0</v>
      </c>
      <c r="F143" s="64">
        <f t="shared" si="9"/>
        <v>0</v>
      </c>
      <c r="G143" s="64">
        <f t="shared" si="10"/>
        <v>0</v>
      </c>
      <c r="H143" s="107"/>
      <c r="I143" s="64"/>
    </row>
    <row r="144" spans="2:9" x14ac:dyDescent="0.25">
      <c r="B144" s="2">
        <f t="shared" si="6"/>
        <v>128</v>
      </c>
      <c r="C144" s="14">
        <f t="shared" si="7"/>
        <v>0</v>
      </c>
      <c r="E144" s="64">
        <f t="shared" si="8"/>
        <v>0</v>
      </c>
      <c r="F144" s="64">
        <f t="shared" si="9"/>
        <v>0</v>
      </c>
      <c r="G144" s="64">
        <f t="shared" si="10"/>
        <v>0</v>
      </c>
      <c r="H144" s="107"/>
      <c r="I144" s="64"/>
    </row>
    <row r="145" spans="2:9" x14ac:dyDescent="0.25">
      <c r="B145" s="2">
        <f t="shared" si="6"/>
        <v>129</v>
      </c>
      <c r="C145" s="14">
        <f t="shared" si="7"/>
        <v>0</v>
      </c>
      <c r="E145" s="64">
        <f t="shared" si="8"/>
        <v>0</v>
      </c>
      <c r="F145" s="64">
        <f t="shared" si="9"/>
        <v>0</v>
      </c>
      <c r="G145" s="64">
        <f t="shared" si="10"/>
        <v>0</v>
      </c>
      <c r="H145" s="107"/>
      <c r="I145" s="64"/>
    </row>
    <row r="146" spans="2:9" x14ac:dyDescent="0.25">
      <c r="B146" s="2">
        <f t="shared" ref="B146:B209" si="11">B145+1</f>
        <v>130</v>
      </c>
      <c r="C146" s="14">
        <f t="shared" ref="C146:C209" si="12">$E$8</f>
        <v>0</v>
      </c>
      <c r="E146" s="64">
        <f t="shared" ref="E146:E209" si="13">G145*$E$9/12</f>
        <v>0</v>
      </c>
      <c r="F146" s="64">
        <f t="shared" ref="F146:F209" si="14">C146-E146</f>
        <v>0</v>
      </c>
      <c r="G146" s="64">
        <f t="shared" ref="G146:G209" si="15">G145-F146</f>
        <v>0</v>
      </c>
      <c r="H146" s="107"/>
      <c r="I146" s="64"/>
    </row>
    <row r="147" spans="2:9" x14ac:dyDescent="0.25">
      <c r="B147" s="2">
        <f t="shared" si="11"/>
        <v>131</v>
      </c>
      <c r="C147" s="14">
        <f t="shared" si="12"/>
        <v>0</v>
      </c>
      <c r="E147" s="64">
        <f t="shared" si="13"/>
        <v>0</v>
      </c>
      <c r="F147" s="64">
        <f t="shared" si="14"/>
        <v>0</v>
      </c>
      <c r="G147" s="64">
        <f t="shared" si="15"/>
        <v>0</v>
      </c>
      <c r="H147" s="107"/>
      <c r="I147" s="64"/>
    </row>
    <row r="148" spans="2:9" x14ac:dyDescent="0.25">
      <c r="B148" s="2">
        <f t="shared" si="11"/>
        <v>132</v>
      </c>
      <c r="C148" s="14">
        <f t="shared" si="12"/>
        <v>0</v>
      </c>
      <c r="E148" s="64">
        <f t="shared" si="13"/>
        <v>0</v>
      </c>
      <c r="F148" s="64">
        <f t="shared" si="14"/>
        <v>0</v>
      </c>
      <c r="G148" s="64">
        <f t="shared" si="15"/>
        <v>0</v>
      </c>
      <c r="H148" s="107"/>
      <c r="I148" s="64"/>
    </row>
    <row r="149" spans="2:9" x14ac:dyDescent="0.25">
      <c r="B149" s="2">
        <f t="shared" si="11"/>
        <v>133</v>
      </c>
      <c r="C149" s="14">
        <f t="shared" si="12"/>
        <v>0</v>
      </c>
      <c r="E149" s="64">
        <f t="shared" si="13"/>
        <v>0</v>
      </c>
      <c r="F149" s="64">
        <f t="shared" si="14"/>
        <v>0</v>
      </c>
      <c r="G149" s="64">
        <f t="shared" si="15"/>
        <v>0</v>
      </c>
      <c r="H149" s="107"/>
      <c r="I149" s="64"/>
    </row>
    <row r="150" spans="2:9" x14ac:dyDescent="0.25">
      <c r="B150" s="2">
        <f t="shared" si="11"/>
        <v>134</v>
      </c>
      <c r="C150" s="14">
        <f t="shared" si="12"/>
        <v>0</v>
      </c>
      <c r="E150" s="64">
        <f t="shared" si="13"/>
        <v>0</v>
      </c>
      <c r="F150" s="64">
        <f t="shared" si="14"/>
        <v>0</v>
      </c>
      <c r="G150" s="64">
        <f t="shared" si="15"/>
        <v>0</v>
      </c>
      <c r="H150" s="107"/>
      <c r="I150" s="64"/>
    </row>
    <row r="151" spans="2:9" x14ac:dyDescent="0.25">
      <c r="B151" s="2">
        <f t="shared" si="11"/>
        <v>135</v>
      </c>
      <c r="C151" s="14">
        <f t="shared" si="12"/>
        <v>0</v>
      </c>
      <c r="E151" s="64">
        <f t="shared" si="13"/>
        <v>0</v>
      </c>
      <c r="F151" s="64">
        <f t="shared" si="14"/>
        <v>0</v>
      </c>
      <c r="G151" s="64">
        <f t="shared" si="15"/>
        <v>0</v>
      </c>
      <c r="H151" s="107"/>
      <c r="I151" s="64"/>
    </row>
    <row r="152" spans="2:9" x14ac:dyDescent="0.25">
      <c r="B152" s="2">
        <f t="shared" si="11"/>
        <v>136</v>
      </c>
      <c r="C152" s="14">
        <f t="shared" si="12"/>
        <v>0</v>
      </c>
      <c r="E152" s="64">
        <f t="shared" si="13"/>
        <v>0</v>
      </c>
      <c r="F152" s="64">
        <f t="shared" si="14"/>
        <v>0</v>
      </c>
      <c r="G152" s="64">
        <f t="shared" si="15"/>
        <v>0</v>
      </c>
      <c r="H152" s="107"/>
      <c r="I152" s="64"/>
    </row>
    <row r="153" spans="2:9" x14ac:dyDescent="0.25">
      <c r="B153" s="2">
        <f t="shared" si="11"/>
        <v>137</v>
      </c>
      <c r="C153" s="14">
        <f t="shared" si="12"/>
        <v>0</v>
      </c>
      <c r="E153" s="64">
        <f t="shared" si="13"/>
        <v>0</v>
      </c>
      <c r="F153" s="64">
        <f t="shared" si="14"/>
        <v>0</v>
      </c>
      <c r="G153" s="64">
        <f t="shared" si="15"/>
        <v>0</v>
      </c>
      <c r="H153" s="107"/>
      <c r="I153" s="64"/>
    </row>
    <row r="154" spans="2:9" x14ac:dyDescent="0.25">
      <c r="B154" s="2">
        <f t="shared" si="11"/>
        <v>138</v>
      </c>
      <c r="C154" s="14">
        <f t="shared" si="12"/>
        <v>0</v>
      </c>
      <c r="E154" s="64">
        <f t="shared" si="13"/>
        <v>0</v>
      </c>
      <c r="F154" s="64">
        <f t="shared" si="14"/>
        <v>0</v>
      </c>
      <c r="G154" s="64">
        <f t="shared" si="15"/>
        <v>0</v>
      </c>
      <c r="H154" s="107"/>
      <c r="I154" s="64"/>
    </row>
    <row r="155" spans="2:9" x14ac:dyDescent="0.25">
      <c r="B155" s="2">
        <f t="shared" si="11"/>
        <v>139</v>
      </c>
      <c r="C155" s="14">
        <f t="shared" si="12"/>
        <v>0</v>
      </c>
      <c r="E155" s="64">
        <f t="shared" si="13"/>
        <v>0</v>
      </c>
      <c r="F155" s="64">
        <f t="shared" si="14"/>
        <v>0</v>
      </c>
      <c r="G155" s="64">
        <f t="shared" si="15"/>
        <v>0</v>
      </c>
      <c r="H155" s="107"/>
      <c r="I155" s="64"/>
    </row>
    <row r="156" spans="2:9" x14ac:dyDescent="0.25">
      <c r="B156" s="2">
        <f t="shared" si="11"/>
        <v>140</v>
      </c>
      <c r="C156" s="14">
        <f t="shared" si="12"/>
        <v>0</v>
      </c>
      <c r="E156" s="64">
        <f t="shared" si="13"/>
        <v>0</v>
      </c>
      <c r="F156" s="64">
        <f t="shared" si="14"/>
        <v>0</v>
      </c>
      <c r="G156" s="64">
        <f t="shared" si="15"/>
        <v>0</v>
      </c>
      <c r="H156" s="107"/>
      <c r="I156" s="64"/>
    </row>
    <row r="157" spans="2:9" x14ac:dyDescent="0.25">
      <c r="B157" s="2">
        <f t="shared" si="11"/>
        <v>141</v>
      </c>
      <c r="C157" s="14">
        <f t="shared" si="12"/>
        <v>0</v>
      </c>
      <c r="E157" s="64">
        <f t="shared" si="13"/>
        <v>0</v>
      </c>
      <c r="F157" s="64">
        <f t="shared" si="14"/>
        <v>0</v>
      </c>
      <c r="G157" s="64">
        <f t="shared" si="15"/>
        <v>0</v>
      </c>
      <c r="H157" s="107"/>
      <c r="I157" s="64"/>
    </row>
    <row r="158" spans="2:9" x14ac:dyDescent="0.25">
      <c r="B158" s="2">
        <f t="shared" si="11"/>
        <v>142</v>
      </c>
      <c r="C158" s="14">
        <f t="shared" si="12"/>
        <v>0</v>
      </c>
      <c r="E158" s="64">
        <f t="shared" si="13"/>
        <v>0</v>
      </c>
      <c r="F158" s="64">
        <f t="shared" si="14"/>
        <v>0</v>
      </c>
      <c r="G158" s="64">
        <f t="shared" si="15"/>
        <v>0</v>
      </c>
      <c r="H158" s="107"/>
      <c r="I158" s="64"/>
    </row>
    <row r="159" spans="2:9" x14ac:dyDescent="0.25">
      <c r="B159" s="2">
        <f t="shared" si="11"/>
        <v>143</v>
      </c>
      <c r="C159" s="14">
        <f t="shared" si="12"/>
        <v>0</v>
      </c>
      <c r="E159" s="64">
        <f t="shared" si="13"/>
        <v>0</v>
      </c>
      <c r="F159" s="64">
        <f t="shared" si="14"/>
        <v>0</v>
      </c>
      <c r="G159" s="64">
        <f t="shared" si="15"/>
        <v>0</v>
      </c>
      <c r="H159" s="107"/>
      <c r="I159" s="64"/>
    </row>
    <row r="160" spans="2:9" x14ac:dyDescent="0.25">
      <c r="B160" s="2">
        <f t="shared" si="11"/>
        <v>144</v>
      </c>
      <c r="C160" s="14">
        <f t="shared" si="12"/>
        <v>0</v>
      </c>
      <c r="E160" s="64">
        <f t="shared" si="13"/>
        <v>0</v>
      </c>
      <c r="F160" s="64">
        <f t="shared" si="14"/>
        <v>0</v>
      </c>
      <c r="G160" s="64">
        <f t="shared" si="15"/>
        <v>0</v>
      </c>
      <c r="H160" s="107"/>
      <c r="I160" s="64"/>
    </row>
    <row r="161" spans="2:9" x14ac:dyDescent="0.25">
      <c r="B161" s="2">
        <f t="shared" si="11"/>
        <v>145</v>
      </c>
      <c r="C161" s="14">
        <f t="shared" si="12"/>
        <v>0</v>
      </c>
      <c r="E161" s="64">
        <f t="shared" si="13"/>
        <v>0</v>
      </c>
      <c r="F161" s="64">
        <f t="shared" si="14"/>
        <v>0</v>
      </c>
      <c r="G161" s="64">
        <f t="shared" si="15"/>
        <v>0</v>
      </c>
      <c r="H161" s="107"/>
      <c r="I161" s="64"/>
    </row>
    <row r="162" spans="2:9" x14ac:dyDescent="0.25">
      <c r="B162" s="2">
        <f t="shared" si="11"/>
        <v>146</v>
      </c>
      <c r="C162" s="14">
        <f t="shared" si="12"/>
        <v>0</v>
      </c>
      <c r="E162" s="64">
        <f t="shared" si="13"/>
        <v>0</v>
      </c>
      <c r="F162" s="64">
        <f t="shared" si="14"/>
        <v>0</v>
      </c>
      <c r="G162" s="64">
        <f t="shared" si="15"/>
        <v>0</v>
      </c>
      <c r="H162" s="107"/>
      <c r="I162" s="64"/>
    </row>
    <row r="163" spans="2:9" x14ac:dyDescent="0.25">
      <c r="B163" s="2">
        <f t="shared" si="11"/>
        <v>147</v>
      </c>
      <c r="C163" s="14">
        <f t="shared" si="12"/>
        <v>0</v>
      </c>
      <c r="E163" s="64">
        <f t="shared" si="13"/>
        <v>0</v>
      </c>
      <c r="F163" s="64">
        <f t="shared" si="14"/>
        <v>0</v>
      </c>
      <c r="G163" s="64">
        <f t="shared" si="15"/>
        <v>0</v>
      </c>
      <c r="H163" s="107"/>
      <c r="I163" s="64"/>
    </row>
    <row r="164" spans="2:9" x14ac:dyDescent="0.25">
      <c r="B164" s="2">
        <f t="shared" si="11"/>
        <v>148</v>
      </c>
      <c r="C164" s="14">
        <f t="shared" si="12"/>
        <v>0</v>
      </c>
      <c r="E164" s="64">
        <f t="shared" si="13"/>
        <v>0</v>
      </c>
      <c r="F164" s="64">
        <f t="shared" si="14"/>
        <v>0</v>
      </c>
      <c r="G164" s="64">
        <f t="shared" si="15"/>
        <v>0</v>
      </c>
      <c r="H164" s="107"/>
      <c r="I164" s="64"/>
    </row>
    <row r="165" spans="2:9" x14ac:dyDescent="0.25">
      <c r="B165" s="2">
        <f t="shared" si="11"/>
        <v>149</v>
      </c>
      <c r="C165" s="14">
        <f t="shared" si="12"/>
        <v>0</v>
      </c>
      <c r="E165" s="64">
        <f t="shared" si="13"/>
        <v>0</v>
      </c>
      <c r="F165" s="64">
        <f t="shared" si="14"/>
        <v>0</v>
      </c>
      <c r="G165" s="64">
        <f t="shared" si="15"/>
        <v>0</v>
      </c>
      <c r="H165" s="107"/>
      <c r="I165" s="64"/>
    </row>
    <row r="166" spans="2:9" x14ac:dyDescent="0.25">
      <c r="B166" s="2">
        <f t="shared" si="11"/>
        <v>150</v>
      </c>
      <c r="C166" s="14">
        <f t="shared" si="12"/>
        <v>0</v>
      </c>
      <c r="E166" s="64">
        <f t="shared" si="13"/>
        <v>0</v>
      </c>
      <c r="F166" s="64">
        <f t="shared" si="14"/>
        <v>0</v>
      </c>
      <c r="G166" s="64">
        <f t="shared" si="15"/>
        <v>0</v>
      </c>
      <c r="H166" s="107"/>
      <c r="I166" s="64"/>
    </row>
    <row r="167" spans="2:9" x14ac:dyDescent="0.25">
      <c r="B167" s="2">
        <f t="shared" si="11"/>
        <v>151</v>
      </c>
      <c r="C167" s="14">
        <f t="shared" si="12"/>
        <v>0</v>
      </c>
      <c r="E167" s="64">
        <f t="shared" si="13"/>
        <v>0</v>
      </c>
      <c r="F167" s="64">
        <f t="shared" si="14"/>
        <v>0</v>
      </c>
      <c r="G167" s="64">
        <f t="shared" si="15"/>
        <v>0</v>
      </c>
      <c r="H167" s="107"/>
      <c r="I167" s="64"/>
    </row>
    <row r="168" spans="2:9" x14ac:dyDescent="0.25">
      <c r="B168" s="2">
        <f t="shared" si="11"/>
        <v>152</v>
      </c>
      <c r="C168" s="14">
        <f t="shared" si="12"/>
        <v>0</v>
      </c>
      <c r="E168" s="64">
        <f t="shared" si="13"/>
        <v>0</v>
      </c>
      <c r="F168" s="64">
        <f t="shared" si="14"/>
        <v>0</v>
      </c>
      <c r="G168" s="64">
        <f t="shared" si="15"/>
        <v>0</v>
      </c>
      <c r="H168" s="107"/>
      <c r="I168" s="64"/>
    </row>
    <row r="169" spans="2:9" x14ac:dyDescent="0.25">
      <c r="B169" s="2">
        <f t="shared" si="11"/>
        <v>153</v>
      </c>
      <c r="C169" s="14">
        <f t="shared" si="12"/>
        <v>0</v>
      </c>
      <c r="E169" s="64">
        <f t="shared" si="13"/>
        <v>0</v>
      </c>
      <c r="F169" s="64">
        <f t="shared" si="14"/>
        <v>0</v>
      </c>
      <c r="G169" s="64">
        <f t="shared" si="15"/>
        <v>0</v>
      </c>
      <c r="H169" s="107"/>
      <c r="I169" s="64"/>
    </row>
    <row r="170" spans="2:9" x14ac:dyDescent="0.25">
      <c r="B170" s="2">
        <f t="shared" si="11"/>
        <v>154</v>
      </c>
      <c r="C170" s="14">
        <f t="shared" si="12"/>
        <v>0</v>
      </c>
      <c r="E170" s="64">
        <f t="shared" si="13"/>
        <v>0</v>
      </c>
      <c r="F170" s="64">
        <f t="shared" si="14"/>
        <v>0</v>
      </c>
      <c r="G170" s="64">
        <f t="shared" si="15"/>
        <v>0</v>
      </c>
      <c r="H170" s="107"/>
      <c r="I170" s="64"/>
    </row>
    <row r="171" spans="2:9" x14ac:dyDescent="0.25">
      <c r="B171" s="2">
        <f t="shared" si="11"/>
        <v>155</v>
      </c>
      <c r="C171" s="14">
        <f t="shared" si="12"/>
        <v>0</v>
      </c>
      <c r="E171" s="64">
        <f t="shared" si="13"/>
        <v>0</v>
      </c>
      <c r="F171" s="64">
        <f t="shared" si="14"/>
        <v>0</v>
      </c>
      <c r="G171" s="64">
        <f t="shared" si="15"/>
        <v>0</v>
      </c>
      <c r="H171" s="107"/>
      <c r="I171" s="64"/>
    </row>
    <row r="172" spans="2:9" x14ac:dyDescent="0.25">
      <c r="B172" s="2">
        <f t="shared" si="11"/>
        <v>156</v>
      </c>
      <c r="C172" s="14">
        <f t="shared" si="12"/>
        <v>0</v>
      </c>
      <c r="E172" s="64">
        <f t="shared" si="13"/>
        <v>0</v>
      </c>
      <c r="F172" s="64">
        <f t="shared" si="14"/>
        <v>0</v>
      </c>
      <c r="G172" s="64">
        <f t="shared" si="15"/>
        <v>0</v>
      </c>
      <c r="H172" s="107"/>
      <c r="I172" s="64"/>
    </row>
    <row r="173" spans="2:9" x14ac:dyDescent="0.25">
      <c r="B173" s="2">
        <f t="shared" si="11"/>
        <v>157</v>
      </c>
      <c r="C173" s="14">
        <f t="shared" si="12"/>
        <v>0</v>
      </c>
      <c r="E173" s="64">
        <f t="shared" si="13"/>
        <v>0</v>
      </c>
      <c r="F173" s="64">
        <f t="shared" si="14"/>
        <v>0</v>
      </c>
      <c r="G173" s="64">
        <f t="shared" si="15"/>
        <v>0</v>
      </c>
      <c r="H173" s="107"/>
      <c r="I173" s="64"/>
    </row>
    <row r="174" spans="2:9" x14ac:dyDescent="0.25">
      <c r="B174" s="2">
        <f t="shared" si="11"/>
        <v>158</v>
      </c>
      <c r="C174" s="14">
        <f t="shared" si="12"/>
        <v>0</v>
      </c>
      <c r="E174" s="64">
        <f t="shared" si="13"/>
        <v>0</v>
      </c>
      <c r="F174" s="64">
        <f t="shared" si="14"/>
        <v>0</v>
      </c>
      <c r="G174" s="64">
        <f t="shared" si="15"/>
        <v>0</v>
      </c>
      <c r="H174" s="107"/>
      <c r="I174" s="64"/>
    </row>
    <row r="175" spans="2:9" x14ac:dyDescent="0.25">
      <c r="B175" s="2">
        <f t="shared" si="11"/>
        <v>159</v>
      </c>
      <c r="C175" s="14">
        <f t="shared" si="12"/>
        <v>0</v>
      </c>
      <c r="E175" s="64">
        <f t="shared" si="13"/>
        <v>0</v>
      </c>
      <c r="F175" s="64">
        <f t="shared" si="14"/>
        <v>0</v>
      </c>
      <c r="G175" s="64">
        <f t="shared" si="15"/>
        <v>0</v>
      </c>
      <c r="H175" s="107"/>
      <c r="I175" s="64"/>
    </row>
    <row r="176" spans="2:9" x14ac:dyDescent="0.25">
      <c r="B176" s="2">
        <f t="shared" si="11"/>
        <v>160</v>
      </c>
      <c r="C176" s="14">
        <f t="shared" si="12"/>
        <v>0</v>
      </c>
      <c r="E176" s="64">
        <f t="shared" si="13"/>
        <v>0</v>
      </c>
      <c r="F176" s="64">
        <f t="shared" si="14"/>
        <v>0</v>
      </c>
      <c r="G176" s="64">
        <f t="shared" si="15"/>
        <v>0</v>
      </c>
      <c r="H176" s="107"/>
      <c r="I176" s="64"/>
    </row>
    <row r="177" spans="2:9" x14ac:dyDescent="0.25">
      <c r="B177" s="2">
        <f t="shared" si="11"/>
        <v>161</v>
      </c>
      <c r="C177" s="14">
        <f t="shared" si="12"/>
        <v>0</v>
      </c>
      <c r="E177" s="64">
        <f t="shared" si="13"/>
        <v>0</v>
      </c>
      <c r="F177" s="64">
        <f t="shared" si="14"/>
        <v>0</v>
      </c>
      <c r="G177" s="64">
        <f t="shared" si="15"/>
        <v>0</v>
      </c>
      <c r="H177" s="107"/>
      <c r="I177" s="64"/>
    </row>
    <row r="178" spans="2:9" x14ac:dyDescent="0.25">
      <c r="B178" s="2">
        <f t="shared" si="11"/>
        <v>162</v>
      </c>
      <c r="C178" s="14">
        <f t="shared" si="12"/>
        <v>0</v>
      </c>
      <c r="E178" s="64">
        <f t="shared" si="13"/>
        <v>0</v>
      </c>
      <c r="F178" s="64">
        <f t="shared" si="14"/>
        <v>0</v>
      </c>
      <c r="G178" s="64">
        <f t="shared" si="15"/>
        <v>0</v>
      </c>
      <c r="H178" s="107"/>
      <c r="I178" s="64"/>
    </row>
    <row r="179" spans="2:9" x14ac:dyDescent="0.25">
      <c r="B179" s="2">
        <f t="shared" si="11"/>
        <v>163</v>
      </c>
      <c r="C179" s="14">
        <f t="shared" si="12"/>
        <v>0</v>
      </c>
      <c r="E179" s="64">
        <f t="shared" si="13"/>
        <v>0</v>
      </c>
      <c r="F179" s="64">
        <f t="shared" si="14"/>
        <v>0</v>
      </c>
      <c r="G179" s="64">
        <f t="shared" si="15"/>
        <v>0</v>
      </c>
      <c r="H179" s="107"/>
      <c r="I179" s="64"/>
    </row>
    <row r="180" spans="2:9" x14ac:dyDescent="0.25">
      <c r="B180" s="2">
        <f t="shared" si="11"/>
        <v>164</v>
      </c>
      <c r="C180" s="14">
        <f t="shared" si="12"/>
        <v>0</v>
      </c>
      <c r="E180" s="64">
        <f t="shared" si="13"/>
        <v>0</v>
      </c>
      <c r="F180" s="64">
        <f t="shared" si="14"/>
        <v>0</v>
      </c>
      <c r="G180" s="64">
        <f t="shared" si="15"/>
        <v>0</v>
      </c>
      <c r="H180" s="107"/>
      <c r="I180" s="64"/>
    </row>
    <row r="181" spans="2:9" x14ac:dyDescent="0.25">
      <c r="B181" s="2">
        <f t="shared" si="11"/>
        <v>165</v>
      </c>
      <c r="C181" s="14">
        <f t="shared" si="12"/>
        <v>0</v>
      </c>
      <c r="E181" s="64">
        <f t="shared" si="13"/>
        <v>0</v>
      </c>
      <c r="F181" s="64">
        <f t="shared" si="14"/>
        <v>0</v>
      </c>
      <c r="G181" s="64">
        <f t="shared" si="15"/>
        <v>0</v>
      </c>
      <c r="H181" s="107"/>
      <c r="I181" s="64"/>
    </row>
    <row r="182" spans="2:9" x14ac:dyDescent="0.25">
      <c r="B182" s="2">
        <f t="shared" si="11"/>
        <v>166</v>
      </c>
      <c r="C182" s="14">
        <f t="shared" si="12"/>
        <v>0</v>
      </c>
      <c r="E182" s="64">
        <f t="shared" si="13"/>
        <v>0</v>
      </c>
      <c r="F182" s="64">
        <f t="shared" si="14"/>
        <v>0</v>
      </c>
      <c r="G182" s="64">
        <f t="shared" si="15"/>
        <v>0</v>
      </c>
      <c r="H182" s="107"/>
      <c r="I182" s="64"/>
    </row>
    <row r="183" spans="2:9" x14ac:dyDescent="0.25">
      <c r="B183" s="2">
        <f t="shared" si="11"/>
        <v>167</v>
      </c>
      <c r="C183" s="14">
        <f t="shared" si="12"/>
        <v>0</v>
      </c>
      <c r="E183" s="64">
        <f t="shared" si="13"/>
        <v>0</v>
      </c>
      <c r="F183" s="64">
        <f t="shared" si="14"/>
        <v>0</v>
      </c>
      <c r="G183" s="64">
        <f t="shared" si="15"/>
        <v>0</v>
      </c>
      <c r="H183" s="107"/>
      <c r="I183" s="64"/>
    </row>
    <row r="184" spans="2:9" x14ac:dyDescent="0.25">
      <c r="B184" s="2">
        <f t="shared" si="11"/>
        <v>168</v>
      </c>
      <c r="C184" s="14">
        <f t="shared" si="12"/>
        <v>0</v>
      </c>
      <c r="E184" s="64">
        <f t="shared" si="13"/>
        <v>0</v>
      </c>
      <c r="F184" s="64">
        <f t="shared" si="14"/>
        <v>0</v>
      </c>
      <c r="G184" s="64">
        <f t="shared" si="15"/>
        <v>0</v>
      </c>
      <c r="H184" s="107"/>
      <c r="I184" s="64"/>
    </row>
    <row r="185" spans="2:9" x14ac:dyDescent="0.25">
      <c r="B185" s="2">
        <f t="shared" si="11"/>
        <v>169</v>
      </c>
      <c r="C185" s="14">
        <f t="shared" si="12"/>
        <v>0</v>
      </c>
      <c r="E185" s="64">
        <f t="shared" si="13"/>
        <v>0</v>
      </c>
      <c r="F185" s="64">
        <f t="shared" si="14"/>
        <v>0</v>
      </c>
      <c r="G185" s="64">
        <f t="shared" si="15"/>
        <v>0</v>
      </c>
      <c r="H185" s="107"/>
      <c r="I185" s="64"/>
    </row>
    <row r="186" spans="2:9" x14ac:dyDescent="0.25">
      <c r="B186" s="2">
        <f t="shared" si="11"/>
        <v>170</v>
      </c>
      <c r="C186" s="14">
        <f t="shared" si="12"/>
        <v>0</v>
      </c>
      <c r="E186" s="64">
        <f t="shared" si="13"/>
        <v>0</v>
      </c>
      <c r="F186" s="64">
        <f t="shared" si="14"/>
        <v>0</v>
      </c>
      <c r="G186" s="64">
        <f t="shared" si="15"/>
        <v>0</v>
      </c>
      <c r="H186" s="107"/>
      <c r="I186" s="64"/>
    </row>
    <row r="187" spans="2:9" x14ac:dyDescent="0.25">
      <c r="B187" s="2">
        <f t="shared" si="11"/>
        <v>171</v>
      </c>
      <c r="C187" s="14">
        <f t="shared" si="12"/>
        <v>0</v>
      </c>
      <c r="E187" s="64">
        <f t="shared" si="13"/>
        <v>0</v>
      </c>
      <c r="F187" s="64">
        <f t="shared" si="14"/>
        <v>0</v>
      </c>
      <c r="G187" s="64">
        <f t="shared" si="15"/>
        <v>0</v>
      </c>
      <c r="H187" s="107"/>
      <c r="I187" s="64"/>
    </row>
    <row r="188" spans="2:9" x14ac:dyDescent="0.25">
      <c r="B188" s="2">
        <f t="shared" si="11"/>
        <v>172</v>
      </c>
      <c r="C188" s="14">
        <f t="shared" si="12"/>
        <v>0</v>
      </c>
      <c r="E188" s="64">
        <f t="shared" si="13"/>
        <v>0</v>
      </c>
      <c r="F188" s="64">
        <f t="shared" si="14"/>
        <v>0</v>
      </c>
      <c r="G188" s="64">
        <f t="shared" si="15"/>
        <v>0</v>
      </c>
      <c r="H188" s="107"/>
      <c r="I188" s="64"/>
    </row>
    <row r="189" spans="2:9" x14ac:dyDescent="0.25">
      <c r="B189" s="2">
        <f t="shared" si="11"/>
        <v>173</v>
      </c>
      <c r="C189" s="14">
        <f t="shared" si="12"/>
        <v>0</v>
      </c>
      <c r="E189" s="64">
        <f t="shared" si="13"/>
        <v>0</v>
      </c>
      <c r="F189" s="64">
        <f t="shared" si="14"/>
        <v>0</v>
      </c>
      <c r="G189" s="64">
        <f t="shared" si="15"/>
        <v>0</v>
      </c>
      <c r="H189" s="107"/>
      <c r="I189" s="64"/>
    </row>
    <row r="190" spans="2:9" x14ac:dyDescent="0.25">
      <c r="B190" s="2">
        <f t="shared" si="11"/>
        <v>174</v>
      </c>
      <c r="C190" s="14">
        <f t="shared" si="12"/>
        <v>0</v>
      </c>
      <c r="E190" s="64">
        <f t="shared" si="13"/>
        <v>0</v>
      </c>
      <c r="F190" s="64">
        <f t="shared" si="14"/>
        <v>0</v>
      </c>
      <c r="G190" s="64">
        <f t="shared" si="15"/>
        <v>0</v>
      </c>
      <c r="H190" s="107"/>
      <c r="I190" s="64"/>
    </row>
    <row r="191" spans="2:9" x14ac:dyDescent="0.25">
      <c r="B191" s="2">
        <f t="shared" si="11"/>
        <v>175</v>
      </c>
      <c r="C191" s="14">
        <f t="shared" si="12"/>
        <v>0</v>
      </c>
      <c r="E191" s="64">
        <f t="shared" si="13"/>
        <v>0</v>
      </c>
      <c r="F191" s="64">
        <f t="shared" si="14"/>
        <v>0</v>
      </c>
      <c r="G191" s="64">
        <f t="shared" si="15"/>
        <v>0</v>
      </c>
      <c r="H191" s="107"/>
      <c r="I191" s="64"/>
    </row>
    <row r="192" spans="2:9" x14ac:dyDescent="0.25">
      <c r="B192" s="2">
        <f t="shared" si="11"/>
        <v>176</v>
      </c>
      <c r="C192" s="14">
        <f t="shared" si="12"/>
        <v>0</v>
      </c>
      <c r="E192" s="64">
        <f t="shared" si="13"/>
        <v>0</v>
      </c>
      <c r="F192" s="64">
        <f t="shared" si="14"/>
        <v>0</v>
      </c>
      <c r="G192" s="64">
        <f t="shared" si="15"/>
        <v>0</v>
      </c>
      <c r="H192" s="107"/>
      <c r="I192" s="64"/>
    </row>
    <row r="193" spans="2:9" x14ac:dyDescent="0.25">
      <c r="B193" s="2">
        <f t="shared" si="11"/>
        <v>177</v>
      </c>
      <c r="C193" s="14">
        <f t="shared" si="12"/>
        <v>0</v>
      </c>
      <c r="E193" s="64">
        <f t="shared" si="13"/>
        <v>0</v>
      </c>
      <c r="F193" s="64">
        <f t="shared" si="14"/>
        <v>0</v>
      </c>
      <c r="G193" s="64">
        <f t="shared" si="15"/>
        <v>0</v>
      </c>
      <c r="H193" s="107"/>
      <c r="I193" s="64"/>
    </row>
    <row r="194" spans="2:9" x14ac:dyDescent="0.25">
      <c r="B194" s="2">
        <f t="shared" si="11"/>
        <v>178</v>
      </c>
      <c r="C194" s="14">
        <f t="shared" si="12"/>
        <v>0</v>
      </c>
      <c r="E194" s="64">
        <f t="shared" si="13"/>
        <v>0</v>
      </c>
      <c r="F194" s="64">
        <f t="shared" si="14"/>
        <v>0</v>
      </c>
      <c r="G194" s="64">
        <f t="shared" si="15"/>
        <v>0</v>
      </c>
      <c r="H194" s="107"/>
      <c r="I194" s="64"/>
    </row>
    <row r="195" spans="2:9" x14ac:dyDescent="0.25">
      <c r="B195" s="2">
        <f t="shared" si="11"/>
        <v>179</v>
      </c>
      <c r="C195" s="14">
        <f t="shared" si="12"/>
        <v>0</v>
      </c>
      <c r="E195" s="64">
        <f t="shared" si="13"/>
        <v>0</v>
      </c>
      <c r="F195" s="64">
        <f t="shared" si="14"/>
        <v>0</v>
      </c>
      <c r="G195" s="64">
        <f t="shared" si="15"/>
        <v>0</v>
      </c>
      <c r="H195" s="107"/>
      <c r="I195" s="64"/>
    </row>
    <row r="196" spans="2:9" x14ac:dyDescent="0.25">
      <c r="B196" s="2">
        <f t="shared" si="11"/>
        <v>180</v>
      </c>
      <c r="C196" s="14">
        <f t="shared" si="12"/>
        <v>0</v>
      </c>
      <c r="E196" s="64">
        <f t="shared" si="13"/>
        <v>0</v>
      </c>
      <c r="F196" s="64">
        <f t="shared" si="14"/>
        <v>0</v>
      </c>
      <c r="G196" s="64">
        <f t="shared" si="15"/>
        <v>0</v>
      </c>
      <c r="H196" s="107"/>
      <c r="I196" s="64"/>
    </row>
    <row r="197" spans="2:9" x14ac:dyDescent="0.25">
      <c r="B197" s="2">
        <f t="shared" si="11"/>
        <v>181</v>
      </c>
      <c r="C197" s="14">
        <f t="shared" si="12"/>
        <v>0</v>
      </c>
      <c r="E197" s="64">
        <f t="shared" si="13"/>
        <v>0</v>
      </c>
      <c r="F197" s="64">
        <f t="shared" si="14"/>
        <v>0</v>
      </c>
      <c r="G197" s="64">
        <f t="shared" si="15"/>
        <v>0</v>
      </c>
      <c r="H197" s="107"/>
      <c r="I197" s="64"/>
    </row>
    <row r="198" spans="2:9" x14ac:dyDescent="0.25">
      <c r="B198" s="2">
        <f t="shared" si="11"/>
        <v>182</v>
      </c>
      <c r="C198" s="14">
        <f t="shared" si="12"/>
        <v>0</v>
      </c>
      <c r="E198" s="64">
        <f t="shared" si="13"/>
        <v>0</v>
      </c>
      <c r="F198" s="64">
        <f t="shared" si="14"/>
        <v>0</v>
      </c>
      <c r="G198" s="64">
        <f t="shared" si="15"/>
        <v>0</v>
      </c>
      <c r="H198" s="107"/>
      <c r="I198" s="64"/>
    </row>
    <row r="199" spans="2:9" x14ac:dyDescent="0.25">
      <c r="B199" s="2">
        <f t="shared" si="11"/>
        <v>183</v>
      </c>
      <c r="C199" s="14">
        <f t="shared" si="12"/>
        <v>0</v>
      </c>
      <c r="E199" s="64">
        <f t="shared" si="13"/>
        <v>0</v>
      </c>
      <c r="F199" s="64">
        <f t="shared" si="14"/>
        <v>0</v>
      </c>
      <c r="G199" s="64">
        <f t="shared" si="15"/>
        <v>0</v>
      </c>
      <c r="H199" s="107"/>
      <c r="I199" s="64"/>
    </row>
    <row r="200" spans="2:9" x14ac:dyDescent="0.25">
      <c r="B200" s="2">
        <f t="shared" si="11"/>
        <v>184</v>
      </c>
      <c r="C200" s="14">
        <f t="shared" si="12"/>
        <v>0</v>
      </c>
      <c r="E200" s="64">
        <f t="shared" si="13"/>
        <v>0</v>
      </c>
      <c r="F200" s="64">
        <f t="shared" si="14"/>
        <v>0</v>
      </c>
      <c r="G200" s="64">
        <f t="shared" si="15"/>
        <v>0</v>
      </c>
      <c r="H200" s="107"/>
      <c r="I200" s="64"/>
    </row>
    <row r="201" spans="2:9" x14ac:dyDescent="0.25">
      <c r="B201" s="2">
        <f t="shared" si="11"/>
        <v>185</v>
      </c>
      <c r="C201" s="14">
        <f t="shared" si="12"/>
        <v>0</v>
      </c>
      <c r="E201" s="64">
        <f t="shared" si="13"/>
        <v>0</v>
      </c>
      <c r="F201" s="64">
        <f t="shared" si="14"/>
        <v>0</v>
      </c>
      <c r="G201" s="64">
        <f t="shared" si="15"/>
        <v>0</v>
      </c>
      <c r="H201" s="107"/>
      <c r="I201" s="64"/>
    </row>
    <row r="202" spans="2:9" x14ac:dyDescent="0.25">
      <c r="B202" s="2">
        <f t="shared" si="11"/>
        <v>186</v>
      </c>
      <c r="C202" s="14">
        <f t="shared" si="12"/>
        <v>0</v>
      </c>
      <c r="E202" s="64">
        <f t="shared" si="13"/>
        <v>0</v>
      </c>
      <c r="F202" s="64">
        <f t="shared" si="14"/>
        <v>0</v>
      </c>
      <c r="G202" s="64">
        <f t="shared" si="15"/>
        <v>0</v>
      </c>
      <c r="H202" s="107"/>
      <c r="I202" s="64"/>
    </row>
    <row r="203" spans="2:9" x14ac:dyDescent="0.25">
      <c r="B203" s="2">
        <f t="shared" si="11"/>
        <v>187</v>
      </c>
      <c r="C203" s="14">
        <f t="shared" si="12"/>
        <v>0</v>
      </c>
      <c r="E203" s="64">
        <f t="shared" si="13"/>
        <v>0</v>
      </c>
      <c r="F203" s="64">
        <f t="shared" si="14"/>
        <v>0</v>
      </c>
      <c r="G203" s="64">
        <f t="shared" si="15"/>
        <v>0</v>
      </c>
      <c r="H203" s="107"/>
      <c r="I203" s="64"/>
    </row>
    <row r="204" spans="2:9" x14ac:dyDescent="0.25">
      <c r="B204" s="2">
        <f t="shared" si="11"/>
        <v>188</v>
      </c>
      <c r="C204" s="14">
        <f t="shared" si="12"/>
        <v>0</v>
      </c>
      <c r="E204" s="64">
        <f t="shared" si="13"/>
        <v>0</v>
      </c>
      <c r="F204" s="64">
        <f t="shared" si="14"/>
        <v>0</v>
      </c>
      <c r="G204" s="64">
        <f t="shared" si="15"/>
        <v>0</v>
      </c>
      <c r="H204" s="107"/>
      <c r="I204" s="64"/>
    </row>
    <row r="205" spans="2:9" x14ac:dyDescent="0.25">
      <c r="B205" s="2">
        <f t="shared" si="11"/>
        <v>189</v>
      </c>
      <c r="C205" s="14">
        <f t="shared" si="12"/>
        <v>0</v>
      </c>
      <c r="E205" s="64">
        <f t="shared" si="13"/>
        <v>0</v>
      </c>
      <c r="F205" s="64">
        <f t="shared" si="14"/>
        <v>0</v>
      </c>
      <c r="G205" s="64">
        <f t="shared" si="15"/>
        <v>0</v>
      </c>
      <c r="H205" s="107"/>
      <c r="I205" s="64"/>
    </row>
    <row r="206" spans="2:9" x14ac:dyDescent="0.25">
      <c r="B206" s="2">
        <f t="shared" si="11"/>
        <v>190</v>
      </c>
      <c r="C206" s="14">
        <f t="shared" si="12"/>
        <v>0</v>
      </c>
      <c r="E206" s="64">
        <f t="shared" si="13"/>
        <v>0</v>
      </c>
      <c r="F206" s="64">
        <f t="shared" si="14"/>
        <v>0</v>
      </c>
      <c r="G206" s="64">
        <f t="shared" si="15"/>
        <v>0</v>
      </c>
      <c r="H206" s="107"/>
      <c r="I206" s="64"/>
    </row>
    <row r="207" spans="2:9" x14ac:dyDescent="0.25">
      <c r="B207" s="2">
        <f t="shared" si="11"/>
        <v>191</v>
      </c>
      <c r="C207" s="14">
        <f t="shared" si="12"/>
        <v>0</v>
      </c>
      <c r="E207" s="64">
        <f t="shared" si="13"/>
        <v>0</v>
      </c>
      <c r="F207" s="64">
        <f t="shared" si="14"/>
        <v>0</v>
      </c>
      <c r="G207" s="64">
        <f t="shared" si="15"/>
        <v>0</v>
      </c>
      <c r="H207" s="107"/>
      <c r="I207" s="64"/>
    </row>
    <row r="208" spans="2:9" x14ac:dyDescent="0.25">
      <c r="B208" s="2">
        <f t="shared" si="11"/>
        <v>192</v>
      </c>
      <c r="C208" s="14">
        <f t="shared" si="12"/>
        <v>0</v>
      </c>
      <c r="E208" s="64">
        <f t="shared" si="13"/>
        <v>0</v>
      </c>
      <c r="F208" s="64">
        <f t="shared" si="14"/>
        <v>0</v>
      </c>
      <c r="G208" s="64">
        <f t="shared" si="15"/>
        <v>0</v>
      </c>
      <c r="H208" s="107"/>
      <c r="I208" s="64"/>
    </row>
    <row r="209" spans="2:9" x14ac:dyDescent="0.25">
      <c r="B209" s="2">
        <f t="shared" si="11"/>
        <v>193</v>
      </c>
      <c r="C209" s="14">
        <f t="shared" si="12"/>
        <v>0</v>
      </c>
      <c r="E209" s="64">
        <f t="shared" si="13"/>
        <v>0</v>
      </c>
      <c r="F209" s="64">
        <f t="shared" si="14"/>
        <v>0</v>
      </c>
      <c r="G209" s="64">
        <f t="shared" si="15"/>
        <v>0</v>
      </c>
      <c r="H209" s="107"/>
      <c r="I209" s="64"/>
    </row>
    <row r="210" spans="2:9" x14ac:dyDescent="0.25">
      <c r="B210" s="2">
        <f t="shared" ref="B210:B256" si="16">B209+1</f>
        <v>194</v>
      </c>
      <c r="C210" s="14">
        <f t="shared" ref="C210:C256" si="17">$E$8</f>
        <v>0</v>
      </c>
      <c r="E210" s="64">
        <f t="shared" ref="E210:E256" si="18">G209*$E$9/12</f>
        <v>0</v>
      </c>
      <c r="F210" s="64">
        <f t="shared" ref="F210:F256" si="19">C210-E210</f>
        <v>0</v>
      </c>
      <c r="G210" s="64">
        <f t="shared" ref="G210:G256" si="20">G209-F210</f>
        <v>0</v>
      </c>
      <c r="H210" s="107"/>
      <c r="I210" s="64"/>
    </row>
    <row r="211" spans="2:9" x14ac:dyDescent="0.25">
      <c r="B211" s="2">
        <f t="shared" si="16"/>
        <v>195</v>
      </c>
      <c r="C211" s="14">
        <f t="shared" si="17"/>
        <v>0</v>
      </c>
      <c r="E211" s="64">
        <f t="shared" si="18"/>
        <v>0</v>
      </c>
      <c r="F211" s="64">
        <f t="shared" si="19"/>
        <v>0</v>
      </c>
      <c r="G211" s="64">
        <f t="shared" si="20"/>
        <v>0</v>
      </c>
      <c r="H211" s="107"/>
      <c r="I211" s="64"/>
    </row>
    <row r="212" spans="2:9" x14ac:dyDescent="0.25">
      <c r="B212" s="2">
        <f t="shared" si="16"/>
        <v>196</v>
      </c>
      <c r="C212" s="14">
        <f t="shared" si="17"/>
        <v>0</v>
      </c>
      <c r="E212" s="64">
        <f t="shared" si="18"/>
        <v>0</v>
      </c>
      <c r="F212" s="64">
        <f t="shared" si="19"/>
        <v>0</v>
      </c>
      <c r="G212" s="64">
        <f t="shared" si="20"/>
        <v>0</v>
      </c>
      <c r="H212" s="107"/>
      <c r="I212" s="64"/>
    </row>
    <row r="213" spans="2:9" x14ac:dyDescent="0.25">
      <c r="B213" s="2">
        <f t="shared" si="16"/>
        <v>197</v>
      </c>
      <c r="C213" s="14">
        <f t="shared" si="17"/>
        <v>0</v>
      </c>
      <c r="E213" s="64">
        <f t="shared" si="18"/>
        <v>0</v>
      </c>
      <c r="F213" s="64">
        <f t="shared" si="19"/>
        <v>0</v>
      </c>
      <c r="G213" s="64">
        <f t="shared" si="20"/>
        <v>0</v>
      </c>
      <c r="H213" s="107"/>
      <c r="I213" s="64"/>
    </row>
    <row r="214" spans="2:9" x14ac:dyDescent="0.25">
      <c r="B214" s="2">
        <f t="shared" si="16"/>
        <v>198</v>
      </c>
      <c r="C214" s="14">
        <f t="shared" si="17"/>
        <v>0</v>
      </c>
      <c r="E214" s="64">
        <f t="shared" si="18"/>
        <v>0</v>
      </c>
      <c r="F214" s="64">
        <f t="shared" si="19"/>
        <v>0</v>
      </c>
      <c r="G214" s="64">
        <f t="shared" si="20"/>
        <v>0</v>
      </c>
      <c r="H214" s="107"/>
      <c r="I214" s="64"/>
    </row>
    <row r="215" spans="2:9" x14ac:dyDescent="0.25">
      <c r="B215" s="2">
        <f t="shared" si="16"/>
        <v>199</v>
      </c>
      <c r="C215" s="14">
        <f t="shared" si="17"/>
        <v>0</v>
      </c>
      <c r="E215" s="64">
        <f t="shared" si="18"/>
        <v>0</v>
      </c>
      <c r="F215" s="64">
        <f t="shared" si="19"/>
        <v>0</v>
      </c>
      <c r="G215" s="64">
        <f t="shared" si="20"/>
        <v>0</v>
      </c>
      <c r="H215" s="107"/>
      <c r="I215" s="64"/>
    </row>
    <row r="216" spans="2:9" x14ac:dyDescent="0.25">
      <c r="B216" s="2">
        <f t="shared" si="16"/>
        <v>200</v>
      </c>
      <c r="C216" s="14">
        <f t="shared" si="17"/>
        <v>0</v>
      </c>
      <c r="E216" s="64">
        <f t="shared" si="18"/>
        <v>0</v>
      </c>
      <c r="F216" s="64">
        <f t="shared" si="19"/>
        <v>0</v>
      </c>
      <c r="G216" s="64">
        <f t="shared" si="20"/>
        <v>0</v>
      </c>
      <c r="H216" s="107"/>
      <c r="I216" s="64"/>
    </row>
    <row r="217" spans="2:9" x14ac:dyDescent="0.25">
      <c r="B217" s="2">
        <f t="shared" si="16"/>
        <v>201</v>
      </c>
      <c r="C217" s="14">
        <f t="shared" si="17"/>
        <v>0</v>
      </c>
      <c r="E217" s="64">
        <f t="shared" si="18"/>
        <v>0</v>
      </c>
      <c r="F217" s="64">
        <f t="shared" si="19"/>
        <v>0</v>
      </c>
      <c r="G217" s="64">
        <f t="shared" si="20"/>
        <v>0</v>
      </c>
      <c r="H217" s="107"/>
      <c r="I217" s="64"/>
    </row>
    <row r="218" spans="2:9" x14ac:dyDescent="0.25">
      <c r="B218" s="2">
        <f t="shared" si="16"/>
        <v>202</v>
      </c>
      <c r="C218" s="14">
        <f t="shared" si="17"/>
        <v>0</v>
      </c>
      <c r="E218" s="64">
        <f t="shared" si="18"/>
        <v>0</v>
      </c>
      <c r="F218" s="64">
        <f t="shared" si="19"/>
        <v>0</v>
      </c>
      <c r="G218" s="64">
        <f t="shared" si="20"/>
        <v>0</v>
      </c>
      <c r="H218" s="107"/>
      <c r="I218" s="64"/>
    </row>
    <row r="219" spans="2:9" x14ac:dyDescent="0.25">
      <c r="B219" s="2">
        <f t="shared" si="16"/>
        <v>203</v>
      </c>
      <c r="C219" s="14">
        <f t="shared" si="17"/>
        <v>0</v>
      </c>
      <c r="E219" s="64">
        <f t="shared" si="18"/>
        <v>0</v>
      </c>
      <c r="F219" s="64">
        <f t="shared" si="19"/>
        <v>0</v>
      </c>
      <c r="G219" s="64">
        <f t="shared" si="20"/>
        <v>0</v>
      </c>
      <c r="H219" s="107"/>
      <c r="I219" s="64"/>
    </row>
    <row r="220" spans="2:9" x14ac:dyDescent="0.25">
      <c r="B220" s="2">
        <f t="shared" si="16"/>
        <v>204</v>
      </c>
      <c r="C220" s="14">
        <f t="shared" si="17"/>
        <v>0</v>
      </c>
      <c r="E220" s="64">
        <f t="shared" si="18"/>
        <v>0</v>
      </c>
      <c r="F220" s="64">
        <f t="shared" si="19"/>
        <v>0</v>
      </c>
      <c r="G220" s="64">
        <f t="shared" si="20"/>
        <v>0</v>
      </c>
      <c r="H220" s="107"/>
      <c r="I220" s="64"/>
    </row>
    <row r="221" spans="2:9" x14ac:dyDescent="0.25">
      <c r="B221" s="2">
        <f t="shared" si="16"/>
        <v>205</v>
      </c>
      <c r="C221" s="14">
        <f t="shared" si="17"/>
        <v>0</v>
      </c>
      <c r="E221" s="64">
        <f t="shared" si="18"/>
        <v>0</v>
      </c>
      <c r="F221" s="64">
        <f t="shared" si="19"/>
        <v>0</v>
      </c>
      <c r="G221" s="64">
        <f t="shared" si="20"/>
        <v>0</v>
      </c>
      <c r="H221" s="107"/>
      <c r="I221" s="64"/>
    </row>
    <row r="222" spans="2:9" x14ac:dyDescent="0.25">
      <c r="B222" s="2">
        <f t="shared" si="16"/>
        <v>206</v>
      </c>
      <c r="C222" s="14">
        <f t="shared" si="17"/>
        <v>0</v>
      </c>
      <c r="E222" s="64">
        <f t="shared" si="18"/>
        <v>0</v>
      </c>
      <c r="F222" s="64">
        <f t="shared" si="19"/>
        <v>0</v>
      </c>
      <c r="G222" s="64">
        <f t="shared" si="20"/>
        <v>0</v>
      </c>
      <c r="H222" s="107"/>
      <c r="I222" s="64"/>
    </row>
    <row r="223" spans="2:9" x14ac:dyDescent="0.25">
      <c r="B223" s="2">
        <f t="shared" si="16"/>
        <v>207</v>
      </c>
      <c r="C223" s="14">
        <f t="shared" si="17"/>
        <v>0</v>
      </c>
      <c r="E223" s="64">
        <f t="shared" si="18"/>
        <v>0</v>
      </c>
      <c r="F223" s="64">
        <f t="shared" si="19"/>
        <v>0</v>
      </c>
      <c r="G223" s="64">
        <f t="shared" si="20"/>
        <v>0</v>
      </c>
      <c r="H223" s="107"/>
      <c r="I223" s="64"/>
    </row>
    <row r="224" spans="2:9" x14ac:dyDescent="0.25">
      <c r="B224" s="2">
        <f t="shared" si="16"/>
        <v>208</v>
      </c>
      <c r="C224" s="14">
        <f t="shared" si="17"/>
        <v>0</v>
      </c>
      <c r="E224" s="64">
        <f t="shared" si="18"/>
        <v>0</v>
      </c>
      <c r="F224" s="64">
        <f t="shared" si="19"/>
        <v>0</v>
      </c>
      <c r="G224" s="64">
        <f t="shared" si="20"/>
        <v>0</v>
      </c>
      <c r="H224" s="107"/>
      <c r="I224" s="64"/>
    </row>
    <row r="225" spans="2:9" x14ac:dyDescent="0.25">
      <c r="B225" s="2">
        <f t="shared" si="16"/>
        <v>209</v>
      </c>
      <c r="C225" s="14">
        <f t="shared" si="17"/>
        <v>0</v>
      </c>
      <c r="E225" s="64">
        <f t="shared" si="18"/>
        <v>0</v>
      </c>
      <c r="F225" s="64">
        <f t="shared" si="19"/>
        <v>0</v>
      </c>
      <c r="G225" s="64">
        <f t="shared" si="20"/>
        <v>0</v>
      </c>
      <c r="H225" s="107"/>
      <c r="I225" s="64"/>
    </row>
    <row r="226" spans="2:9" x14ac:dyDescent="0.25">
      <c r="B226" s="2">
        <f t="shared" si="16"/>
        <v>210</v>
      </c>
      <c r="C226" s="14">
        <f t="shared" si="17"/>
        <v>0</v>
      </c>
      <c r="E226" s="64">
        <f t="shared" si="18"/>
        <v>0</v>
      </c>
      <c r="F226" s="64">
        <f t="shared" si="19"/>
        <v>0</v>
      </c>
      <c r="G226" s="64">
        <f t="shared" si="20"/>
        <v>0</v>
      </c>
      <c r="H226" s="107"/>
      <c r="I226" s="64"/>
    </row>
    <row r="227" spans="2:9" x14ac:dyDescent="0.25">
      <c r="B227" s="2">
        <f t="shared" si="16"/>
        <v>211</v>
      </c>
      <c r="C227" s="14">
        <f t="shared" si="17"/>
        <v>0</v>
      </c>
      <c r="E227" s="64">
        <f t="shared" si="18"/>
        <v>0</v>
      </c>
      <c r="F227" s="64">
        <f t="shared" si="19"/>
        <v>0</v>
      </c>
      <c r="G227" s="64">
        <f t="shared" si="20"/>
        <v>0</v>
      </c>
      <c r="H227" s="107"/>
      <c r="I227" s="64"/>
    </row>
    <row r="228" spans="2:9" x14ac:dyDescent="0.25">
      <c r="B228" s="2">
        <f t="shared" si="16"/>
        <v>212</v>
      </c>
      <c r="C228" s="14">
        <f t="shared" si="17"/>
        <v>0</v>
      </c>
      <c r="E228" s="64">
        <f t="shared" si="18"/>
        <v>0</v>
      </c>
      <c r="F228" s="64">
        <f t="shared" si="19"/>
        <v>0</v>
      </c>
      <c r="G228" s="64">
        <f t="shared" si="20"/>
        <v>0</v>
      </c>
      <c r="H228" s="107"/>
      <c r="I228" s="64"/>
    </row>
    <row r="229" spans="2:9" x14ac:dyDescent="0.25">
      <c r="B229" s="2">
        <f t="shared" si="16"/>
        <v>213</v>
      </c>
      <c r="C229" s="14">
        <f t="shared" si="17"/>
        <v>0</v>
      </c>
      <c r="E229" s="64">
        <f t="shared" si="18"/>
        <v>0</v>
      </c>
      <c r="F229" s="64">
        <f t="shared" si="19"/>
        <v>0</v>
      </c>
      <c r="G229" s="64">
        <f t="shared" si="20"/>
        <v>0</v>
      </c>
      <c r="H229" s="107"/>
      <c r="I229" s="64"/>
    </row>
    <row r="230" spans="2:9" x14ac:dyDescent="0.25">
      <c r="B230" s="2">
        <f t="shared" si="16"/>
        <v>214</v>
      </c>
      <c r="C230" s="14">
        <f t="shared" si="17"/>
        <v>0</v>
      </c>
      <c r="E230" s="64">
        <f t="shared" si="18"/>
        <v>0</v>
      </c>
      <c r="F230" s="64">
        <f t="shared" si="19"/>
        <v>0</v>
      </c>
      <c r="G230" s="64">
        <f t="shared" si="20"/>
        <v>0</v>
      </c>
      <c r="H230" s="107"/>
      <c r="I230" s="64"/>
    </row>
    <row r="231" spans="2:9" x14ac:dyDescent="0.25">
      <c r="B231" s="2">
        <f t="shared" si="16"/>
        <v>215</v>
      </c>
      <c r="C231" s="14">
        <f t="shared" si="17"/>
        <v>0</v>
      </c>
      <c r="E231" s="64">
        <f t="shared" si="18"/>
        <v>0</v>
      </c>
      <c r="F231" s="64">
        <f t="shared" si="19"/>
        <v>0</v>
      </c>
      <c r="G231" s="64">
        <f t="shared" si="20"/>
        <v>0</v>
      </c>
      <c r="H231" s="107"/>
      <c r="I231" s="64"/>
    </row>
    <row r="232" spans="2:9" x14ac:dyDescent="0.25">
      <c r="B232" s="2">
        <f t="shared" si="16"/>
        <v>216</v>
      </c>
      <c r="C232" s="14">
        <f t="shared" si="17"/>
        <v>0</v>
      </c>
      <c r="E232" s="64">
        <f t="shared" si="18"/>
        <v>0</v>
      </c>
      <c r="F232" s="64">
        <f t="shared" si="19"/>
        <v>0</v>
      </c>
      <c r="G232" s="64">
        <f t="shared" si="20"/>
        <v>0</v>
      </c>
      <c r="H232" s="107"/>
      <c r="I232" s="64"/>
    </row>
    <row r="233" spans="2:9" x14ac:dyDescent="0.25">
      <c r="B233" s="2">
        <f t="shared" si="16"/>
        <v>217</v>
      </c>
      <c r="C233" s="14">
        <f t="shared" si="17"/>
        <v>0</v>
      </c>
      <c r="E233" s="64">
        <f t="shared" si="18"/>
        <v>0</v>
      </c>
      <c r="F233" s="64">
        <f t="shared" si="19"/>
        <v>0</v>
      </c>
      <c r="G233" s="64">
        <f t="shared" si="20"/>
        <v>0</v>
      </c>
      <c r="H233" s="107"/>
      <c r="I233" s="64"/>
    </row>
    <row r="234" spans="2:9" x14ac:dyDescent="0.25">
      <c r="B234" s="2">
        <f t="shared" si="16"/>
        <v>218</v>
      </c>
      <c r="C234" s="14">
        <f t="shared" si="17"/>
        <v>0</v>
      </c>
      <c r="E234" s="64">
        <f t="shared" si="18"/>
        <v>0</v>
      </c>
      <c r="F234" s="64">
        <f t="shared" si="19"/>
        <v>0</v>
      </c>
      <c r="G234" s="64">
        <f t="shared" si="20"/>
        <v>0</v>
      </c>
      <c r="H234" s="107"/>
      <c r="I234" s="64"/>
    </row>
    <row r="235" spans="2:9" x14ac:dyDescent="0.25">
      <c r="B235" s="2">
        <f t="shared" si="16"/>
        <v>219</v>
      </c>
      <c r="C235" s="14">
        <f t="shared" si="17"/>
        <v>0</v>
      </c>
      <c r="E235" s="64">
        <f t="shared" si="18"/>
        <v>0</v>
      </c>
      <c r="F235" s="64">
        <f t="shared" si="19"/>
        <v>0</v>
      </c>
      <c r="G235" s="64">
        <f t="shared" si="20"/>
        <v>0</v>
      </c>
      <c r="H235" s="107"/>
      <c r="I235" s="64"/>
    </row>
    <row r="236" spans="2:9" x14ac:dyDescent="0.25">
      <c r="B236" s="2">
        <f t="shared" si="16"/>
        <v>220</v>
      </c>
      <c r="C236" s="14">
        <f t="shared" si="17"/>
        <v>0</v>
      </c>
      <c r="E236" s="64">
        <f t="shared" si="18"/>
        <v>0</v>
      </c>
      <c r="F236" s="64">
        <f t="shared" si="19"/>
        <v>0</v>
      </c>
      <c r="G236" s="64">
        <f t="shared" si="20"/>
        <v>0</v>
      </c>
      <c r="H236" s="107"/>
      <c r="I236" s="64"/>
    </row>
    <row r="237" spans="2:9" x14ac:dyDescent="0.25">
      <c r="B237" s="2">
        <f t="shared" si="16"/>
        <v>221</v>
      </c>
      <c r="C237" s="14">
        <f t="shared" si="17"/>
        <v>0</v>
      </c>
      <c r="E237" s="64">
        <f t="shared" si="18"/>
        <v>0</v>
      </c>
      <c r="F237" s="64">
        <f t="shared" si="19"/>
        <v>0</v>
      </c>
      <c r="G237" s="64">
        <f t="shared" si="20"/>
        <v>0</v>
      </c>
      <c r="H237" s="107"/>
      <c r="I237" s="64"/>
    </row>
    <row r="238" spans="2:9" x14ac:dyDescent="0.25">
      <c r="B238" s="2">
        <f t="shared" si="16"/>
        <v>222</v>
      </c>
      <c r="C238" s="14">
        <f t="shared" si="17"/>
        <v>0</v>
      </c>
      <c r="E238" s="64">
        <f t="shared" si="18"/>
        <v>0</v>
      </c>
      <c r="F238" s="64">
        <f t="shared" si="19"/>
        <v>0</v>
      </c>
      <c r="G238" s="64">
        <f t="shared" si="20"/>
        <v>0</v>
      </c>
      <c r="H238" s="107"/>
      <c r="I238" s="64"/>
    </row>
    <row r="239" spans="2:9" x14ac:dyDescent="0.25">
      <c r="B239" s="2">
        <f t="shared" si="16"/>
        <v>223</v>
      </c>
      <c r="C239" s="14">
        <f t="shared" si="17"/>
        <v>0</v>
      </c>
      <c r="E239" s="64">
        <f t="shared" si="18"/>
        <v>0</v>
      </c>
      <c r="F239" s="64">
        <f t="shared" si="19"/>
        <v>0</v>
      </c>
      <c r="G239" s="64">
        <f t="shared" si="20"/>
        <v>0</v>
      </c>
      <c r="H239" s="107"/>
      <c r="I239" s="64"/>
    </row>
    <row r="240" spans="2:9" x14ac:dyDescent="0.25">
      <c r="B240" s="2">
        <f t="shared" si="16"/>
        <v>224</v>
      </c>
      <c r="C240" s="14">
        <f t="shared" si="17"/>
        <v>0</v>
      </c>
      <c r="E240" s="64">
        <f t="shared" si="18"/>
        <v>0</v>
      </c>
      <c r="F240" s="64">
        <f t="shared" si="19"/>
        <v>0</v>
      </c>
      <c r="G240" s="64">
        <f t="shared" si="20"/>
        <v>0</v>
      </c>
      <c r="H240" s="107"/>
      <c r="I240" s="64"/>
    </row>
    <row r="241" spans="2:9" x14ac:dyDescent="0.25">
      <c r="B241" s="2">
        <f t="shared" si="16"/>
        <v>225</v>
      </c>
      <c r="C241" s="14">
        <f t="shared" si="17"/>
        <v>0</v>
      </c>
      <c r="E241" s="64">
        <f t="shared" si="18"/>
        <v>0</v>
      </c>
      <c r="F241" s="64">
        <f t="shared" si="19"/>
        <v>0</v>
      </c>
      <c r="G241" s="64">
        <f t="shared" si="20"/>
        <v>0</v>
      </c>
      <c r="H241" s="107"/>
      <c r="I241" s="64"/>
    </row>
    <row r="242" spans="2:9" x14ac:dyDescent="0.25">
      <c r="B242" s="2">
        <f t="shared" si="16"/>
        <v>226</v>
      </c>
      <c r="C242" s="14">
        <f t="shared" si="17"/>
        <v>0</v>
      </c>
      <c r="E242" s="64">
        <f t="shared" si="18"/>
        <v>0</v>
      </c>
      <c r="F242" s="64">
        <f t="shared" si="19"/>
        <v>0</v>
      </c>
      <c r="G242" s="64">
        <f t="shared" si="20"/>
        <v>0</v>
      </c>
      <c r="H242" s="107"/>
      <c r="I242" s="64"/>
    </row>
    <row r="243" spans="2:9" x14ac:dyDescent="0.25">
      <c r="B243" s="2">
        <f t="shared" si="16"/>
        <v>227</v>
      </c>
      <c r="C243" s="14">
        <f t="shared" si="17"/>
        <v>0</v>
      </c>
      <c r="E243" s="64">
        <f t="shared" si="18"/>
        <v>0</v>
      </c>
      <c r="F243" s="64">
        <f t="shared" si="19"/>
        <v>0</v>
      </c>
      <c r="G243" s="64">
        <f t="shared" si="20"/>
        <v>0</v>
      </c>
      <c r="H243" s="107"/>
      <c r="I243" s="64"/>
    </row>
    <row r="244" spans="2:9" x14ac:dyDescent="0.25">
      <c r="B244" s="2">
        <f t="shared" si="16"/>
        <v>228</v>
      </c>
      <c r="C244" s="14">
        <f t="shared" si="17"/>
        <v>0</v>
      </c>
      <c r="E244" s="64">
        <f t="shared" si="18"/>
        <v>0</v>
      </c>
      <c r="F244" s="64">
        <f t="shared" si="19"/>
        <v>0</v>
      </c>
      <c r="G244" s="64">
        <f t="shared" si="20"/>
        <v>0</v>
      </c>
      <c r="H244" s="107"/>
      <c r="I244" s="64"/>
    </row>
    <row r="245" spans="2:9" x14ac:dyDescent="0.25">
      <c r="B245" s="2">
        <f t="shared" si="16"/>
        <v>229</v>
      </c>
      <c r="C245" s="14">
        <f t="shared" si="17"/>
        <v>0</v>
      </c>
      <c r="E245" s="64">
        <f t="shared" si="18"/>
        <v>0</v>
      </c>
      <c r="F245" s="64">
        <f t="shared" si="19"/>
        <v>0</v>
      </c>
      <c r="G245" s="64">
        <f t="shared" si="20"/>
        <v>0</v>
      </c>
      <c r="H245" s="107"/>
      <c r="I245" s="64"/>
    </row>
    <row r="246" spans="2:9" x14ac:dyDescent="0.25">
      <c r="B246" s="2">
        <f t="shared" si="16"/>
        <v>230</v>
      </c>
      <c r="C246" s="14">
        <f t="shared" si="17"/>
        <v>0</v>
      </c>
      <c r="E246" s="64">
        <f t="shared" si="18"/>
        <v>0</v>
      </c>
      <c r="F246" s="64">
        <f t="shared" si="19"/>
        <v>0</v>
      </c>
      <c r="G246" s="64">
        <f t="shared" si="20"/>
        <v>0</v>
      </c>
      <c r="H246" s="107"/>
      <c r="I246" s="64"/>
    </row>
    <row r="247" spans="2:9" x14ac:dyDescent="0.25">
      <c r="B247" s="2">
        <f t="shared" si="16"/>
        <v>231</v>
      </c>
      <c r="C247" s="14">
        <f t="shared" si="17"/>
        <v>0</v>
      </c>
      <c r="E247" s="64">
        <f t="shared" si="18"/>
        <v>0</v>
      </c>
      <c r="F247" s="64">
        <f t="shared" si="19"/>
        <v>0</v>
      </c>
      <c r="G247" s="64">
        <f t="shared" si="20"/>
        <v>0</v>
      </c>
      <c r="H247" s="107"/>
      <c r="I247" s="64"/>
    </row>
    <row r="248" spans="2:9" x14ac:dyDescent="0.25">
      <c r="B248" s="2">
        <f t="shared" si="16"/>
        <v>232</v>
      </c>
      <c r="C248" s="14">
        <f t="shared" si="17"/>
        <v>0</v>
      </c>
      <c r="E248" s="64">
        <f t="shared" si="18"/>
        <v>0</v>
      </c>
      <c r="F248" s="64">
        <f t="shared" si="19"/>
        <v>0</v>
      </c>
      <c r="G248" s="64">
        <f t="shared" si="20"/>
        <v>0</v>
      </c>
      <c r="H248" s="107"/>
      <c r="I248" s="64"/>
    </row>
    <row r="249" spans="2:9" x14ac:dyDescent="0.25">
      <c r="B249" s="2">
        <f t="shared" si="16"/>
        <v>233</v>
      </c>
      <c r="C249" s="14">
        <f t="shared" si="17"/>
        <v>0</v>
      </c>
      <c r="E249" s="64">
        <f t="shared" si="18"/>
        <v>0</v>
      </c>
      <c r="F249" s="64">
        <f t="shared" si="19"/>
        <v>0</v>
      </c>
      <c r="G249" s="64">
        <f t="shared" si="20"/>
        <v>0</v>
      </c>
      <c r="H249" s="107"/>
      <c r="I249" s="64"/>
    </row>
    <row r="250" spans="2:9" x14ac:dyDescent="0.25">
      <c r="B250" s="2">
        <f t="shared" si="16"/>
        <v>234</v>
      </c>
      <c r="C250" s="14">
        <f t="shared" si="17"/>
        <v>0</v>
      </c>
      <c r="E250" s="64">
        <f t="shared" si="18"/>
        <v>0</v>
      </c>
      <c r="F250" s="64">
        <f t="shared" si="19"/>
        <v>0</v>
      </c>
      <c r="G250" s="64">
        <f t="shared" si="20"/>
        <v>0</v>
      </c>
      <c r="H250" s="107"/>
      <c r="I250" s="64"/>
    </row>
    <row r="251" spans="2:9" x14ac:dyDescent="0.25">
      <c r="B251" s="2">
        <f t="shared" si="16"/>
        <v>235</v>
      </c>
      <c r="C251" s="14">
        <f t="shared" si="17"/>
        <v>0</v>
      </c>
      <c r="E251" s="64">
        <f t="shared" si="18"/>
        <v>0</v>
      </c>
      <c r="F251" s="64">
        <f t="shared" si="19"/>
        <v>0</v>
      </c>
      <c r="G251" s="64">
        <f t="shared" si="20"/>
        <v>0</v>
      </c>
      <c r="H251" s="107"/>
      <c r="I251" s="64"/>
    </row>
    <row r="252" spans="2:9" x14ac:dyDescent="0.25">
      <c r="B252" s="2">
        <f t="shared" si="16"/>
        <v>236</v>
      </c>
      <c r="C252" s="14">
        <f t="shared" si="17"/>
        <v>0</v>
      </c>
      <c r="E252" s="64">
        <f t="shared" si="18"/>
        <v>0</v>
      </c>
      <c r="F252" s="64">
        <f t="shared" si="19"/>
        <v>0</v>
      </c>
      <c r="G252" s="64">
        <f t="shared" si="20"/>
        <v>0</v>
      </c>
      <c r="H252" s="107"/>
      <c r="I252" s="64"/>
    </row>
    <row r="253" spans="2:9" x14ac:dyDescent="0.25">
      <c r="B253" s="2">
        <f t="shared" si="16"/>
        <v>237</v>
      </c>
      <c r="C253" s="14">
        <f t="shared" si="17"/>
        <v>0</v>
      </c>
      <c r="E253" s="64">
        <f t="shared" si="18"/>
        <v>0</v>
      </c>
      <c r="F253" s="64">
        <f t="shared" si="19"/>
        <v>0</v>
      </c>
      <c r="G253" s="64">
        <f t="shared" si="20"/>
        <v>0</v>
      </c>
      <c r="H253" s="107"/>
      <c r="I253" s="64"/>
    </row>
    <row r="254" spans="2:9" x14ac:dyDescent="0.25">
      <c r="B254" s="2">
        <f t="shared" si="16"/>
        <v>238</v>
      </c>
      <c r="C254" s="14">
        <f t="shared" si="17"/>
        <v>0</v>
      </c>
      <c r="E254" s="64">
        <f t="shared" si="18"/>
        <v>0</v>
      </c>
      <c r="F254" s="64">
        <f t="shared" si="19"/>
        <v>0</v>
      </c>
      <c r="G254" s="64">
        <f t="shared" si="20"/>
        <v>0</v>
      </c>
      <c r="H254" s="107"/>
      <c r="I254" s="64"/>
    </row>
    <row r="255" spans="2:9" x14ac:dyDescent="0.25">
      <c r="B255" s="2">
        <f t="shared" si="16"/>
        <v>239</v>
      </c>
      <c r="C255" s="14">
        <f t="shared" si="17"/>
        <v>0</v>
      </c>
      <c r="E255" s="64">
        <f t="shared" si="18"/>
        <v>0</v>
      </c>
      <c r="F255" s="64">
        <f t="shared" si="19"/>
        <v>0</v>
      </c>
      <c r="G255" s="64">
        <f t="shared" si="20"/>
        <v>0</v>
      </c>
      <c r="H255" s="107"/>
      <c r="I255" s="64"/>
    </row>
    <row r="256" spans="2:9" x14ac:dyDescent="0.25">
      <c r="B256" s="2">
        <f t="shared" si="16"/>
        <v>240</v>
      </c>
      <c r="C256" s="14">
        <f t="shared" si="17"/>
        <v>0</v>
      </c>
      <c r="E256" s="64">
        <f t="shared" si="18"/>
        <v>0</v>
      </c>
      <c r="F256" s="64">
        <f t="shared" si="19"/>
        <v>0</v>
      </c>
      <c r="G256" s="64">
        <f t="shared" si="20"/>
        <v>0</v>
      </c>
      <c r="H256" s="107"/>
      <c r="I256" s="64"/>
    </row>
    <row r="257" spans="3:9" x14ac:dyDescent="0.25">
      <c r="E257" s="64"/>
      <c r="F257" s="64"/>
      <c r="G257" s="64"/>
      <c r="H257" s="107"/>
      <c r="I257" s="64"/>
    </row>
    <row r="258" spans="3:9" ht="16.5" thickBot="1" x14ac:dyDescent="0.3">
      <c r="C258" s="30">
        <f>SUM(C17:C257)</f>
        <v>0</v>
      </c>
      <c r="D258" s="37"/>
      <c r="E258" s="30">
        <f>SUM(E17:E257)</f>
        <v>0</v>
      </c>
      <c r="F258" s="30">
        <f>SUM(F17:F257)</f>
        <v>0</v>
      </c>
      <c r="G258" s="64"/>
      <c r="H258" s="107"/>
      <c r="I258" s="64"/>
    </row>
    <row r="259" spans="3:9" ht="16.5" thickTop="1" x14ac:dyDescent="0.25">
      <c r="E259" s="64"/>
      <c r="F259" s="64"/>
      <c r="G259" s="64"/>
      <c r="H259" s="107"/>
      <c r="I259" s="64"/>
    </row>
    <row r="260" spans="3:9" x14ac:dyDescent="0.25">
      <c r="E260" s="64"/>
      <c r="F260" s="64"/>
      <c r="G260" s="64"/>
      <c r="H260" s="107"/>
      <c r="I260" s="64"/>
    </row>
    <row r="261" spans="3:9" x14ac:dyDescent="0.25">
      <c r="E261" s="64"/>
      <c r="F261" s="64"/>
      <c r="G261" s="64"/>
      <c r="H261" s="107"/>
      <c r="I261" s="64"/>
    </row>
    <row r="262" spans="3:9" x14ac:dyDescent="0.25">
      <c r="F262" s="64"/>
      <c r="G262" s="64"/>
      <c r="H262" s="64"/>
      <c r="I262" s="64"/>
    </row>
    <row r="263" spans="3:9" x14ac:dyDescent="0.25">
      <c r="F263" s="64"/>
      <c r="G263" s="64"/>
      <c r="H263" s="64"/>
      <c r="I263" s="64"/>
    </row>
    <row r="264" spans="3:9" x14ac:dyDescent="0.25">
      <c r="F264" s="64"/>
      <c r="G264" s="64"/>
      <c r="H264" s="64"/>
      <c r="I264" s="64"/>
    </row>
    <row r="265" spans="3:9" x14ac:dyDescent="0.25">
      <c r="F265" s="64"/>
      <c r="G265" s="64"/>
      <c r="H265" s="64"/>
      <c r="I265" s="64"/>
    </row>
    <row r="266" spans="3:9" x14ac:dyDescent="0.25">
      <c r="F266" s="64"/>
      <c r="G266" s="64"/>
      <c r="H266" s="64"/>
      <c r="I266" s="64"/>
    </row>
    <row r="267" spans="3:9" x14ac:dyDescent="0.25">
      <c r="F267" s="64"/>
      <c r="G267" s="64"/>
      <c r="H267" s="64"/>
      <c r="I267" s="64"/>
    </row>
    <row r="268" spans="3:9" x14ac:dyDescent="0.25">
      <c r="F268" s="64"/>
      <c r="G268" s="64"/>
      <c r="H268" s="64"/>
      <c r="I268" s="64"/>
    </row>
    <row r="269" spans="3:9" x14ac:dyDescent="0.25">
      <c r="F269" s="64"/>
      <c r="G269" s="64"/>
      <c r="H269" s="64"/>
      <c r="I269" s="64"/>
    </row>
    <row r="270" spans="3:9" x14ac:dyDescent="0.25">
      <c r="F270" s="64"/>
      <c r="G270" s="64"/>
      <c r="H270" s="64"/>
      <c r="I270" s="64"/>
    </row>
    <row r="271" spans="3:9" x14ac:dyDescent="0.25">
      <c r="G271" s="2"/>
      <c r="H271" s="2"/>
    </row>
    <row r="272" spans="3:9" x14ac:dyDescent="0.25">
      <c r="G272" s="2"/>
      <c r="H272" s="2"/>
    </row>
    <row r="273" spans="7:8" x14ac:dyDescent="0.25">
      <c r="G273" s="2"/>
      <c r="H273" s="2"/>
    </row>
    <row r="274" spans="7:8" x14ac:dyDescent="0.25">
      <c r="G274" s="2"/>
      <c r="H274" s="2"/>
    </row>
    <row r="275" spans="7:8" x14ac:dyDescent="0.25">
      <c r="G275" s="2"/>
      <c r="H275" s="2"/>
    </row>
    <row r="276" spans="7:8" x14ac:dyDescent="0.25">
      <c r="G276" s="2"/>
      <c r="H276" s="2"/>
    </row>
    <row r="277" spans="7:8" x14ac:dyDescent="0.25">
      <c r="G277" s="2"/>
      <c r="H277" s="2"/>
    </row>
    <row r="278" spans="7:8" x14ac:dyDescent="0.25">
      <c r="G278" s="2"/>
      <c r="H278" s="2"/>
    </row>
    <row r="279" spans="7:8" x14ac:dyDescent="0.25">
      <c r="G279" s="2"/>
      <c r="H279" s="2"/>
    </row>
    <row r="280" spans="7:8" x14ac:dyDescent="0.25">
      <c r="G280" s="2"/>
      <c r="H280" s="2"/>
    </row>
    <row r="281" spans="7:8" x14ac:dyDescent="0.25">
      <c r="G281" s="2"/>
      <c r="H281" s="2"/>
    </row>
    <row r="282" spans="7:8" x14ac:dyDescent="0.25">
      <c r="G282" s="2"/>
      <c r="H282" s="2"/>
    </row>
    <row r="283" spans="7:8" x14ac:dyDescent="0.25">
      <c r="G283" s="2"/>
      <c r="H283" s="2"/>
    </row>
    <row r="284" spans="7:8" x14ac:dyDescent="0.25">
      <c r="G284" s="2"/>
      <c r="H284" s="2"/>
    </row>
    <row r="285" spans="7:8" x14ac:dyDescent="0.25">
      <c r="G285" s="2"/>
      <c r="H285" s="2"/>
    </row>
    <row r="286" spans="7:8" x14ac:dyDescent="0.25">
      <c r="G286" s="2"/>
      <c r="H286" s="2"/>
    </row>
    <row r="2604" spans="7:9" s="2" customFormat="1" x14ac:dyDescent="0.25">
      <c r="G2604" s="5"/>
      <c r="H2604" s="5"/>
      <c r="I2604" s="29"/>
    </row>
  </sheetData>
  <pageMargins left="0.75" right="0.75" top="1" bottom="1" header="0.5" footer="0.5"/>
  <pageSetup paperSize="9" scale="76"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31"/>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1" customWidth="1"/>
    <col min="3" max="3" width="46.42578125" style="12" bestFit="1" customWidth="1"/>
    <col min="4" max="5" width="15.42578125" style="13" bestFit="1" customWidth="1"/>
    <col min="6" max="6" width="15.42578125" style="13" customWidth="1"/>
    <col min="7" max="7" width="13.7109375" style="13" customWidth="1"/>
    <col min="8" max="8" width="15.85546875" style="13" bestFit="1" customWidth="1"/>
    <col min="9" max="9" width="17" style="155" bestFit="1" customWidth="1"/>
    <col min="10" max="10" width="3.85546875" style="76" customWidth="1"/>
    <col min="11" max="11" width="16.140625" bestFit="1" customWidth="1"/>
    <col min="12" max="12" width="4.140625" customWidth="1"/>
    <col min="13" max="13" width="8.85546875" customWidth="1"/>
    <col min="14" max="14" width="15.28515625" style="42" bestFit="1" customWidth="1"/>
    <col min="15" max="15" width="14.28515625" bestFit="1" customWidth="1"/>
    <col min="16" max="17" width="13.140625" bestFit="1" customWidth="1"/>
    <col min="18" max="18" width="13.85546875" bestFit="1" customWidth="1"/>
  </cols>
  <sheetData>
    <row r="1" spans="1:18" x14ac:dyDescent="0.2">
      <c r="A1" s="257"/>
      <c r="B1" s="258"/>
      <c r="C1" s="273" t="str">
        <f>Criteria!E14</f>
        <v>SUBSIDIARY ONE 111 (PTY) LTD</v>
      </c>
      <c r="D1" s="274"/>
      <c r="E1" s="274"/>
      <c r="F1" s="259"/>
      <c r="G1" s="260" t="s">
        <v>166</v>
      </c>
      <c r="H1" s="260"/>
      <c r="I1" s="261">
        <f>Criteria!E22</f>
        <v>2024</v>
      </c>
      <c r="J1" s="261"/>
      <c r="K1" s="261">
        <f>Criteria!E27</f>
        <v>2023</v>
      </c>
      <c r="L1" s="258"/>
      <c r="M1" s="258"/>
      <c r="N1" s="244" t="s">
        <v>350</v>
      </c>
      <c r="O1" s="62"/>
      <c r="P1" s="62"/>
    </row>
    <row r="2" spans="1:18" x14ac:dyDescent="0.2">
      <c r="A2" s="262" t="s">
        <v>1015</v>
      </c>
      <c r="B2" s="258"/>
      <c r="C2" s="258"/>
      <c r="D2" s="529">
        <f>D403-E403</f>
        <v>0</v>
      </c>
      <c r="E2" s="529"/>
      <c r="F2" s="264" t="s">
        <v>446</v>
      </c>
      <c r="G2" s="259">
        <f>G403</f>
        <v>0</v>
      </c>
      <c r="H2" s="259">
        <f>D2-E2</f>
        <v>0</v>
      </c>
      <c r="I2" s="266">
        <f>I403</f>
        <v>0</v>
      </c>
      <c r="J2" s="267"/>
      <c r="K2" s="268">
        <f>K403</f>
        <v>0</v>
      </c>
      <c r="L2" s="258"/>
      <c r="M2" s="258"/>
      <c r="N2" s="268">
        <f>SUM(I5:I155)</f>
        <v>0</v>
      </c>
      <c r="O2" s="63"/>
      <c r="P2" s="63"/>
    </row>
    <row r="3" spans="1:18" x14ac:dyDescent="0.2">
      <c r="A3" s="262" t="s">
        <v>620</v>
      </c>
      <c r="B3" s="275" t="s">
        <v>227</v>
      </c>
      <c r="C3" s="269" t="s">
        <v>228</v>
      </c>
      <c r="D3" s="262" t="s">
        <v>229</v>
      </c>
      <c r="E3" s="262" t="s">
        <v>230</v>
      </c>
      <c r="F3" s="270" t="s">
        <v>137</v>
      </c>
      <c r="G3" s="257"/>
      <c r="H3" s="257"/>
      <c r="I3" s="251"/>
      <c r="J3" s="272"/>
      <c r="K3" s="258"/>
      <c r="L3" s="258"/>
      <c r="M3" s="258"/>
      <c r="N3" s="241"/>
    </row>
    <row r="4" spans="1:18" x14ac:dyDescent="0.2">
      <c r="A4" s="121"/>
      <c r="B4" s="90" t="s">
        <v>231</v>
      </c>
      <c r="C4" s="239" t="s">
        <v>112</v>
      </c>
      <c r="D4" s="83"/>
      <c r="E4" s="51"/>
      <c r="F4" s="51"/>
      <c r="G4" s="38"/>
      <c r="H4" s="38"/>
      <c r="I4" s="153"/>
      <c r="J4" s="59"/>
      <c r="K4" s="46" t="s">
        <v>228</v>
      </c>
      <c r="N4" s="43"/>
    </row>
    <row r="5" spans="1:18" x14ac:dyDescent="0.2">
      <c r="A5" s="238"/>
      <c r="B5" s="10" t="s">
        <v>232</v>
      </c>
      <c r="C5" s="242" t="s">
        <v>907</v>
      </c>
      <c r="D5" s="281"/>
      <c r="E5" s="281"/>
      <c r="F5" s="79"/>
      <c r="G5" s="47">
        <f>SUMIF(JournalsA!D$14:D$920,TrialBalanceA!M5,JournalsA!J$14:J$920)+SUMIF(JournalsA!E$14:E$920,TrialBalanceA!M5,JournalsA!J$14:J$920)</f>
        <v>0</v>
      </c>
      <c r="H5" s="288"/>
      <c r="I5" s="255">
        <f t="shared" ref="I5:I41" si="0">ROUND(D5-E5+G5+F5,0)</f>
        <v>0</v>
      </c>
      <c r="J5" s="75"/>
      <c r="K5" s="48">
        <f t="shared" ref="K5:K72" si="1">ROUND(SUM(A5),0)</f>
        <v>0</v>
      </c>
      <c r="M5" s="140" t="str">
        <f t="shared" ref="M5:M72" si="2">CONCATENATE(B5,C5)</f>
        <v>1000/001Sale of goods</v>
      </c>
      <c r="N5" s="70"/>
      <c r="P5" s="71"/>
      <c r="Q5" s="51"/>
      <c r="R5" s="31"/>
    </row>
    <row r="6" spans="1:18" x14ac:dyDescent="0.2">
      <c r="A6" s="238"/>
      <c r="B6" s="90" t="s">
        <v>233</v>
      </c>
      <c r="C6" s="242" t="s">
        <v>908</v>
      </c>
      <c r="D6" s="281"/>
      <c r="E6" s="281"/>
      <c r="F6" s="79"/>
      <c r="G6" s="47">
        <f>SUMIF(JournalsA!D$14:D$920,TrialBalanceA!M6,JournalsA!J$14:J$920)+SUMIF(JournalsA!E$14:E$920,TrialBalanceA!M6,JournalsA!J$14:J$920)</f>
        <v>0</v>
      </c>
      <c r="H6" s="288"/>
      <c r="I6" s="255">
        <f t="shared" ref="I6:I9" si="3">ROUND(D6-E6+G6+F6,0)</f>
        <v>0</v>
      </c>
      <c r="J6" s="75"/>
      <c r="K6" s="48">
        <f t="shared" ref="K6:K9" si="4">ROUND(SUM(A6),0)</f>
        <v>0</v>
      </c>
      <c r="M6" s="140" t="str">
        <f t="shared" ref="M6:M9" si="5">CONCATENATE(B6,C6)</f>
        <v>1000/002Rendering of services</v>
      </c>
      <c r="N6" s="70"/>
      <c r="P6" s="71"/>
      <c r="Q6" s="51"/>
      <c r="R6" s="31"/>
    </row>
    <row r="7" spans="1:18" x14ac:dyDescent="0.2">
      <c r="A7" s="238"/>
      <c r="B7" s="90" t="s">
        <v>234</v>
      </c>
      <c r="C7" s="242" t="s">
        <v>909</v>
      </c>
      <c r="D7" s="281"/>
      <c r="E7" s="281"/>
      <c r="F7" s="79"/>
      <c r="G7" s="47">
        <f>SUMIF(JournalsA!D$14:D$920,TrialBalanceA!M7,JournalsA!J$14:J$920)+SUMIF(JournalsA!E$14:E$920,TrialBalanceA!M7,JournalsA!J$14:J$920)</f>
        <v>0</v>
      </c>
      <c r="H7" s="288"/>
      <c r="I7" s="255">
        <f t="shared" si="3"/>
        <v>0</v>
      </c>
      <c r="J7" s="75"/>
      <c r="K7" s="48">
        <f t="shared" si="4"/>
        <v>0</v>
      </c>
      <c r="M7" s="140" t="str">
        <f t="shared" si="5"/>
        <v>1000/003Commissions received</v>
      </c>
      <c r="N7" s="70"/>
      <c r="P7" s="71"/>
      <c r="Q7" s="51"/>
      <c r="R7" s="31"/>
    </row>
    <row r="8" spans="1:18" x14ac:dyDescent="0.2">
      <c r="A8" s="238"/>
      <c r="B8" s="90" t="s">
        <v>910</v>
      </c>
      <c r="C8" s="276"/>
      <c r="D8" s="281"/>
      <c r="E8" s="281"/>
      <c r="F8" s="79"/>
      <c r="G8" s="47">
        <f>SUMIF(JournalsA!D$14:D$920,TrialBalanceA!M8,JournalsA!J$14:J$920)+SUMIF(JournalsA!E$14:E$920,TrialBalanceA!M8,JournalsA!J$14:J$920)</f>
        <v>0</v>
      </c>
      <c r="H8" s="288"/>
      <c r="I8" s="255">
        <f t="shared" si="3"/>
        <v>0</v>
      </c>
      <c r="J8" s="75"/>
      <c r="K8" s="48">
        <f t="shared" si="4"/>
        <v>0</v>
      </c>
      <c r="M8" s="140" t="str">
        <f t="shared" si="5"/>
        <v>1000/004</v>
      </c>
      <c r="N8" s="70"/>
      <c r="P8" s="71"/>
      <c r="Q8" s="51"/>
      <c r="R8" s="31"/>
    </row>
    <row r="9" spans="1:18" x14ac:dyDescent="0.2">
      <c r="A9" s="238"/>
      <c r="B9" s="90" t="s">
        <v>911</v>
      </c>
      <c r="C9" s="276"/>
      <c r="D9" s="281"/>
      <c r="E9" s="281"/>
      <c r="F9" s="79"/>
      <c r="G9" s="47">
        <f>SUMIF(JournalsA!D$14:D$920,TrialBalanceA!M9,JournalsA!J$14:J$920)+SUMIF(JournalsA!E$14:E$920,TrialBalanceA!M9,JournalsA!J$14:J$920)</f>
        <v>0</v>
      </c>
      <c r="H9" s="288"/>
      <c r="I9" s="255">
        <f t="shared" si="3"/>
        <v>0</v>
      </c>
      <c r="J9" s="75"/>
      <c r="K9" s="48">
        <f t="shared" si="4"/>
        <v>0</v>
      </c>
      <c r="M9" s="140" t="str">
        <f t="shared" si="5"/>
        <v>1000/005</v>
      </c>
      <c r="N9" s="70"/>
      <c r="P9" s="71"/>
      <c r="Q9" s="51"/>
      <c r="R9" s="31"/>
    </row>
    <row r="10" spans="1:18" x14ac:dyDescent="0.2">
      <c r="A10" s="238"/>
      <c r="B10" s="90" t="s">
        <v>912</v>
      </c>
      <c r="C10" s="277"/>
      <c r="D10" s="282"/>
      <c r="E10" s="281"/>
      <c r="F10" s="79"/>
      <c r="G10" s="47">
        <f>SUMIF(JournalsA!D$14:D$920,TrialBalanceA!M10,JournalsA!J$14:J$920)+SUMIF(JournalsA!E$14:E$920,TrialBalanceA!M10,JournalsA!J$14:J$920)</f>
        <v>0</v>
      </c>
      <c r="H10" s="288"/>
      <c r="I10" s="255">
        <f t="shared" si="0"/>
        <v>0</v>
      </c>
      <c r="J10" s="75"/>
      <c r="K10" s="48">
        <f t="shared" si="1"/>
        <v>0</v>
      </c>
      <c r="M10" s="140" t="str">
        <f t="shared" si="2"/>
        <v>1000/006</v>
      </c>
      <c r="N10" s="70"/>
      <c r="P10" s="71"/>
      <c r="Q10" s="51"/>
      <c r="R10" s="31"/>
    </row>
    <row r="11" spans="1:18" x14ac:dyDescent="0.2">
      <c r="A11" s="238"/>
      <c r="B11" s="90" t="s">
        <v>913</v>
      </c>
      <c r="C11" s="241" t="s">
        <v>359</v>
      </c>
      <c r="D11" s="272"/>
      <c r="E11" s="281"/>
      <c r="F11" s="79"/>
      <c r="G11" s="47">
        <f>SUMIF(JournalsA!D$14:D$920,TrialBalanceA!M11,JournalsA!J$14:J$920)+SUMIF(JournalsA!E$14:E$920,TrialBalanceA!M11,JournalsA!J$14:J$920)</f>
        <v>0</v>
      </c>
      <c r="H11" s="288"/>
      <c r="I11" s="255">
        <f t="shared" si="0"/>
        <v>0</v>
      </c>
      <c r="J11" s="75"/>
      <c r="K11" s="48">
        <f t="shared" si="1"/>
        <v>0</v>
      </c>
      <c r="M11" s="140" t="str">
        <f t="shared" si="2"/>
        <v>1000/007Rent received</v>
      </c>
      <c r="N11" s="70"/>
      <c r="P11" s="71"/>
      <c r="Q11" s="51"/>
      <c r="R11" s="31"/>
    </row>
    <row r="12" spans="1:18" x14ac:dyDescent="0.2">
      <c r="A12" s="238"/>
      <c r="B12" s="54" t="s">
        <v>235</v>
      </c>
      <c r="C12" s="239" t="s">
        <v>113</v>
      </c>
      <c r="D12" s="283"/>
      <c r="E12" s="281"/>
      <c r="F12" s="79"/>
      <c r="G12" s="47">
        <f>SUMIF(JournalsA!D$14:D$920,TrialBalanceA!M12,JournalsA!J$14:J$920)+SUMIF(JournalsA!E$14:E$920,TrialBalanceA!M12,JournalsA!J$14:J$920)</f>
        <v>0</v>
      </c>
      <c r="H12" s="288"/>
      <c r="I12" s="255">
        <f t="shared" si="0"/>
        <v>0</v>
      </c>
      <c r="J12" s="75"/>
      <c r="K12" s="48">
        <f t="shared" si="1"/>
        <v>0</v>
      </c>
      <c r="M12" s="140" t="str">
        <f t="shared" si="2"/>
        <v>2000/000COST OF SALES</v>
      </c>
      <c r="N12" s="70"/>
      <c r="P12" s="71"/>
      <c r="Q12" s="51"/>
      <c r="R12" s="31"/>
    </row>
    <row r="13" spans="1:18" x14ac:dyDescent="0.2">
      <c r="A13" s="238"/>
      <c r="B13" s="54" t="s">
        <v>236</v>
      </c>
      <c r="C13" s="242" t="s">
        <v>664</v>
      </c>
      <c r="D13" s="284"/>
      <c r="E13" s="281"/>
      <c r="F13" s="79"/>
      <c r="G13" s="47">
        <f>SUMIF(JournalsA!D$14:D$920,TrialBalanceA!M13,JournalsA!J$14:J$920)+SUMIF(JournalsA!E$14:E$920,TrialBalanceA!M13,JournalsA!J$14:J$920)</f>
        <v>0</v>
      </c>
      <c r="H13" s="288"/>
      <c r="I13" s="255">
        <f t="shared" si="0"/>
        <v>0</v>
      </c>
      <c r="J13" s="75"/>
      <c r="K13" s="48">
        <f t="shared" si="1"/>
        <v>0</v>
      </c>
      <c r="M13" s="140" t="str">
        <f t="shared" si="2"/>
        <v>2000/001Opening stock - Raw materials</v>
      </c>
      <c r="N13" s="70"/>
      <c r="P13" s="71"/>
      <c r="Q13" s="51"/>
      <c r="R13" s="31"/>
    </row>
    <row r="14" spans="1:18" x14ac:dyDescent="0.2">
      <c r="A14" s="238"/>
      <c r="B14" s="54" t="s">
        <v>388</v>
      </c>
      <c r="C14" s="240" t="s">
        <v>389</v>
      </c>
      <c r="D14" s="282"/>
      <c r="E14" s="281"/>
      <c r="F14" s="79"/>
      <c r="G14" s="47">
        <f>SUMIF(JournalsA!D$14:D$920,TrialBalanceA!M14,JournalsA!J$14:J$920)+SUMIF(JournalsA!E$14:E$920,TrialBalanceA!M14,JournalsA!J$14:J$920)</f>
        <v>0</v>
      </c>
      <c r="H14" s="288"/>
      <c r="I14" s="255">
        <f t="shared" si="0"/>
        <v>0</v>
      </c>
      <c r="J14" s="75"/>
      <c r="K14" s="48">
        <f t="shared" si="1"/>
        <v>0</v>
      </c>
      <c r="M14" s="140" t="str">
        <f t="shared" si="2"/>
        <v>2000/002Opening stock - WIP</v>
      </c>
      <c r="N14" s="70"/>
      <c r="P14" s="71"/>
      <c r="Q14" s="51"/>
      <c r="R14" s="31"/>
    </row>
    <row r="15" spans="1:18" x14ac:dyDescent="0.2">
      <c r="A15" s="238"/>
      <c r="B15" s="54" t="s">
        <v>390</v>
      </c>
      <c r="C15" s="240" t="s">
        <v>391</v>
      </c>
      <c r="D15" s="282"/>
      <c r="E15" s="281"/>
      <c r="F15" s="79"/>
      <c r="G15" s="47">
        <f>SUMIF(JournalsA!D$14:D$920,TrialBalanceA!M15,JournalsA!J$14:J$920)+SUMIF(JournalsA!E$14:E$920,TrialBalanceA!M15,JournalsA!J$14:J$920)</f>
        <v>0</v>
      </c>
      <c r="H15" s="288"/>
      <c r="I15" s="255">
        <f t="shared" si="0"/>
        <v>0</v>
      </c>
      <c r="J15" s="75"/>
      <c r="K15" s="48">
        <f t="shared" si="1"/>
        <v>0</v>
      </c>
      <c r="M15" s="140" t="str">
        <f t="shared" si="2"/>
        <v>2000/003Opening stock - Finished goods</v>
      </c>
      <c r="N15" s="70"/>
      <c r="P15" s="71"/>
      <c r="Q15" s="51"/>
      <c r="R15" s="31"/>
    </row>
    <row r="16" spans="1:18" x14ac:dyDescent="0.2">
      <c r="A16" s="238"/>
      <c r="B16" s="54" t="s">
        <v>392</v>
      </c>
      <c r="C16" s="240" t="s">
        <v>393</v>
      </c>
      <c r="D16" s="282"/>
      <c r="E16" s="281"/>
      <c r="F16" s="79"/>
      <c r="G16" s="47">
        <f>SUMIF(JournalsA!D$14:D$920,TrialBalanceA!M16,JournalsA!J$14:J$920)+SUMIF(JournalsA!E$14:E$920,TrialBalanceA!M16,JournalsA!J$14:J$920)</f>
        <v>0</v>
      </c>
      <c r="H16" s="288"/>
      <c r="I16" s="255">
        <f t="shared" si="0"/>
        <v>0</v>
      </c>
      <c r="J16" s="75"/>
      <c r="K16" s="48">
        <f t="shared" si="1"/>
        <v>0</v>
      </c>
      <c r="M16" s="140" t="str">
        <f t="shared" si="2"/>
        <v>2000/004Opening stock - Trading stock</v>
      </c>
      <c r="N16" s="70"/>
      <c r="P16" s="71"/>
      <c r="Q16" s="51"/>
      <c r="R16" s="31"/>
    </row>
    <row r="17" spans="1:18" x14ac:dyDescent="0.2">
      <c r="A17" s="238"/>
      <c r="B17" s="10" t="s">
        <v>394</v>
      </c>
      <c r="C17" s="240" t="s">
        <v>274</v>
      </c>
      <c r="D17" s="282"/>
      <c r="E17" s="281"/>
      <c r="F17" s="79"/>
      <c r="G17" s="47">
        <f>SUMIF(JournalsA!D$14:D$920,TrialBalanceA!M17,JournalsA!J$14:J$920)+SUMIF(JournalsA!E$14:E$920,TrialBalanceA!M17,JournalsA!J$14:J$920)</f>
        <v>0</v>
      </c>
      <c r="H17" s="288"/>
      <c r="I17" s="255">
        <f t="shared" si="0"/>
        <v>0</v>
      </c>
      <c r="J17" s="75"/>
      <c r="K17" s="48">
        <f t="shared" si="1"/>
        <v>0</v>
      </c>
      <c r="M17" s="140" t="str">
        <f t="shared" si="2"/>
        <v>2000/010Purchases</v>
      </c>
      <c r="N17" s="70"/>
      <c r="P17" s="71"/>
      <c r="Q17" s="51"/>
      <c r="R17" s="31"/>
    </row>
    <row r="18" spans="1:18" x14ac:dyDescent="0.2">
      <c r="A18" s="238"/>
      <c r="B18" s="10" t="s">
        <v>395</v>
      </c>
      <c r="C18" s="276"/>
      <c r="D18" s="272"/>
      <c r="E18" s="281"/>
      <c r="F18" s="79"/>
      <c r="G18" s="47">
        <f>SUMIF(JournalsA!D$14:D$920,TrialBalanceA!M18,JournalsA!J$14:J$920)+SUMIF(JournalsA!E$14:E$920,TrialBalanceA!M18,JournalsA!J$14:J$920)</f>
        <v>0</v>
      </c>
      <c r="H18" s="288"/>
      <c r="I18" s="255">
        <f t="shared" si="0"/>
        <v>0</v>
      </c>
      <c r="J18" s="75"/>
      <c r="K18" s="48">
        <f t="shared" si="1"/>
        <v>0</v>
      </c>
      <c r="M18" s="140" t="str">
        <f t="shared" si="2"/>
        <v>2000/011</v>
      </c>
      <c r="N18" s="70"/>
      <c r="O18" s="31"/>
      <c r="P18" s="71"/>
      <c r="Q18" s="51"/>
      <c r="R18" s="31"/>
    </row>
    <row r="19" spans="1:18" x14ac:dyDescent="0.2">
      <c r="A19" s="238"/>
      <c r="B19" s="54" t="s">
        <v>396</v>
      </c>
      <c r="C19" s="276"/>
      <c r="D19" s="272"/>
      <c r="E19" s="281"/>
      <c r="F19" s="79"/>
      <c r="G19" s="47">
        <f>SUMIF(JournalsA!D$14:D$920,TrialBalanceA!M19,JournalsA!J$14:J$920)+SUMIF(JournalsA!E$14:E$920,TrialBalanceA!M19,JournalsA!J$14:J$920)</f>
        <v>0</v>
      </c>
      <c r="H19" s="288"/>
      <c r="I19" s="255">
        <f t="shared" si="0"/>
        <v>0</v>
      </c>
      <c r="J19" s="75"/>
      <c r="K19" s="48">
        <f t="shared" si="1"/>
        <v>0</v>
      </c>
      <c r="M19" s="140" t="str">
        <f t="shared" si="2"/>
        <v>2000/012</v>
      </c>
      <c r="N19" s="70"/>
      <c r="P19" s="71"/>
      <c r="Q19" s="51"/>
      <c r="R19" s="31"/>
    </row>
    <row r="20" spans="1:18" x14ac:dyDescent="0.2">
      <c r="A20" s="238"/>
      <c r="B20" s="54" t="s">
        <v>397</v>
      </c>
      <c r="C20" s="277"/>
      <c r="D20" s="272"/>
      <c r="E20" s="281"/>
      <c r="F20" s="79"/>
      <c r="G20" s="47">
        <f>SUMIF(JournalsA!D$14:D$920,TrialBalanceA!M20,JournalsA!J$14:J$920)+SUMIF(JournalsA!E$14:E$920,TrialBalanceA!M20,JournalsA!J$14:J$920)</f>
        <v>0</v>
      </c>
      <c r="H20" s="288"/>
      <c r="I20" s="255">
        <f t="shared" si="0"/>
        <v>0</v>
      </c>
      <c r="J20" s="75"/>
      <c r="K20" s="48">
        <f t="shared" si="1"/>
        <v>0</v>
      </c>
      <c r="M20" s="140" t="str">
        <f t="shared" si="2"/>
        <v>2000/013</v>
      </c>
      <c r="N20" s="70"/>
      <c r="P20" s="71"/>
      <c r="Q20" s="51"/>
      <c r="R20" s="31"/>
    </row>
    <row r="21" spans="1:18" x14ac:dyDescent="0.2">
      <c r="A21" s="238"/>
      <c r="B21" s="54" t="s">
        <v>398</v>
      </c>
      <c r="C21" s="277"/>
      <c r="D21" s="272"/>
      <c r="E21" s="281"/>
      <c r="F21" s="79"/>
      <c r="G21" s="47">
        <f>SUMIF(JournalsA!D$14:D$920,TrialBalanceA!M21,JournalsA!J$14:J$920)+SUMIF(JournalsA!E$14:E$920,TrialBalanceA!M21,JournalsA!J$14:J$920)</f>
        <v>0</v>
      </c>
      <c r="H21" s="288"/>
      <c r="I21" s="255">
        <f t="shared" si="0"/>
        <v>0</v>
      </c>
      <c r="J21" s="75"/>
      <c r="K21" s="48">
        <f t="shared" si="1"/>
        <v>0</v>
      </c>
      <c r="M21" s="140" t="str">
        <f t="shared" si="2"/>
        <v>2000/014</v>
      </c>
      <c r="N21" s="70"/>
      <c r="P21" s="71"/>
      <c r="Q21" s="51"/>
      <c r="R21" s="31"/>
    </row>
    <row r="22" spans="1:18" x14ac:dyDescent="0.2">
      <c r="A22" s="238"/>
      <c r="B22" s="54" t="s">
        <v>399</v>
      </c>
      <c r="C22" s="277"/>
      <c r="D22" s="272"/>
      <c r="E22" s="281"/>
      <c r="F22" s="79"/>
      <c r="G22" s="47">
        <f>SUMIF(JournalsA!D$14:D$920,TrialBalanceA!M22,JournalsA!J$14:J$920)+SUMIF(JournalsA!E$14:E$920,TrialBalanceA!M22,JournalsA!J$14:J$920)</f>
        <v>0</v>
      </c>
      <c r="H22" s="288"/>
      <c r="I22" s="255">
        <f t="shared" si="0"/>
        <v>0</v>
      </c>
      <c r="J22" s="75"/>
      <c r="K22" s="48">
        <f t="shared" si="1"/>
        <v>0</v>
      </c>
      <c r="M22" s="140" t="str">
        <f t="shared" si="2"/>
        <v>2000/015</v>
      </c>
      <c r="N22" s="70"/>
      <c r="P22" s="71"/>
      <c r="Q22" s="51"/>
      <c r="R22" s="31"/>
    </row>
    <row r="23" spans="1:18" x14ac:dyDescent="0.2">
      <c r="A23" s="238"/>
      <c r="B23" s="54" t="s">
        <v>400</v>
      </c>
      <c r="C23" s="240" t="s">
        <v>401</v>
      </c>
      <c r="D23" s="282"/>
      <c r="E23" s="281"/>
      <c r="F23" s="79"/>
      <c r="G23" s="47">
        <f>SUMIF(JournalsA!D$14:D$920,TrialBalanceA!M23,JournalsA!J$14:J$920)+SUMIF(JournalsA!E$14:E$920,TrialBalanceA!M23,JournalsA!J$14:J$920)</f>
        <v>0</v>
      </c>
      <c r="H23" s="288"/>
      <c r="I23" s="255">
        <f t="shared" si="0"/>
        <v>0</v>
      </c>
      <c r="J23" s="75"/>
      <c r="K23" s="48">
        <f t="shared" si="1"/>
        <v>0</v>
      </c>
      <c r="M23" s="140" t="str">
        <f t="shared" si="2"/>
        <v>2000/050Closing stock - Raw materials</v>
      </c>
      <c r="N23" s="70"/>
      <c r="P23" s="71"/>
      <c r="Q23" s="51"/>
      <c r="R23" s="31"/>
    </row>
    <row r="24" spans="1:18" x14ac:dyDescent="0.2">
      <c r="A24" s="238"/>
      <c r="B24" s="54" t="s">
        <v>402</v>
      </c>
      <c r="C24" s="240" t="s">
        <v>403</v>
      </c>
      <c r="D24" s="282"/>
      <c r="E24" s="281"/>
      <c r="F24" s="79"/>
      <c r="G24" s="47">
        <f>SUMIF(JournalsA!D$14:D$920,TrialBalanceA!M24,JournalsA!J$14:J$920)+SUMIF(JournalsA!E$14:E$920,TrialBalanceA!M24,JournalsA!J$14:J$920)</f>
        <v>0</v>
      </c>
      <c r="H24" s="288"/>
      <c r="I24" s="255">
        <f t="shared" si="0"/>
        <v>0</v>
      </c>
      <c r="J24" s="75"/>
      <c r="K24" s="48">
        <f t="shared" si="1"/>
        <v>0</v>
      </c>
      <c r="M24" s="140" t="str">
        <f t="shared" si="2"/>
        <v>2000/051Closing stock - WIP</v>
      </c>
      <c r="N24" s="70"/>
      <c r="P24" s="71"/>
      <c r="Q24" s="51"/>
      <c r="R24" s="31"/>
    </row>
    <row r="25" spans="1:18" x14ac:dyDescent="0.2">
      <c r="A25" s="238"/>
      <c r="B25" s="54" t="s">
        <v>404</v>
      </c>
      <c r="C25" s="240" t="s">
        <v>405</v>
      </c>
      <c r="D25" s="282"/>
      <c r="E25" s="281"/>
      <c r="F25" s="79"/>
      <c r="G25" s="47">
        <f>SUMIF(JournalsA!D$14:D$920,TrialBalanceA!M25,JournalsA!J$14:J$920)+SUMIF(JournalsA!E$14:E$920,TrialBalanceA!M25,JournalsA!J$14:J$920)</f>
        <v>0</v>
      </c>
      <c r="H25" s="288"/>
      <c r="I25" s="255">
        <f t="shared" si="0"/>
        <v>0</v>
      </c>
      <c r="J25" s="75"/>
      <c r="K25" s="48">
        <f t="shared" si="1"/>
        <v>0</v>
      </c>
      <c r="M25" s="140" t="str">
        <f t="shared" si="2"/>
        <v>2000/052Closing stock - Finished goods</v>
      </c>
      <c r="N25" s="70"/>
      <c r="P25" s="71"/>
      <c r="Q25" s="51"/>
      <c r="R25" s="31"/>
    </row>
    <row r="26" spans="1:18" x14ac:dyDescent="0.2">
      <c r="A26" s="238"/>
      <c r="B26" s="54" t="s">
        <v>406</v>
      </c>
      <c r="C26" s="240" t="s">
        <v>407</v>
      </c>
      <c r="D26" s="282"/>
      <c r="E26" s="281"/>
      <c r="F26" s="79"/>
      <c r="G26" s="47">
        <f>SUMIF(JournalsA!D$14:D$920,TrialBalanceA!M26,JournalsA!J$14:J$920)+SUMIF(JournalsA!E$14:E$920,TrialBalanceA!M26,JournalsA!J$14:J$920)</f>
        <v>0</v>
      </c>
      <c r="H26" s="288"/>
      <c r="I26" s="255">
        <f t="shared" si="0"/>
        <v>0</v>
      </c>
      <c r="J26" s="75"/>
      <c r="K26" s="48">
        <f t="shared" si="1"/>
        <v>0</v>
      </c>
      <c r="M26" s="140" t="str">
        <f t="shared" si="2"/>
        <v>2000/053Closing stock - Trading stock</v>
      </c>
      <c r="N26" s="70"/>
      <c r="P26" s="71"/>
      <c r="Q26" s="51"/>
      <c r="R26" s="31"/>
    </row>
    <row r="27" spans="1:18" x14ac:dyDescent="0.2">
      <c r="A27" s="238"/>
      <c r="B27" s="56" t="s">
        <v>324</v>
      </c>
      <c r="C27" s="244" t="s">
        <v>323</v>
      </c>
      <c r="D27" s="270"/>
      <c r="E27" s="281"/>
      <c r="F27" s="79"/>
      <c r="G27" s="47">
        <f>SUMIF(JournalsA!D$14:D$920,TrialBalanceA!M27,JournalsA!J$14:J$920)+SUMIF(JournalsA!E$14:E$920,TrialBalanceA!M27,JournalsA!J$14:J$920)</f>
        <v>0</v>
      </c>
      <c r="H27" s="288"/>
      <c r="I27" s="255">
        <f t="shared" si="0"/>
        <v>0</v>
      </c>
      <c r="J27" s="75"/>
      <c r="K27" s="48">
        <f t="shared" si="1"/>
        <v>0</v>
      </c>
      <c r="M27" s="140" t="str">
        <f t="shared" si="2"/>
        <v>2050/000OTHER OPERATING INCOME</v>
      </c>
      <c r="N27" s="70"/>
      <c r="P27" s="71"/>
      <c r="Q27" s="51"/>
      <c r="R27" s="31"/>
    </row>
    <row r="28" spans="1:18" x14ac:dyDescent="0.2">
      <c r="A28" s="238"/>
      <c r="B28" s="56" t="s">
        <v>325</v>
      </c>
      <c r="C28" s="241" t="str">
        <f>CONCATENATE("Insurance claims - ",Criteria!H14)</f>
        <v>Insurance claims - Subsidiary One 111 (Pty) Ltd</v>
      </c>
      <c r="D28" s="281"/>
      <c r="E28" s="281"/>
      <c r="F28" s="79"/>
      <c r="G28" s="47">
        <f>SUMIF(JournalsA!D$14:D$920,TrialBalanceA!M28,JournalsA!J$14:J$920)+SUMIF(JournalsA!E$14:E$920,TrialBalanceA!M28,JournalsA!J$14:J$920)</f>
        <v>0</v>
      </c>
      <c r="H28" s="288"/>
      <c r="I28" s="255">
        <f t="shared" si="0"/>
        <v>0</v>
      </c>
      <c r="J28" s="75"/>
      <c r="K28" s="48">
        <f t="shared" si="1"/>
        <v>0</v>
      </c>
      <c r="M28" s="140" t="str">
        <f t="shared" si="2"/>
        <v>2050/001Insurance claims - Subsidiary One 111 (Pty) Ltd</v>
      </c>
      <c r="N28" s="70"/>
      <c r="P28" s="71"/>
      <c r="Q28" s="51"/>
      <c r="R28" s="31"/>
    </row>
    <row r="29" spans="1:18" x14ac:dyDescent="0.2">
      <c r="A29" s="238"/>
      <c r="B29" s="56" t="s">
        <v>326</v>
      </c>
      <c r="C29" s="241" t="s">
        <v>831</v>
      </c>
      <c r="D29" s="281"/>
      <c r="E29" s="281"/>
      <c r="F29" s="79"/>
      <c r="G29" s="47">
        <f>SUMIF(JournalsA!D$14:D$920,TrialBalanceA!M29,JournalsA!J$14:J$920)+SUMIF(JournalsA!E$14:E$920,TrialBalanceA!M29,JournalsA!J$14:J$920)</f>
        <v>0</v>
      </c>
      <c r="H29" s="288"/>
      <c r="I29" s="255">
        <f t="shared" si="0"/>
        <v>0</v>
      </c>
      <c r="J29" s="75"/>
      <c r="K29" s="48">
        <f t="shared" si="1"/>
        <v>0</v>
      </c>
      <c r="M29" s="140" t="str">
        <f t="shared" si="2"/>
        <v>2050/002Government grants received</v>
      </c>
      <c r="N29" s="70"/>
      <c r="P29" s="71"/>
      <c r="Q29" s="51"/>
      <c r="R29" s="31"/>
    </row>
    <row r="30" spans="1:18" x14ac:dyDescent="0.2">
      <c r="A30" s="238"/>
      <c r="B30" s="56" t="s">
        <v>327</v>
      </c>
      <c r="C30" s="277"/>
      <c r="D30" s="272"/>
      <c r="E30" s="281"/>
      <c r="F30" s="79"/>
      <c r="G30" s="47">
        <f>SUMIF(JournalsA!D$14:D$920,TrialBalanceA!M30,JournalsA!J$14:J$920)+SUMIF(JournalsA!E$14:E$920,TrialBalanceA!M30,JournalsA!J$14:J$920)</f>
        <v>0</v>
      </c>
      <c r="H30" s="288"/>
      <c r="I30" s="255">
        <f t="shared" si="0"/>
        <v>0</v>
      </c>
      <c r="J30" s="75"/>
      <c r="K30" s="48">
        <f t="shared" si="1"/>
        <v>0</v>
      </c>
      <c r="M30" s="140" t="str">
        <f t="shared" si="2"/>
        <v>2050/003</v>
      </c>
      <c r="N30" s="70"/>
      <c r="P30" s="71"/>
      <c r="Q30" s="51"/>
      <c r="R30" s="31"/>
    </row>
    <row r="31" spans="1:18" x14ac:dyDescent="0.2">
      <c r="A31" s="238"/>
      <c r="B31" s="56" t="s">
        <v>328</v>
      </c>
      <c r="C31" s="277"/>
      <c r="D31" s="272"/>
      <c r="E31" s="281"/>
      <c r="F31" s="79"/>
      <c r="G31" s="47">
        <f>SUMIF(JournalsA!D$14:D$920,TrialBalanceA!M31,JournalsA!J$14:J$920)+SUMIF(JournalsA!E$14:E$920,TrialBalanceA!M31,JournalsA!J$14:J$920)</f>
        <v>0</v>
      </c>
      <c r="H31" s="288"/>
      <c r="I31" s="255">
        <f t="shared" si="0"/>
        <v>0</v>
      </c>
      <c r="J31" s="75"/>
      <c r="K31" s="48">
        <f t="shared" si="1"/>
        <v>0</v>
      </c>
      <c r="M31" s="140" t="str">
        <f t="shared" si="2"/>
        <v>2050/004</v>
      </c>
      <c r="N31" s="70"/>
      <c r="P31" s="71"/>
      <c r="Q31" s="51"/>
      <c r="R31" s="31"/>
    </row>
    <row r="32" spans="1:18" x14ac:dyDescent="0.2">
      <c r="A32" s="238"/>
      <c r="B32" s="56" t="s">
        <v>329</v>
      </c>
      <c r="C32" s="277"/>
      <c r="D32" s="272"/>
      <c r="E32" s="281"/>
      <c r="F32" s="79"/>
      <c r="G32" s="47">
        <f>SUMIF(JournalsA!D$14:D$920,TrialBalanceA!M32,JournalsA!J$14:J$920)+SUMIF(JournalsA!E$14:E$920,TrialBalanceA!M32,JournalsA!J$14:J$920)</f>
        <v>0</v>
      </c>
      <c r="H32" s="288"/>
      <c r="I32" s="255">
        <f t="shared" si="0"/>
        <v>0</v>
      </c>
      <c r="J32" s="75"/>
      <c r="K32" s="48">
        <f t="shared" si="1"/>
        <v>0</v>
      </c>
      <c r="M32" s="140" t="str">
        <f t="shared" si="2"/>
        <v>2050/005</v>
      </c>
      <c r="N32" s="70"/>
      <c r="P32" s="71"/>
      <c r="Q32" s="51"/>
      <c r="R32" s="31"/>
    </row>
    <row r="33" spans="1:18" x14ac:dyDescent="0.2">
      <c r="A33" s="238"/>
      <c r="B33" s="43" t="s">
        <v>1073</v>
      </c>
      <c r="C33" s="241" t="s">
        <v>1074</v>
      </c>
      <c r="D33" s="272"/>
      <c r="E33" s="281"/>
      <c r="F33" s="79"/>
      <c r="G33" s="47">
        <f>SUMIF(JournalsA!D$14:D$920,TrialBalanceA!M33,JournalsA!J$14:J$920)+SUMIF(JournalsA!E$14:E$920,TrialBalanceA!M33,JournalsA!J$14:J$920)</f>
        <v>0</v>
      </c>
      <c r="H33" s="288"/>
      <c r="I33" s="255">
        <f t="shared" ref="I33" si="6">ROUND(D33-E33+G33+F33,0)</f>
        <v>0</v>
      </c>
      <c r="J33" s="75"/>
      <c r="K33" s="48">
        <f t="shared" ref="K33" si="7">ROUND(SUM(A33),0)</f>
        <v>0</v>
      </c>
      <c r="M33" s="140" t="str">
        <f t="shared" ref="M33" si="8">CONCATENATE(B33,C33)</f>
        <v>2050/006Recoupment of depreciation</v>
      </c>
      <c r="N33" s="70"/>
      <c r="P33" s="71"/>
      <c r="Q33" s="51"/>
      <c r="R33" s="31"/>
    </row>
    <row r="34" spans="1:18" x14ac:dyDescent="0.2">
      <c r="A34" s="238"/>
      <c r="B34" s="43" t="s">
        <v>666</v>
      </c>
      <c r="C34" s="244" t="s">
        <v>665</v>
      </c>
      <c r="D34" s="270"/>
      <c r="E34" s="281"/>
      <c r="F34" s="79"/>
      <c r="G34" s="47">
        <f>SUMIF(JournalsA!D$14:D$920,TrialBalanceA!M34,JournalsA!J$14:J$920)+SUMIF(JournalsA!E$14:E$920,TrialBalanceA!M34,JournalsA!J$14:J$920)</f>
        <v>0</v>
      </c>
      <c r="H34" s="288"/>
      <c r="I34" s="255">
        <f t="shared" si="0"/>
        <v>0</v>
      </c>
      <c r="J34" s="75"/>
      <c r="K34" s="48">
        <f t="shared" si="1"/>
        <v>0</v>
      </c>
      <c r="M34" s="140" t="str">
        <f t="shared" si="2"/>
        <v>2060/000NET (PROFIT)/LOSS OTHER</v>
      </c>
      <c r="N34" s="70"/>
      <c r="P34" s="71"/>
      <c r="Q34" s="51"/>
      <c r="R34" s="31"/>
    </row>
    <row r="35" spans="1:18" x14ac:dyDescent="0.2">
      <c r="A35" s="238"/>
      <c r="B35" s="43" t="s">
        <v>574</v>
      </c>
      <c r="C35" s="241"/>
      <c r="D35" s="285"/>
      <c r="E35" s="281"/>
      <c r="F35" s="79"/>
      <c r="G35" s="47">
        <f>SUMIF(JournalsA!D$14:D$920,TrialBalanceA!M35,JournalsA!J$14:J$920)+SUMIF(JournalsA!E$14:E$920,TrialBalanceA!M35,JournalsA!J$14:J$920)</f>
        <v>0</v>
      </c>
      <c r="H35" s="288"/>
      <c r="I35" s="255">
        <f t="shared" si="0"/>
        <v>0</v>
      </c>
      <c r="J35" s="75"/>
      <c r="K35" s="48">
        <f t="shared" si="1"/>
        <v>0</v>
      </c>
      <c r="M35" s="140" t="str">
        <f t="shared" si="2"/>
        <v>2060/001</v>
      </c>
      <c r="N35" s="70"/>
      <c r="P35" s="71"/>
      <c r="Q35" s="51"/>
      <c r="R35" s="31"/>
    </row>
    <row r="36" spans="1:18" x14ac:dyDescent="0.2">
      <c r="A36" s="238"/>
      <c r="B36" s="43" t="s">
        <v>575</v>
      </c>
      <c r="C36" s="246"/>
      <c r="D36" s="285"/>
      <c r="E36" s="281"/>
      <c r="F36" s="79"/>
      <c r="G36" s="47">
        <f>SUMIF(JournalsA!D$14:D$920,TrialBalanceA!M36,JournalsA!J$14:J$920)+SUMIF(JournalsA!E$14:E$920,TrialBalanceA!M36,JournalsA!J$14:J$920)</f>
        <v>0</v>
      </c>
      <c r="H36" s="288"/>
      <c r="I36" s="255">
        <f t="shared" si="0"/>
        <v>0</v>
      </c>
      <c r="J36" s="75"/>
      <c r="K36" s="48">
        <f t="shared" si="1"/>
        <v>0</v>
      </c>
      <c r="M36" s="140" t="str">
        <f t="shared" si="2"/>
        <v>2060/002</v>
      </c>
      <c r="N36" s="70"/>
      <c r="P36" s="71"/>
      <c r="Q36" s="51"/>
      <c r="R36" s="31"/>
    </row>
    <row r="37" spans="1:18" x14ac:dyDescent="0.2">
      <c r="A37" s="238"/>
      <c r="B37" s="43" t="s">
        <v>576</v>
      </c>
      <c r="C37" s="246"/>
      <c r="D37" s="285"/>
      <c r="E37" s="281"/>
      <c r="F37" s="79"/>
      <c r="G37" s="47">
        <f>SUMIF(JournalsA!D$14:D$920,TrialBalanceA!M37,JournalsA!J$14:J$920)+SUMIF(JournalsA!E$14:E$920,TrialBalanceA!M37,JournalsA!J$14:J$920)</f>
        <v>0</v>
      </c>
      <c r="H37" s="288"/>
      <c r="I37" s="255">
        <f t="shared" si="0"/>
        <v>0</v>
      </c>
      <c r="J37" s="75"/>
      <c r="K37" s="48">
        <f t="shared" si="1"/>
        <v>0</v>
      </c>
      <c r="M37" s="140" t="str">
        <f t="shared" si="2"/>
        <v>2060/003</v>
      </c>
      <c r="N37" s="70"/>
      <c r="P37" s="71"/>
      <c r="Q37" s="51"/>
      <c r="R37" s="31"/>
    </row>
    <row r="38" spans="1:18" x14ac:dyDescent="0.2">
      <c r="A38" s="238"/>
      <c r="B38" s="43" t="s">
        <v>577</v>
      </c>
      <c r="C38" s="246"/>
      <c r="D38" s="272"/>
      <c r="E38" s="281"/>
      <c r="F38" s="79"/>
      <c r="G38" s="47">
        <f>SUMIF(JournalsA!D$14:D$920,TrialBalanceA!M38,JournalsA!J$14:J$920)+SUMIF(JournalsA!E$14:E$920,TrialBalanceA!M38,JournalsA!J$14:J$920)</f>
        <v>0</v>
      </c>
      <c r="H38" s="288"/>
      <c r="I38" s="255">
        <f t="shared" si="0"/>
        <v>0</v>
      </c>
      <c r="J38" s="75"/>
      <c r="K38" s="48">
        <f t="shared" si="1"/>
        <v>0</v>
      </c>
      <c r="M38" s="140" t="str">
        <f t="shared" si="2"/>
        <v>2060/004</v>
      </c>
      <c r="N38" s="70"/>
      <c r="P38" s="71"/>
      <c r="Q38" s="51"/>
      <c r="R38" s="31"/>
    </row>
    <row r="39" spans="1:18" x14ac:dyDescent="0.2">
      <c r="A39" s="238"/>
      <c r="B39" s="54" t="s">
        <v>408</v>
      </c>
      <c r="C39" s="239" t="s">
        <v>995</v>
      </c>
      <c r="D39" s="283"/>
      <c r="E39" s="281"/>
      <c r="F39" s="79"/>
      <c r="G39" s="47">
        <f>SUMIF(JournalsA!D$14:D$920,TrialBalanceA!M39,JournalsA!J$14:J$920)+SUMIF(JournalsA!E$14:E$920,TrialBalanceA!M39,JournalsA!J$14:J$920)</f>
        <v>0</v>
      </c>
      <c r="H39" s="288"/>
      <c r="I39" s="255">
        <f t="shared" si="0"/>
        <v>0</v>
      </c>
      <c r="J39" s="75"/>
      <c r="K39" s="48">
        <f t="shared" si="1"/>
        <v>0</v>
      </c>
      <c r="M39" s="140" t="str">
        <f t="shared" si="2"/>
        <v>2100/000OPERATING EXPENSES</v>
      </c>
      <c r="N39" s="70"/>
      <c r="P39" s="71"/>
      <c r="Q39" s="51"/>
      <c r="R39" s="31"/>
    </row>
    <row r="40" spans="1:18" x14ac:dyDescent="0.2">
      <c r="A40" s="238"/>
      <c r="B40" s="54" t="s">
        <v>409</v>
      </c>
      <c r="C40" s="240" t="s">
        <v>275</v>
      </c>
      <c r="D40" s="282"/>
      <c r="E40" s="281"/>
      <c r="F40" s="79"/>
      <c r="G40" s="47">
        <f>SUMIF(JournalsA!D$14:D$920,TrialBalanceA!M40,JournalsA!J$14:J$920)+SUMIF(JournalsA!E$14:E$920,TrialBalanceA!M40,JournalsA!J$14:J$920)</f>
        <v>0</v>
      </c>
      <c r="H40" s="288"/>
      <c r="I40" s="255">
        <f t="shared" si="0"/>
        <v>0</v>
      </c>
      <c r="J40" s="75"/>
      <c r="K40" s="48">
        <f t="shared" si="1"/>
        <v>0</v>
      </c>
      <c r="M40" s="140" t="str">
        <f t="shared" si="2"/>
        <v>2100/001Advertising</v>
      </c>
      <c r="N40" s="70"/>
      <c r="P40" s="71"/>
      <c r="Q40" s="51"/>
      <c r="R40" s="31"/>
    </row>
    <row r="41" spans="1:18" x14ac:dyDescent="0.2">
      <c r="A41" s="238"/>
      <c r="B41" s="54" t="s">
        <v>410</v>
      </c>
      <c r="C41" s="242" t="s">
        <v>701</v>
      </c>
      <c r="D41" s="284"/>
      <c r="E41" s="281"/>
      <c r="F41" s="79"/>
      <c r="G41" s="47">
        <f>SUMIF(JournalsA!D$14:D$920,TrialBalanceA!M41,JournalsA!J$14:J$920)+SUMIF(JournalsA!E$14:E$920,TrialBalanceA!M41,JournalsA!J$14:J$920)</f>
        <v>0</v>
      </c>
      <c r="H41" s="288"/>
      <c r="I41" s="255">
        <f t="shared" si="0"/>
        <v>0</v>
      </c>
      <c r="J41" s="75"/>
      <c r="K41" s="48">
        <f t="shared" si="1"/>
        <v>0</v>
      </c>
      <c r="M41" s="140" t="str">
        <f t="shared" si="2"/>
        <v>2100/010Assets less than R7,000</v>
      </c>
      <c r="N41" s="70"/>
      <c r="P41" s="71"/>
      <c r="Q41" s="51"/>
      <c r="R41" s="31"/>
    </row>
    <row r="42" spans="1:18" x14ac:dyDescent="0.2">
      <c r="A42" s="238"/>
      <c r="B42" s="54" t="s">
        <v>411</v>
      </c>
      <c r="C42" s="240" t="s">
        <v>276</v>
      </c>
      <c r="D42" s="282"/>
      <c r="E42" s="281"/>
      <c r="F42" s="79"/>
      <c r="G42" s="47">
        <f>SUMIF(JournalsA!D$14:D$920,TrialBalanceA!M42,JournalsA!J$14:J$920)+SUMIF(JournalsA!E$14:E$920,TrialBalanceA!M42,JournalsA!J$14:J$920)</f>
        <v>0</v>
      </c>
      <c r="H42" s="288"/>
      <c r="I42" s="255">
        <f t="shared" ref="I42:I72" si="9">ROUND(D42-E42+G42+F42,0)</f>
        <v>0</v>
      </c>
      <c r="J42" s="75"/>
      <c r="K42" s="48">
        <f t="shared" si="1"/>
        <v>0</v>
      </c>
      <c r="M42" s="140" t="str">
        <f t="shared" si="2"/>
        <v>2100/020Consumables</v>
      </c>
      <c r="N42" s="70"/>
      <c r="P42" s="71"/>
      <c r="Q42" s="51"/>
      <c r="R42" s="31"/>
    </row>
    <row r="43" spans="1:18" x14ac:dyDescent="0.2">
      <c r="A43" s="238"/>
      <c r="B43" s="54" t="s">
        <v>412</v>
      </c>
      <c r="C43" s="239" t="s">
        <v>642</v>
      </c>
      <c r="D43" s="283"/>
      <c r="E43" s="281"/>
      <c r="F43" s="79"/>
      <c r="G43" s="47">
        <f>SUMIF(JournalsA!D$14:D$920,TrialBalanceA!M43,JournalsA!J$14:J$920)+SUMIF(JournalsA!E$14:E$920,TrialBalanceA!M43,JournalsA!J$14:J$920)</f>
        <v>0</v>
      </c>
      <c r="H43" s="288"/>
      <c r="I43" s="255">
        <f t="shared" si="9"/>
        <v>0</v>
      </c>
      <c r="J43" s="75"/>
      <c r="K43" s="48">
        <f t="shared" si="1"/>
        <v>0</v>
      </c>
      <c r="M43" s="140" t="str">
        <f t="shared" si="2"/>
        <v>2100/030Depreciation--------------------------------------------------</v>
      </c>
      <c r="N43" s="70"/>
      <c r="P43" s="71"/>
      <c r="Q43" s="51"/>
      <c r="R43" s="31"/>
    </row>
    <row r="44" spans="1:18" x14ac:dyDescent="0.2">
      <c r="A44" s="238"/>
      <c r="B44" s="54" t="s">
        <v>414</v>
      </c>
      <c r="C44" s="242" t="s">
        <v>1123</v>
      </c>
      <c r="D44" s="282"/>
      <c r="E44" s="281"/>
      <c r="F44" s="79"/>
      <c r="G44" s="47">
        <f>SUMIF(JournalsA!D$14:D$920,TrialBalanceA!M44,JournalsA!J$14:J$920)+SUMIF(JournalsA!E$14:E$920,TrialBalanceA!M44,JournalsA!J$14:J$920)</f>
        <v>0</v>
      </c>
      <c r="H44" s="288"/>
      <c r="I44" s="255">
        <f t="shared" si="9"/>
        <v>0</v>
      </c>
      <c r="J44" s="75"/>
      <c r="K44" s="48">
        <f t="shared" si="1"/>
        <v>0</v>
      </c>
      <c r="M44" s="140" t="str">
        <f t="shared" si="2"/>
        <v>2100/031Depr - Property</v>
      </c>
      <c r="N44" s="70"/>
      <c r="P44" s="71"/>
      <c r="Q44" s="51"/>
      <c r="R44" s="31"/>
    </row>
    <row r="45" spans="1:18" x14ac:dyDescent="0.2">
      <c r="A45" s="238"/>
      <c r="B45" s="54" t="s">
        <v>415</v>
      </c>
      <c r="C45" s="242" t="s">
        <v>758</v>
      </c>
      <c r="D45" s="282"/>
      <c r="E45" s="281"/>
      <c r="F45" s="79"/>
      <c r="G45" s="47">
        <f>SUMIF(JournalsA!D$14:D$920,TrialBalanceA!M45,JournalsA!J$14:J$920)+SUMIF(JournalsA!E$14:E$920,TrialBalanceA!M45,JournalsA!J$14:J$920)</f>
        <v>0</v>
      </c>
      <c r="H45" s="288"/>
      <c r="I45" s="255">
        <f t="shared" si="9"/>
        <v>0</v>
      </c>
      <c r="J45" s="75"/>
      <c r="K45" s="48">
        <f t="shared" si="1"/>
        <v>0</v>
      </c>
      <c r="M45" s="140" t="str">
        <f t="shared" si="2"/>
        <v>2100/032Depr - Plant and machinery</v>
      </c>
      <c r="N45" s="70"/>
      <c r="P45" s="71"/>
      <c r="Q45" s="51"/>
      <c r="R45" s="31"/>
    </row>
    <row r="46" spans="1:18" x14ac:dyDescent="0.2">
      <c r="A46" s="238"/>
      <c r="B46" s="54" t="s">
        <v>51</v>
      </c>
      <c r="C46" s="240" t="s">
        <v>52</v>
      </c>
      <c r="D46" s="282"/>
      <c r="E46" s="281"/>
      <c r="F46" s="79"/>
      <c r="G46" s="47">
        <f>SUMIF(JournalsA!D$14:D$920,TrialBalanceA!M46,JournalsA!J$14:J$920)+SUMIF(JournalsA!E$14:E$920,TrialBalanceA!M46,JournalsA!J$14:J$920)</f>
        <v>0</v>
      </c>
      <c r="H46" s="288"/>
      <c r="I46" s="255">
        <f t="shared" si="9"/>
        <v>0</v>
      </c>
      <c r="J46" s="75"/>
      <c r="K46" s="48">
        <f t="shared" si="1"/>
        <v>0</v>
      </c>
      <c r="M46" s="140" t="str">
        <f t="shared" si="2"/>
        <v>2100/033Depr - Motor vehicles</v>
      </c>
      <c r="N46" s="70"/>
      <c r="P46" s="71"/>
      <c r="Q46" s="51"/>
      <c r="R46" s="31"/>
    </row>
    <row r="47" spans="1:18" x14ac:dyDescent="0.2">
      <c r="A47" s="238"/>
      <c r="B47" s="54" t="s">
        <v>54</v>
      </c>
      <c r="C47" s="240" t="s">
        <v>55</v>
      </c>
      <c r="D47" s="282"/>
      <c r="E47" s="281"/>
      <c r="F47" s="79"/>
      <c r="G47" s="47">
        <f>SUMIF(JournalsA!D$14:D$920,TrialBalanceA!M47,JournalsA!J$14:J$920)+SUMIF(JournalsA!E$14:E$920,TrialBalanceA!M47,JournalsA!J$14:J$920)</f>
        <v>0</v>
      </c>
      <c r="H47" s="288"/>
      <c r="I47" s="255">
        <f t="shared" si="9"/>
        <v>0</v>
      </c>
      <c r="J47" s="75"/>
      <c r="K47" s="48">
        <f t="shared" si="1"/>
        <v>0</v>
      </c>
      <c r="M47" s="140" t="str">
        <f t="shared" si="2"/>
        <v>2100/040Discounts allowed</v>
      </c>
      <c r="N47" s="70"/>
      <c r="P47" s="71"/>
      <c r="Q47" s="51"/>
      <c r="R47" s="31"/>
    </row>
    <row r="48" spans="1:18" x14ac:dyDescent="0.2">
      <c r="A48" s="238"/>
      <c r="B48" s="54" t="s">
        <v>56</v>
      </c>
      <c r="C48" s="242" t="s">
        <v>725</v>
      </c>
      <c r="D48" s="282"/>
      <c r="E48" s="281"/>
      <c r="F48" s="79"/>
      <c r="G48" s="47">
        <f>SUMIF(JournalsA!D$14:D$920,TrialBalanceA!M48,JournalsA!J$14:J$920)+SUMIF(JournalsA!E$14:E$920,TrialBalanceA!M48,JournalsA!J$14:J$920)</f>
        <v>0</v>
      </c>
      <c r="H48" s="288"/>
      <c r="I48" s="255">
        <f t="shared" si="9"/>
        <v>0</v>
      </c>
      <c r="J48" s="75"/>
      <c r="K48" s="48">
        <f t="shared" si="1"/>
        <v>0</v>
      </c>
      <c r="M48" s="140" t="str">
        <f t="shared" si="2"/>
        <v>2100/050Electricity and water</v>
      </c>
      <c r="N48" s="70"/>
      <c r="P48" s="71"/>
      <c r="Q48" s="51"/>
      <c r="R48" s="31"/>
    </row>
    <row r="49" spans="1:18" x14ac:dyDescent="0.2">
      <c r="A49" s="238"/>
      <c r="B49" s="54" t="s">
        <v>57</v>
      </c>
      <c r="C49" s="240" t="s">
        <v>59</v>
      </c>
      <c r="D49" s="282"/>
      <c r="E49" s="281"/>
      <c r="F49" s="79"/>
      <c r="G49" s="47">
        <f>SUMIF(JournalsA!D$14:D$920,TrialBalanceA!M49,JournalsA!J$14:J$920)+SUMIF(JournalsA!E$14:E$920,TrialBalanceA!M49,JournalsA!J$14:J$920)</f>
        <v>0</v>
      </c>
      <c r="H49" s="288"/>
      <c r="I49" s="255">
        <f t="shared" si="9"/>
        <v>0</v>
      </c>
      <c r="J49" s="75"/>
      <c r="K49" s="48">
        <f t="shared" si="1"/>
        <v>0</v>
      </c>
      <c r="M49" s="140" t="str">
        <f t="shared" si="2"/>
        <v>2100/055Equipment lease</v>
      </c>
      <c r="N49" s="70"/>
      <c r="P49" s="71"/>
      <c r="Q49" s="51"/>
      <c r="R49" s="31"/>
    </row>
    <row r="50" spans="1:18" x14ac:dyDescent="0.2">
      <c r="A50" s="238"/>
      <c r="B50" s="54" t="s">
        <v>60</v>
      </c>
      <c r="C50" s="240" t="s">
        <v>278</v>
      </c>
      <c r="D50" s="282"/>
      <c r="E50" s="281"/>
      <c r="F50" s="79"/>
      <c r="G50" s="47">
        <f>SUMIF(JournalsA!D$14:D$920,TrialBalanceA!M50,JournalsA!J$14:J$920)+SUMIF(JournalsA!E$14:E$920,TrialBalanceA!M50,JournalsA!J$14:J$920)</f>
        <v>0</v>
      </c>
      <c r="H50" s="288"/>
      <c r="I50" s="255">
        <f t="shared" si="9"/>
        <v>0</v>
      </c>
      <c r="J50" s="75"/>
      <c r="K50" s="48">
        <f t="shared" si="1"/>
        <v>0</v>
      </c>
      <c r="M50" s="140" t="str">
        <f t="shared" si="2"/>
        <v>2100/060Insurance</v>
      </c>
      <c r="N50" s="70"/>
      <c r="P50" s="51"/>
      <c r="Q50" s="51"/>
      <c r="R50" s="31"/>
    </row>
    <row r="51" spans="1:18" x14ac:dyDescent="0.2">
      <c r="A51" s="238"/>
      <c r="B51" s="54" t="s">
        <v>447</v>
      </c>
      <c r="C51" s="240" t="s">
        <v>172</v>
      </c>
      <c r="D51" s="282"/>
      <c r="E51" s="281"/>
      <c r="F51" s="79"/>
      <c r="G51" s="47">
        <f>SUMIF(JournalsA!D$14:D$920,TrialBalanceA!M51,JournalsA!J$14:J$920)+SUMIF(JournalsA!E$14:E$920,TrialBalanceA!M51,JournalsA!J$14:J$920)</f>
        <v>0</v>
      </c>
      <c r="H51" s="288"/>
      <c r="I51" s="255">
        <f t="shared" si="9"/>
        <v>0</v>
      </c>
      <c r="J51" s="75"/>
      <c r="K51" s="48">
        <f t="shared" si="1"/>
        <v>0</v>
      </c>
      <c r="M51" s="140" t="str">
        <f t="shared" si="2"/>
        <v>2100/071Levies - SDL</v>
      </c>
      <c r="N51" s="70"/>
      <c r="P51" s="71"/>
      <c r="Q51" s="51"/>
      <c r="R51" s="31"/>
    </row>
    <row r="52" spans="1:18" x14ac:dyDescent="0.2">
      <c r="A52" s="238"/>
      <c r="B52" s="54" t="s">
        <v>173</v>
      </c>
      <c r="C52" s="240" t="s">
        <v>174</v>
      </c>
      <c r="D52" s="282"/>
      <c r="E52" s="281"/>
      <c r="F52" s="79"/>
      <c r="G52" s="47">
        <f>SUMIF(JournalsA!D$14:D$920,TrialBalanceA!M52,JournalsA!J$14:J$920)+SUMIF(JournalsA!E$14:E$920,TrialBalanceA!M52,JournalsA!J$14:J$920)</f>
        <v>0</v>
      </c>
      <c r="H52" s="288"/>
      <c r="I52" s="255">
        <f t="shared" si="9"/>
        <v>0</v>
      </c>
      <c r="J52" s="75"/>
      <c r="K52" s="48">
        <f t="shared" si="1"/>
        <v>0</v>
      </c>
      <c r="M52" s="140" t="str">
        <f t="shared" si="2"/>
        <v>2100/072Levies - other</v>
      </c>
      <c r="N52" s="70"/>
      <c r="P52" s="71"/>
      <c r="Q52" s="51"/>
      <c r="R52" s="31"/>
    </row>
    <row r="53" spans="1:18" x14ac:dyDescent="0.2">
      <c r="A53" s="238"/>
      <c r="B53" s="54" t="s">
        <v>175</v>
      </c>
      <c r="C53" s="246" t="s">
        <v>357</v>
      </c>
      <c r="D53" s="272"/>
      <c r="E53" s="281"/>
      <c r="F53" s="79"/>
      <c r="G53" s="47">
        <f>SUMIF(JournalsA!D$14:D$920,TrialBalanceA!M53,JournalsA!J$14:J$920)+SUMIF(JournalsA!E$14:E$920,TrialBalanceA!M53,JournalsA!J$14:J$920)</f>
        <v>0</v>
      </c>
      <c r="H53" s="288"/>
      <c r="I53" s="255">
        <f t="shared" si="9"/>
        <v>0</v>
      </c>
      <c r="J53" s="75"/>
      <c r="K53" s="48">
        <f t="shared" si="1"/>
        <v>0</v>
      </c>
      <c r="M53" s="140" t="str">
        <f t="shared" si="2"/>
        <v>2100/080Trade licenses</v>
      </c>
      <c r="N53" s="70"/>
      <c r="P53" s="71"/>
      <c r="Q53" s="51"/>
      <c r="R53" s="31"/>
    </row>
    <row r="54" spans="1:18" x14ac:dyDescent="0.2">
      <c r="A54" s="238"/>
      <c r="B54" s="54" t="s">
        <v>176</v>
      </c>
      <c r="C54" s="239" t="s">
        <v>676</v>
      </c>
      <c r="D54" s="283"/>
      <c r="E54" s="281"/>
      <c r="F54" s="79"/>
      <c r="G54" s="47">
        <f>SUMIF(JournalsA!D$14:D$920,TrialBalanceA!M54,JournalsA!J$14:J$920)+SUMIF(JournalsA!E$14:E$920,TrialBalanceA!M54,JournalsA!J$14:J$920)</f>
        <v>0</v>
      </c>
      <c r="H54" s="288"/>
      <c r="I54" s="255">
        <f t="shared" si="9"/>
        <v>0</v>
      </c>
      <c r="J54" s="75"/>
      <c r="K54" s="48">
        <f t="shared" si="1"/>
        <v>0</v>
      </c>
      <c r="M54" s="140" t="str">
        <f t="shared" si="2"/>
        <v>2100/090Motor vehicle expenses----------------------------------</v>
      </c>
      <c r="N54" s="70"/>
      <c r="P54" s="71"/>
      <c r="Q54" s="51"/>
      <c r="R54" s="31"/>
    </row>
    <row r="55" spans="1:18" x14ac:dyDescent="0.2">
      <c r="A55" s="238"/>
      <c r="B55" s="54" t="s">
        <v>178</v>
      </c>
      <c r="C55" s="240" t="s">
        <v>179</v>
      </c>
      <c r="D55" s="282"/>
      <c r="E55" s="281"/>
      <c r="F55" s="79"/>
      <c r="G55" s="47">
        <f>SUMIF(JournalsA!D$14:D$920,TrialBalanceA!M55,JournalsA!J$14:J$920)+SUMIF(JournalsA!E$14:E$920,TrialBalanceA!M55,JournalsA!J$14:J$920)</f>
        <v>0</v>
      </c>
      <c r="H55" s="288"/>
      <c r="I55" s="255">
        <f t="shared" si="9"/>
        <v>0</v>
      </c>
      <c r="J55" s="75"/>
      <c r="K55" s="48">
        <f t="shared" si="1"/>
        <v>0</v>
      </c>
      <c r="M55" s="140" t="str">
        <f t="shared" si="2"/>
        <v>2100/091Motor vehicle expenses - Petrol and oil</v>
      </c>
      <c r="N55" s="70"/>
      <c r="P55" s="71"/>
      <c r="Q55" s="51"/>
      <c r="R55" s="31"/>
    </row>
    <row r="56" spans="1:18" x14ac:dyDescent="0.2">
      <c r="A56" s="238"/>
      <c r="B56" s="54" t="s">
        <v>180</v>
      </c>
      <c r="C56" s="240" t="s">
        <v>181</v>
      </c>
      <c r="D56" s="282"/>
      <c r="E56" s="281"/>
      <c r="F56" s="79"/>
      <c r="G56" s="47">
        <f>SUMIF(JournalsA!D$14:D$920,TrialBalanceA!M56,JournalsA!J$14:J$920)+SUMIF(JournalsA!E$14:E$920,TrialBalanceA!M56,JournalsA!J$14:J$920)</f>
        <v>0</v>
      </c>
      <c r="H56" s="288"/>
      <c r="I56" s="255">
        <f t="shared" si="9"/>
        <v>0</v>
      </c>
      <c r="J56" s="75"/>
      <c r="K56" s="48">
        <f t="shared" si="1"/>
        <v>0</v>
      </c>
      <c r="M56" s="140" t="str">
        <f t="shared" si="2"/>
        <v>2100/092Motor vehicle expenses - R&amp;M</v>
      </c>
      <c r="N56" s="70"/>
      <c r="P56" s="71"/>
      <c r="Q56" s="51"/>
      <c r="R56" s="31"/>
    </row>
    <row r="57" spans="1:18" x14ac:dyDescent="0.2">
      <c r="A57" s="238"/>
      <c r="B57" s="54" t="s">
        <v>182</v>
      </c>
      <c r="C57" s="240" t="s">
        <v>183</v>
      </c>
      <c r="D57" s="282"/>
      <c r="E57" s="281"/>
      <c r="F57" s="79"/>
      <c r="G57" s="47">
        <f>SUMIF(JournalsA!D$14:D$920,TrialBalanceA!M57,JournalsA!J$14:J$920)+SUMIF(JournalsA!E$14:E$920,TrialBalanceA!M57,JournalsA!J$14:J$920)</f>
        <v>0</v>
      </c>
      <c r="H57" s="288"/>
      <c r="I57" s="255">
        <f t="shared" si="9"/>
        <v>0</v>
      </c>
      <c r="J57" s="75"/>
      <c r="K57" s="48">
        <f t="shared" si="1"/>
        <v>0</v>
      </c>
      <c r="M57" s="140" t="str">
        <f t="shared" si="2"/>
        <v>2100/093Motor vehicle expenses - Insurance</v>
      </c>
      <c r="N57" s="70"/>
      <c r="P57" s="71"/>
      <c r="Q57" s="51"/>
      <c r="R57" s="31"/>
    </row>
    <row r="58" spans="1:18" x14ac:dyDescent="0.2">
      <c r="A58" s="238"/>
      <c r="B58" s="54" t="s">
        <v>184</v>
      </c>
      <c r="C58" s="241" t="s">
        <v>759</v>
      </c>
      <c r="D58" s="272"/>
      <c r="E58" s="281"/>
      <c r="F58" s="79"/>
      <c r="G58" s="47">
        <f>SUMIF(JournalsA!D$14:D$920,TrialBalanceA!M58,JournalsA!J$14:J$920)+SUMIF(JournalsA!E$14:E$920,TrialBalanceA!M58,JournalsA!J$14:J$920)</f>
        <v>0</v>
      </c>
      <c r="H58" s="288"/>
      <c r="I58" s="255">
        <f t="shared" si="9"/>
        <v>0</v>
      </c>
      <c r="J58" s="75"/>
      <c r="K58" s="48">
        <f t="shared" si="1"/>
        <v>0</v>
      </c>
      <c r="M58" s="140" t="str">
        <f t="shared" si="2"/>
        <v>2100/094Motor vehicle expenses - Licenses</v>
      </c>
      <c r="N58" s="70"/>
      <c r="P58" s="71"/>
      <c r="Q58" s="51"/>
      <c r="R58" s="31"/>
    </row>
    <row r="59" spans="1:18" x14ac:dyDescent="0.2">
      <c r="A59" s="238"/>
      <c r="B59" s="54" t="s">
        <v>185</v>
      </c>
      <c r="C59" s="242" t="s">
        <v>760</v>
      </c>
      <c r="D59" s="282"/>
      <c r="E59" s="281"/>
      <c r="F59" s="79"/>
      <c r="G59" s="47">
        <f>SUMIF(JournalsA!D$14:D$920,TrialBalanceA!M59,JournalsA!J$14:J$920)+SUMIF(JournalsA!E$14:E$920,TrialBalanceA!M59,JournalsA!J$14:J$920)</f>
        <v>0</v>
      </c>
      <c r="H59" s="288"/>
      <c r="I59" s="255">
        <f t="shared" si="9"/>
        <v>0</v>
      </c>
      <c r="J59" s="75"/>
      <c r="K59" s="48">
        <f t="shared" si="1"/>
        <v>0</v>
      </c>
      <c r="M59" s="140" t="str">
        <f t="shared" si="2"/>
        <v>2100/095Motor vehicle expenses - General</v>
      </c>
      <c r="N59" s="70"/>
      <c r="P59" s="71"/>
      <c r="Q59" s="51"/>
      <c r="R59" s="31"/>
    </row>
    <row r="60" spans="1:18" x14ac:dyDescent="0.2">
      <c r="A60" s="238"/>
      <c r="B60" s="54" t="s">
        <v>186</v>
      </c>
      <c r="C60" s="239" t="s">
        <v>187</v>
      </c>
      <c r="D60" s="283"/>
      <c r="E60" s="281"/>
      <c r="F60" s="79"/>
      <c r="G60" s="47">
        <f>SUMIF(JournalsA!D$14:D$920,TrialBalanceA!M60,JournalsA!J$14:J$920)+SUMIF(JournalsA!E$14:E$920,TrialBalanceA!M60,JournalsA!J$14:J$920)</f>
        <v>0</v>
      </c>
      <c r="H60" s="288"/>
      <c r="I60" s="255">
        <f t="shared" si="9"/>
        <v>0</v>
      </c>
      <c r="J60" s="75"/>
      <c r="K60" s="48">
        <f t="shared" si="1"/>
        <v>0</v>
      </c>
      <c r="M60" s="140" t="str">
        <f t="shared" si="2"/>
        <v>2100/100Rent paid-------------------------------</v>
      </c>
      <c r="N60" s="70"/>
      <c r="P60" s="71"/>
      <c r="Q60" s="51"/>
      <c r="R60" s="31"/>
    </row>
    <row r="61" spans="1:18" x14ac:dyDescent="0.2">
      <c r="A61" s="238"/>
      <c r="B61" s="54" t="s">
        <v>188</v>
      </c>
      <c r="C61" s="276"/>
      <c r="D61" s="281"/>
      <c r="E61" s="281"/>
      <c r="F61" s="79"/>
      <c r="G61" s="47">
        <f>SUMIF(JournalsA!D$14:D$920,TrialBalanceA!M61,JournalsA!J$14:J$920)+SUMIF(JournalsA!E$14:E$920,TrialBalanceA!M61,JournalsA!J$14:J$920)</f>
        <v>0</v>
      </c>
      <c r="H61" s="288"/>
      <c r="I61" s="255">
        <f t="shared" si="9"/>
        <v>0</v>
      </c>
      <c r="J61" s="75"/>
      <c r="K61" s="48">
        <f t="shared" si="1"/>
        <v>0</v>
      </c>
      <c r="M61" s="140" t="str">
        <f t="shared" si="2"/>
        <v>2100/101</v>
      </c>
      <c r="N61" s="70"/>
      <c r="P61" s="71"/>
      <c r="Q61" s="51"/>
      <c r="R61" s="31"/>
    </row>
    <row r="62" spans="1:18" x14ac:dyDescent="0.2">
      <c r="A62" s="238"/>
      <c r="B62" s="54" t="s">
        <v>189</v>
      </c>
      <c r="C62" s="277"/>
      <c r="D62" s="281"/>
      <c r="E62" s="281"/>
      <c r="F62" s="79"/>
      <c r="G62" s="47">
        <f>SUMIF(JournalsA!D$14:D$920,TrialBalanceA!M62,JournalsA!J$14:J$920)+SUMIF(JournalsA!E$14:E$920,TrialBalanceA!M62,JournalsA!J$14:J$920)</f>
        <v>0</v>
      </c>
      <c r="H62" s="288"/>
      <c r="I62" s="255">
        <f t="shared" si="9"/>
        <v>0</v>
      </c>
      <c r="J62" s="75"/>
      <c r="K62" s="48">
        <f t="shared" si="1"/>
        <v>0</v>
      </c>
      <c r="M62" s="140" t="str">
        <f t="shared" si="2"/>
        <v>2100/102</v>
      </c>
      <c r="N62" s="70"/>
      <c r="P62" s="71"/>
      <c r="Q62" s="51"/>
      <c r="R62" s="31"/>
    </row>
    <row r="63" spans="1:18" x14ac:dyDescent="0.2">
      <c r="A63" s="238"/>
      <c r="B63" s="54" t="s">
        <v>190</v>
      </c>
      <c r="C63" s="277"/>
      <c r="D63" s="272"/>
      <c r="E63" s="281"/>
      <c r="F63" s="79"/>
      <c r="G63" s="47">
        <f>SUMIF(JournalsA!D$14:D$920,TrialBalanceA!M63,JournalsA!J$14:J$920)+SUMIF(JournalsA!E$14:E$920,TrialBalanceA!M63,JournalsA!J$14:J$920)</f>
        <v>0</v>
      </c>
      <c r="H63" s="288"/>
      <c r="I63" s="255">
        <f t="shared" si="9"/>
        <v>0</v>
      </c>
      <c r="J63" s="75"/>
      <c r="K63" s="48">
        <f t="shared" si="1"/>
        <v>0</v>
      </c>
      <c r="M63" s="140" t="str">
        <f t="shared" si="2"/>
        <v>2100/103</v>
      </c>
      <c r="N63" s="70"/>
      <c r="P63" s="71"/>
      <c r="Q63" s="51"/>
      <c r="R63" s="31"/>
    </row>
    <row r="64" spans="1:18" x14ac:dyDescent="0.2">
      <c r="A64" s="238"/>
      <c r="B64" s="54" t="s">
        <v>191</v>
      </c>
      <c r="C64" s="240" t="s">
        <v>62</v>
      </c>
      <c r="D64" s="282"/>
      <c r="E64" s="281"/>
      <c r="F64" s="79"/>
      <c r="G64" s="47">
        <f>SUMIF(JournalsA!D$14:D$920,TrialBalanceA!M64,JournalsA!J$14:J$920)+SUMIF(JournalsA!E$14:E$920,TrialBalanceA!M64,JournalsA!J$14:J$920)</f>
        <v>0</v>
      </c>
      <c r="H64" s="288"/>
      <c r="I64" s="255">
        <f t="shared" si="9"/>
        <v>0</v>
      </c>
      <c r="J64" s="75"/>
      <c r="K64" s="48">
        <f t="shared" si="1"/>
        <v>0</v>
      </c>
      <c r="M64" s="140" t="str">
        <f t="shared" si="2"/>
        <v>2100/110Repairs and maintenance</v>
      </c>
      <c r="N64" s="70"/>
      <c r="P64" s="71"/>
      <c r="Q64" s="51"/>
      <c r="R64" s="31"/>
    </row>
    <row r="65" spans="1:18" x14ac:dyDescent="0.2">
      <c r="A65" s="238"/>
      <c r="B65" s="54" t="s">
        <v>63</v>
      </c>
      <c r="C65" s="240" t="s">
        <v>64</v>
      </c>
      <c r="D65" s="282"/>
      <c r="E65" s="281"/>
      <c r="F65" s="79"/>
      <c r="G65" s="47">
        <f>SUMIF(JournalsA!D$14:D$920,TrialBalanceA!M65,JournalsA!J$14:J$920)+SUMIF(JournalsA!E$14:E$920,TrialBalanceA!M65,JournalsA!J$14:J$920)</f>
        <v>0</v>
      </c>
      <c r="H65" s="288"/>
      <c r="I65" s="255">
        <f t="shared" si="9"/>
        <v>0</v>
      </c>
      <c r="J65" s="75"/>
      <c r="K65" s="48">
        <f t="shared" si="1"/>
        <v>0</v>
      </c>
      <c r="M65" s="140" t="str">
        <f t="shared" si="2"/>
        <v>2100/120Salaries</v>
      </c>
      <c r="N65" s="70"/>
      <c r="P65" s="71"/>
      <c r="Q65" s="51"/>
      <c r="R65" s="31"/>
    </row>
    <row r="66" spans="1:18" x14ac:dyDescent="0.2">
      <c r="A66" s="238"/>
      <c r="B66" s="54" t="s">
        <v>65</v>
      </c>
      <c r="C66" s="240" t="s">
        <v>66</v>
      </c>
      <c r="D66" s="282"/>
      <c r="E66" s="281"/>
      <c r="F66" s="79"/>
      <c r="G66" s="47">
        <f>SUMIF(JournalsA!D$14:D$920,TrialBalanceA!M66,JournalsA!J$14:J$920)+SUMIF(JournalsA!E$14:E$920,TrialBalanceA!M66,JournalsA!J$14:J$920)</f>
        <v>0</v>
      </c>
      <c r="H66" s="288"/>
      <c r="I66" s="255">
        <f t="shared" si="9"/>
        <v>0</v>
      </c>
      <c r="J66" s="75"/>
      <c r="K66" s="48">
        <f t="shared" si="1"/>
        <v>0</v>
      </c>
      <c r="M66" s="140" t="str">
        <f t="shared" si="2"/>
        <v>2100/121UIF - Employer</v>
      </c>
      <c r="N66" s="70"/>
      <c r="P66" s="71"/>
      <c r="Q66" s="51"/>
      <c r="R66" s="31"/>
    </row>
    <row r="67" spans="1:18" x14ac:dyDescent="0.2">
      <c r="A67" s="238"/>
      <c r="B67" s="54" t="s">
        <v>67</v>
      </c>
      <c r="C67" s="240" t="s">
        <v>68</v>
      </c>
      <c r="D67" s="282"/>
      <c r="E67" s="281"/>
      <c r="F67" s="79"/>
      <c r="G67" s="47">
        <f>SUMIF(JournalsA!D$14:D$920,TrialBalanceA!M67,JournalsA!J$14:J$920)+SUMIF(JournalsA!E$14:E$920,TrialBalanceA!M67,JournalsA!J$14:J$920)</f>
        <v>0</v>
      </c>
      <c r="H67" s="288"/>
      <c r="I67" s="255">
        <f t="shared" si="9"/>
        <v>0</v>
      </c>
      <c r="J67" s="75"/>
      <c r="K67" s="48">
        <f t="shared" si="1"/>
        <v>0</v>
      </c>
      <c r="M67" s="140" t="str">
        <f t="shared" si="2"/>
        <v>2100/122Casual wages</v>
      </c>
      <c r="N67" s="70"/>
      <c r="P67" s="71"/>
      <c r="Q67" s="51"/>
      <c r="R67" s="31"/>
    </row>
    <row r="68" spans="1:18" x14ac:dyDescent="0.2">
      <c r="A68" s="238"/>
      <c r="B68" s="54" t="s">
        <v>69</v>
      </c>
      <c r="C68" s="240" t="s">
        <v>70</v>
      </c>
      <c r="D68" s="282"/>
      <c r="E68" s="281"/>
      <c r="F68" s="79"/>
      <c r="G68" s="47">
        <f>SUMIF(JournalsA!D$14:D$920,TrialBalanceA!M68,JournalsA!J$14:J$920)+SUMIF(JournalsA!E$14:E$920,TrialBalanceA!M68,JournalsA!J$14:J$920)</f>
        <v>0</v>
      </c>
      <c r="H68" s="288"/>
      <c r="I68" s="255">
        <f t="shared" si="9"/>
        <v>0</v>
      </c>
      <c r="J68" s="75"/>
      <c r="K68" s="48">
        <f t="shared" si="1"/>
        <v>0</v>
      </c>
      <c r="M68" s="140" t="str">
        <f t="shared" si="2"/>
        <v>2100/130Telephone</v>
      </c>
      <c r="N68" s="70"/>
      <c r="P68" s="71"/>
      <c r="Q68" s="51"/>
      <c r="R68" s="31"/>
    </row>
    <row r="69" spans="1:18" x14ac:dyDescent="0.2">
      <c r="A69" s="238"/>
      <c r="B69" s="54" t="s">
        <v>71</v>
      </c>
      <c r="C69" s="240" t="s">
        <v>482</v>
      </c>
      <c r="D69" s="282"/>
      <c r="E69" s="281"/>
      <c r="F69" s="79"/>
      <c r="G69" s="47">
        <f>SUMIF(JournalsA!D$14:D$920,TrialBalanceA!M69,JournalsA!J$14:J$920)+SUMIF(JournalsA!E$14:E$920,TrialBalanceA!M69,JournalsA!J$14:J$920)</f>
        <v>0</v>
      </c>
      <c r="H69" s="288"/>
      <c r="I69" s="255">
        <f t="shared" si="9"/>
        <v>0</v>
      </c>
      <c r="J69" s="75"/>
      <c r="K69" s="48">
        <f t="shared" si="1"/>
        <v>0</v>
      </c>
      <c r="M69" s="140" t="str">
        <f t="shared" si="2"/>
        <v>2100/135Postage and courier</v>
      </c>
      <c r="N69" s="70"/>
      <c r="P69" s="71"/>
      <c r="Q69" s="51"/>
      <c r="R69" s="31"/>
    </row>
    <row r="70" spans="1:18" x14ac:dyDescent="0.2">
      <c r="A70" s="238"/>
      <c r="B70" s="54" t="s">
        <v>72</v>
      </c>
      <c r="C70" s="240" t="s">
        <v>254</v>
      </c>
      <c r="D70" s="282"/>
      <c r="E70" s="281"/>
      <c r="F70" s="79"/>
      <c r="G70" s="47">
        <f>SUMIF(JournalsA!D$14:D$920,TrialBalanceA!M70,JournalsA!J$14:J$920)+SUMIF(JournalsA!E$14:E$920,TrialBalanceA!M70,JournalsA!J$14:J$920)</f>
        <v>0</v>
      </c>
      <c r="H70" s="288"/>
      <c r="I70" s="255">
        <f t="shared" si="9"/>
        <v>0</v>
      </c>
      <c r="J70" s="75"/>
      <c r="K70" s="48">
        <f t="shared" si="1"/>
        <v>0</v>
      </c>
      <c r="M70" s="140" t="str">
        <f t="shared" si="2"/>
        <v>2100/140Training</v>
      </c>
      <c r="N70" s="70"/>
      <c r="P70" s="71"/>
      <c r="Q70" s="51"/>
      <c r="R70" s="31"/>
    </row>
    <row r="71" spans="1:18" x14ac:dyDescent="0.2">
      <c r="A71" s="238"/>
      <c r="B71" s="54" t="s">
        <v>73</v>
      </c>
      <c r="C71" s="241" t="s">
        <v>808</v>
      </c>
      <c r="D71" s="272"/>
      <c r="E71" s="281"/>
      <c r="F71" s="79"/>
      <c r="G71" s="47">
        <f>SUMIF(JournalsA!D$14:D$920,TrialBalanceA!M71,JournalsA!J$14:J$920)+SUMIF(JournalsA!E$14:E$920,TrialBalanceA!M71,JournalsA!J$14:J$920)</f>
        <v>0</v>
      </c>
      <c r="H71" s="288"/>
      <c r="I71" s="255">
        <f t="shared" si="9"/>
        <v>0</v>
      </c>
      <c r="J71" s="75"/>
      <c r="K71" s="48">
        <f t="shared" si="1"/>
        <v>0</v>
      </c>
      <c r="M71" s="140" t="str">
        <f t="shared" si="2"/>
        <v>2100/150Traveling and accommodation</v>
      </c>
      <c r="N71" s="70"/>
      <c r="P71" s="71"/>
      <c r="Q71" s="51"/>
      <c r="R71" s="31"/>
    </row>
    <row r="72" spans="1:18" x14ac:dyDescent="0.2">
      <c r="A72" s="238"/>
      <c r="B72" s="90" t="s">
        <v>621</v>
      </c>
      <c r="C72" s="276"/>
      <c r="D72" s="281"/>
      <c r="E72" s="281"/>
      <c r="F72" s="79"/>
      <c r="G72" s="47">
        <f>SUMIF(JournalsA!D$14:D$920,TrialBalanceA!M72,JournalsA!J$14:J$920)+SUMIF(JournalsA!E$14:E$920,TrialBalanceA!M72,JournalsA!J$14:J$920)</f>
        <v>0</v>
      </c>
      <c r="H72" s="288"/>
      <c r="I72" s="255">
        <f t="shared" si="9"/>
        <v>0</v>
      </c>
      <c r="J72" s="75"/>
      <c r="K72" s="48">
        <f t="shared" si="1"/>
        <v>0</v>
      </c>
      <c r="M72" s="140" t="str">
        <f t="shared" si="2"/>
        <v>2150/001</v>
      </c>
      <c r="N72" s="70"/>
      <c r="P72" s="71"/>
      <c r="Q72" s="51"/>
      <c r="R72" s="31"/>
    </row>
    <row r="73" spans="1:18" x14ac:dyDescent="0.2">
      <c r="A73" s="238"/>
      <c r="B73" s="90" t="s">
        <v>622</v>
      </c>
      <c r="C73" s="276"/>
      <c r="D73" s="281"/>
      <c r="E73" s="281"/>
      <c r="F73" s="79"/>
      <c r="G73" s="47">
        <f>SUMIF(JournalsA!D$14:D$920,TrialBalanceA!M73,JournalsA!J$14:J$920)+SUMIF(JournalsA!E$14:E$920,TrialBalanceA!M73,JournalsA!J$14:J$920)</f>
        <v>0</v>
      </c>
      <c r="H73" s="288"/>
      <c r="I73" s="255">
        <f t="shared" ref="I73:I101" si="10">ROUND(D73-E73+G73+F73,0)</f>
        <v>0</v>
      </c>
      <c r="J73" s="75"/>
      <c r="K73" s="48">
        <f t="shared" ref="K73:K136" si="11">ROUND(SUM(A73),0)</f>
        <v>0</v>
      </c>
      <c r="M73" s="140" t="str">
        <f t="shared" ref="M73:M136" si="12">CONCATENATE(B73,C73)</f>
        <v>2150/002</v>
      </c>
      <c r="N73" s="70"/>
      <c r="P73" s="71"/>
      <c r="Q73" s="51"/>
      <c r="R73" s="31"/>
    </row>
    <row r="74" spans="1:18" x14ac:dyDescent="0.2">
      <c r="A74" s="238"/>
      <c r="B74" s="90" t="s">
        <v>623</v>
      </c>
      <c r="C74" s="276"/>
      <c r="D74" s="281"/>
      <c r="E74" s="281"/>
      <c r="F74" s="79"/>
      <c r="G74" s="47">
        <f>SUMIF(JournalsA!D$14:D$920,TrialBalanceA!M74,JournalsA!J$14:J$920)+SUMIF(JournalsA!E$14:E$920,TrialBalanceA!M74,JournalsA!J$14:J$920)</f>
        <v>0</v>
      </c>
      <c r="H74" s="288"/>
      <c r="I74" s="255">
        <f t="shared" si="10"/>
        <v>0</v>
      </c>
      <c r="J74" s="75"/>
      <c r="K74" s="48">
        <f t="shared" si="11"/>
        <v>0</v>
      </c>
      <c r="M74" s="140" t="str">
        <f t="shared" si="12"/>
        <v>2150/003</v>
      </c>
      <c r="N74" s="70"/>
      <c r="P74" s="71"/>
      <c r="Q74" s="51"/>
      <c r="R74" s="31"/>
    </row>
    <row r="75" spans="1:18" x14ac:dyDescent="0.2">
      <c r="A75" s="238"/>
      <c r="B75" s="90" t="s">
        <v>624</v>
      </c>
      <c r="C75" s="276"/>
      <c r="D75" s="281"/>
      <c r="E75" s="281"/>
      <c r="F75" s="79"/>
      <c r="G75" s="47">
        <f>SUMIF(JournalsA!D$14:D$920,TrialBalanceA!M75,JournalsA!J$14:J$920)+SUMIF(JournalsA!E$14:E$920,TrialBalanceA!M75,JournalsA!J$14:J$920)</f>
        <v>0</v>
      </c>
      <c r="H75" s="288"/>
      <c r="I75" s="255">
        <f t="shared" si="10"/>
        <v>0</v>
      </c>
      <c r="J75" s="75"/>
      <c r="K75" s="48">
        <f t="shared" si="11"/>
        <v>0</v>
      </c>
      <c r="M75" s="140" t="str">
        <f t="shared" si="12"/>
        <v>2150/004</v>
      </c>
      <c r="N75" s="70"/>
      <c r="P75" s="71"/>
      <c r="Q75" s="51"/>
      <c r="R75" s="31"/>
    </row>
    <row r="76" spans="1:18" x14ac:dyDescent="0.2">
      <c r="A76" s="238"/>
      <c r="B76" s="90" t="s">
        <v>625</v>
      </c>
      <c r="C76" s="276"/>
      <c r="D76" s="281"/>
      <c r="E76" s="281"/>
      <c r="F76" s="79"/>
      <c r="G76" s="47">
        <f>SUMIF(JournalsA!D$14:D$920,TrialBalanceA!M76,JournalsA!J$14:J$920)+SUMIF(JournalsA!E$14:E$920,TrialBalanceA!M76,JournalsA!J$14:J$920)</f>
        <v>0</v>
      </c>
      <c r="H76" s="288"/>
      <c r="I76" s="255">
        <f t="shared" si="10"/>
        <v>0</v>
      </c>
      <c r="J76" s="75"/>
      <c r="K76" s="48">
        <f t="shared" si="11"/>
        <v>0</v>
      </c>
      <c r="M76" s="140" t="str">
        <f t="shared" si="12"/>
        <v>2150/005</v>
      </c>
      <c r="N76" s="70"/>
      <c r="P76" s="71"/>
      <c r="Q76" s="51"/>
      <c r="R76" s="31"/>
    </row>
    <row r="77" spans="1:18" x14ac:dyDescent="0.2">
      <c r="A77" s="238"/>
      <c r="B77" s="90" t="s">
        <v>626</v>
      </c>
      <c r="C77" s="278"/>
      <c r="D77" s="274"/>
      <c r="E77" s="281"/>
      <c r="F77" s="79"/>
      <c r="G77" s="47">
        <f>SUMIF(JournalsA!D$14:D$920,TrialBalanceA!M77,JournalsA!J$14:J$920)+SUMIF(JournalsA!E$14:E$920,TrialBalanceA!M77,JournalsA!J$14:J$920)</f>
        <v>0</v>
      </c>
      <c r="H77" s="288"/>
      <c r="I77" s="255">
        <f t="shared" si="10"/>
        <v>0</v>
      </c>
      <c r="J77" s="75"/>
      <c r="K77" s="48">
        <f t="shared" si="11"/>
        <v>0</v>
      </c>
      <c r="M77" s="140" t="str">
        <f t="shared" si="12"/>
        <v>2150/006</v>
      </c>
      <c r="N77" s="70"/>
      <c r="P77" s="71"/>
      <c r="Q77" s="51"/>
      <c r="R77" s="31"/>
    </row>
    <row r="78" spans="1:18" x14ac:dyDescent="0.2">
      <c r="A78" s="238"/>
      <c r="B78" s="90" t="s">
        <v>627</v>
      </c>
      <c r="C78" s="278"/>
      <c r="D78" s="274"/>
      <c r="E78" s="281"/>
      <c r="F78" s="79"/>
      <c r="G78" s="47">
        <f>SUMIF(JournalsA!D$14:D$920,TrialBalanceA!M78,JournalsA!J$14:J$920)+SUMIF(JournalsA!E$14:E$920,TrialBalanceA!M78,JournalsA!J$14:J$920)</f>
        <v>0</v>
      </c>
      <c r="H78" s="288"/>
      <c r="I78" s="255">
        <f t="shared" si="10"/>
        <v>0</v>
      </c>
      <c r="J78" s="75"/>
      <c r="K78" s="48">
        <f t="shared" si="11"/>
        <v>0</v>
      </c>
      <c r="M78" s="140" t="str">
        <f t="shared" si="12"/>
        <v>2150/007</v>
      </c>
      <c r="N78" s="70"/>
      <c r="P78" s="71"/>
      <c r="Q78" s="51"/>
      <c r="R78" s="31"/>
    </row>
    <row r="79" spans="1:18" x14ac:dyDescent="0.2">
      <c r="A79" s="238"/>
      <c r="B79" s="90" t="s">
        <v>628</v>
      </c>
      <c r="C79" s="276"/>
      <c r="D79" s="274"/>
      <c r="E79" s="281"/>
      <c r="F79" s="79"/>
      <c r="G79" s="47">
        <f>SUMIF(JournalsA!D$14:D$920,TrialBalanceA!M79,JournalsA!J$14:J$920)+SUMIF(JournalsA!E$14:E$920,TrialBalanceA!M79,JournalsA!J$14:J$920)</f>
        <v>0</v>
      </c>
      <c r="H79" s="288"/>
      <c r="I79" s="255">
        <f t="shared" si="10"/>
        <v>0</v>
      </c>
      <c r="J79" s="75"/>
      <c r="K79" s="48">
        <f t="shared" si="11"/>
        <v>0</v>
      </c>
      <c r="M79" s="140" t="str">
        <f t="shared" si="12"/>
        <v>2150/008</v>
      </c>
      <c r="N79" s="70"/>
      <c r="P79" s="71"/>
      <c r="Q79" s="51"/>
      <c r="R79" s="31"/>
    </row>
    <row r="80" spans="1:18" x14ac:dyDescent="0.2">
      <c r="A80" s="238"/>
      <c r="B80" s="90" t="s">
        <v>629</v>
      </c>
      <c r="C80" s="276"/>
      <c r="D80" s="274"/>
      <c r="E80" s="281"/>
      <c r="F80" s="79"/>
      <c r="G80" s="47">
        <f>SUMIF(JournalsA!D$14:D$920,TrialBalanceA!M80,JournalsA!J$14:J$920)+SUMIF(JournalsA!E$14:E$920,TrialBalanceA!M80,JournalsA!J$14:J$920)</f>
        <v>0</v>
      </c>
      <c r="H80" s="288"/>
      <c r="I80" s="255">
        <f t="shared" si="10"/>
        <v>0</v>
      </c>
      <c r="J80" s="75"/>
      <c r="K80" s="48">
        <f t="shared" si="11"/>
        <v>0</v>
      </c>
      <c r="M80" s="140" t="str">
        <f t="shared" si="12"/>
        <v>2150/009</v>
      </c>
      <c r="N80" s="70"/>
      <c r="P80" s="71"/>
      <c r="Q80" s="51"/>
      <c r="R80" s="31"/>
    </row>
    <row r="81" spans="1:18" x14ac:dyDescent="0.2">
      <c r="A81" s="238"/>
      <c r="B81" s="90" t="s">
        <v>630</v>
      </c>
      <c r="C81" s="276"/>
      <c r="D81" s="272"/>
      <c r="E81" s="281"/>
      <c r="F81" s="79"/>
      <c r="G81" s="47">
        <f>SUMIF(JournalsA!D$14:D$920,TrialBalanceA!M81,JournalsA!J$14:J$920)+SUMIF(JournalsA!E$14:E$920,TrialBalanceA!M81,JournalsA!J$14:J$920)</f>
        <v>0</v>
      </c>
      <c r="H81" s="288"/>
      <c r="I81" s="255">
        <f t="shared" si="10"/>
        <v>0</v>
      </c>
      <c r="J81" s="75"/>
      <c r="K81" s="48">
        <f t="shared" si="11"/>
        <v>0</v>
      </c>
      <c r="M81" s="140" t="str">
        <f t="shared" si="12"/>
        <v>2150/010</v>
      </c>
      <c r="N81" s="70"/>
      <c r="P81" s="71"/>
      <c r="Q81" s="51"/>
      <c r="R81" s="31"/>
    </row>
    <row r="82" spans="1:18" x14ac:dyDescent="0.2">
      <c r="A82" s="238"/>
      <c r="B82" s="54" t="s">
        <v>20</v>
      </c>
      <c r="C82" s="239" t="s">
        <v>114</v>
      </c>
      <c r="D82" s="283"/>
      <c r="E82" s="281"/>
      <c r="F82" s="79"/>
      <c r="G82" s="47">
        <f>SUMIF(JournalsA!D$14:D$920,TrialBalanceA!M82,JournalsA!J$14:J$920)+SUMIF(JournalsA!E$14:E$920,TrialBalanceA!M82,JournalsA!J$14:J$920)</f>
        <v>0</v>
      </c>
      <c r="H82" s="288"/>
      <c r="I82" s="255">
        <f t="shared" si="10"/>
        <v>0</v>
      </c>
      <c r="J82" s="75"/>
      <c r="K82" s="48">
        <f t="shared" si="11"/>
        <v>0</v>
      </c>
      <c r="M82" s="140" t="str">
        <f t="shared" si="12"/>
        <v>2500/000OTHER INCOME</v>
      </c>
      <c r="N82" s="70"/>
      <c r="P82" s="71"/>
      <c r="Q82" s="51"/>
      <c r="R82" s="31"/>
    </row>
    <row r="83" spans="1:18" x14ac:dyDescent="0.2">
      <c r="A83" s="238"/>
      <c r="B83" s="54" t="s">
        <v>358</v>
      </c>
      <c r="C83" s="241" t="s">
        <v>761</v>
      </c>
      <c r="D83" s="272"/>
      <c r="E83" s="281"/>
      <c r="F83" s="79"/>
      <c r="G83" s="47">
        <f>SUMIF(JournalsA!D$14:D$920,TrialBalanceA!M83,JournalsA!J$14:J$920)+SUMIF(JournalsA!E$14:E$920,TrialBalanceA!M83,JournalsA!J$14:J$920)</f>
        <v>0</v>
      </c>
      <c r="H83" s="288"/>
      <c r="I83" s="255">
        <f t="shared" si="10"/>
        <v>0</v>
      </c>
      <c r="J83" s="75"/>
      <c r="K83" s="48">
        <f t="shared" si="11"/>
        <v>0</v>
      </c>
      <c r="M83" s="140" t="str">
        <f t="shared" si="12"/>
        <v>2710/000Rent received (not main income)</v>
      </c>
      <c r="N83" s="70"/>
      <c r="P83" s="71"/>
      <c r="Q83" s="51"/>
      <c r="R83" s="31"/>
    </row>
    <row r="84" spans="1:18" x14ac:dyDescent="0.2">
      <c r="A84" s="238"/>
      <c r="B84" s="54" t="s">
        <v>74</v>
      </c>
      <c r="C84" s="239" t="s">
        <v>767</v>
      </c>
      <c r="D84" s="283"/>
      <c r="E84" s="281"/>
      <c r="F84" s="79"/>
      <c r="G84" s="47">
        <f>SUMIF(JournalsA!D$14:D$920,TrialBalanceA!M84,JournalsA!J$14:J$920)+SUMIF(JournalsA!E$14:E$920,TrialBalanceA!M84,JournalsA!J$14:J$920)</f>
        <v>0</v>
      </c>
      <c r="H84" s="288"/>
      <c r="I84" s="255">
        <f t="shared" si="10"/>
        <v>0</v>
      </c>
      <c r="J84" s="75"/>
      <c r="K84" s="48">
        <f t="shared" si="11"/>
        <v>0</v>
      </c>
      <c r="M84" s="140" t="str">
        <f t="shared" si="12"/>
        <v>2750/000Interest received-----------------------</v>
      </c>
      <c r="N84" s="70"/>
      <c r="P84" s="71"/>
      <c r="Q84" s="51"/>
      <c r="R84" s="31"/>
    </row>
    <row r="85" spans="1:18" x14ac:dyDescent="0.2">
      <c r="A85" s="238"/>
      <c r="B85" s="54" t="s">
        <v>75</v>
      </c>
      <c r="C85" s="276"/>
      <c r="D85" s="274"/>
      <c r="E85" s="281"/>
      <c r="F85" s="79"/>
      <c r="G85" s="47">
        <f>SUMIF(JournalsA!D$14:D$920,TrialBalanceA!M85,JournalsA!J$14:J$920)+SUMIF(JournalsA!E$14:E$920,TrialBalanceA!M85,JournalsA!J$14:J$920)</f>
        <v>0</v>
      </c>
      <c r="H85" s="288"/>
      <c r="I85" s="255">
        <f t="shared" si="10"/>
        <v>0</v>
      </c>
      <c r="J85" s="75"/>
      <c r="K85" s="48">
        <f t="shared" si="11"/>
        <v>0</v>
      </c>
      <c r="M85" s="140" t="str">
        <f t="shared" si="12"/>
        <v>2750/001</v>
      </c>
      <c r="N85" s="70"/>
      <c r="P85" s="71"/>
      <c r="Q85" s="51"/>
      <c r="R85" s="31"/>
    </row>
    <row r="86" spans="1:18" x14ac:dyDescent="0.2">
      <c r="A86" s="238"/>
      <c r="B86" s="54" t="s">
        <v>76</v>
      </c>
      <c r="C86" s="278"/>
      <c r="D86" s="274"/>
      <c r="E86" s="281"/>
      <c r="F86" s="79"/>
      <c r="G86" s="47">
        <f>SUMIF(JournalsA!D$14:D$920,TrialBalanceA!M86,JournalsA!J$14:J$920)+SUMIF(JournalsA!E$14:E$920,TrialBalanceA!M86,JournalsA!J$14:J$920)</f>
        <v>0</v>
      </c>
      <c r="H86" s="288"/>
      <c r="I86" s="255">
        <f t="shared" si="10"/>
        <v>0</v>
      </c>
      <c r="J86" s="75"/>
      <c r="K86" s="48">
        <f t="shared" si="11"/>
        <v>0</v>
      </c>
      <c r="M86" s="140" t="str">
        <f t="shared" si="12"/>
        <v>2750/002</v>
      </c>
      <c r="N86" s="70"/>
      <c r="P86" s="71"/>
      <c r="Q86" s="51"/>
      <c r="R86" s="31"/>
    </row>
    <row r="87" spans="1:18" x14ac:dyDescent="0.2">
      <c r="A87" s="238"/>
      <c r="B87" s="54" t="s">
        <v>77</v>
      </c>
      <c r="C87" s="279"/>
      <c r="D87" s="282"/>
      <c r="E87" s="281"/>
      <c r="F87" s="79"/>
      <c r="G87" s="47">
        <f>SUMIF(JournalsA!D$14:D$920,TrialBalanceA!M87,JournalsA!J$14:J$920)+SUMIF(JournalsA!E$14:E$920,TrialBalanceA!M87,JournalsA!J$14:J$920)</f>
        <v>0</v>
      </c>
      <c r="H87" s="288"/>
      <c r="I87" s="255">
        <f t="shared" si="10"/>
        <v>0</v>
      </c>
      <c r="J87" s="75"/>
      <c r="K87" s="48">
        <f t="shared" si="11"/>
        <v>0</v>
      </c>
      <c r="M87" s="140" t="str">
        <f t="shared" si="12"/>
        <v>2750/003</v>
      </c>
      <c r="N87" s="70"/>
      <c r="P87" s="71"/>
      <c r="Q87" s="51"/>
      <c r="R87" s="31"/>
    </row>
    <row r="88" spans="1:18" x14ac:dyDescent="0.2">
      <c r="A88" s="238"/>
      <c r="B88" s="54" t="s">
        <v>78</v>
      </c>
      <c r="C88" s="279"/>
      <c r="D88" s="282"/>
      <c r="E88" s="281"/>
      <c r="F88" s="79"/>
      <c r="G88" s="47">
        <f>SUMIF(JournalsA!D$14:D$920,TrialBalanceA!M88,JournalsA!J$14:J$920)+SUMIF(JournalsA!E$14:E$920,TrialBalanceA!M88,JournalsA!J$14:J$920)</f>
        <v>0</v>
      </c>
      <c r="H88" s="288"/>
      <c r="I88" s="255">
        <f t="shared" si="10"/>
        <v>0</v>
      </c>
      <c r="J88" s="75"/>
      <c r="K88" s="48">
        <f t="shared" si="11"/>
        <v>0</v>
      </c>
      <c r="M88" s="140" t="str">
        <f t="shared" si="12"/>
        <v>2750/004</v>
      </c>
      <c r="N88" s="70"/>
      <c r="P88" s="71"/>
      <c r="Q88" s="51"/>
      <c r="R88" s="31"/>
    </row>
    <row r="89" spans="1:18" x14ac:dyDescent="0.2">
      <c r="A89" s="238"/>
      <c r="B89" s="54" t="s">
        <v>192</v>
      </c>
      <c r="C89" s="239" t="s">
        <v>299</v>
      </c>
      <c r="D89" s="283"/>
      <c r="E89" s="281"/>
      <c r="F89" s="79"/>
      <c r="G89" s="47">
        <f>SUMIF(JournalsA!D$14:D$920,TrialBalanceA!M89,JournalsA!J$14:J$920)+SUMIF(JournalsA!E$14:E$920,TrialBalanceA!M89,JournalsA!J$14:J$920)</f>
        <v>0</v>
      </c>
      <c r="H89" s="288"/>
      <c r="I89" s="255">
        <f t="shared" si="10"/>
        <v>0</v>
      </c>
      <c r="J89" s="75"/>
      <c r="K89" s="48">
        <f t="shared" si="11"/>
        <v>0</v>
      </c>
      <c r="M89" s="140" t="str">
        <f t="shared" si="12"/>
        <v>2800/000Dividends received----------------------</v>
      </c>
      <c r="N89" s="70"/>
      <c r="P89" s="71"/>
      <c r="Q89" s="51"/>
      <c r="R89" s="31"/>
    </row>
    <row r="90" spans="1:18" x14ac:dyDescent="0.2">
      <c r="A90" s="238"/>
      <c r="B90" s="54" t="s">
        <v>300</v>
      </c>
      <c r="C90" s="242" t="s">
        <v>708</v>
      </c>
      <c r="D90" s="282"/>
      <c r="E90" s="281"/>
      <c r="F90" s="79"/>
      <c r="G90" s="47">
        <f>SUMIF(JournalsA!D$14:D$920,TrialBalanceA!M90,JournalsA!J$14:J$920)+SUMIF(JournalsA!E$14:E$920,TrialBalanceA!M90,JournalsA!J$14:J$920)</f>
        <v>0</v>
      </c>
      <c r="H90" s="288"/>
      <c r="I90" s="255">
        <f t="shared" si="10"/>
        <v>0</v>
      </c>
      <c r="J90" s="75"/>
      <c r="K90" s="48">
        <f t="shared" si="11"/>
        <v>0</v>
      </c>
      <c r="M90" s="140" t="str">
        <f t="shared" si="12"/>
        <v>2800/001Div.'s received - SA sources</v>
      </c>
      <c r="N90" s="70"/>
      <c r="P90" s="71"/>
      <c r="Q90" s="51"/>
      <c r="R90" s="31"/>
    </row>
    <row r="91" spans="1:18" x14ac:dyDescent="0.2">
      <c r="A91" s="238"/>
      <c r="B91" s="54" t="s">
        <v>202</v>
      </c>
      <c r="C91" s="242" t="s">
        <v>1141</v>
      </c>
      <c r="D91" s="282"/>
      <c r="E91" s="281"/>
      <c r="F91" s="79"/>
      <c r="G91" s="47">
        <f>SUMIF(JournalsA!D$14:D$920,TrialBalanceA!M91,JournalsA!J$14:J$920)+SUMIF(JournalsA!E$14:E$920,TrialBalanceA!M91,JournalsA!J$14:J$920)</f>
        <v>0</v>
      </c>
      <c r="H91" s="288"/>
      <c r="I91" s="255">
        <f t="shared" ref="I91" si="13">ROUND(D91-E91+G91+F91,0)</f>
        <v>0</v>
      </c>
      <c r="J91" s="75"/>
      <c r="K91" s="48">
        <f t="shared" ref="K91" si="14">ROUND(SUM(A91),0)</f>
        <v>0</v>
      </c>
      <c r="M91" s="140" t="str">
        <f t="shared" ref="M91" si="15">CONCATENATE(B91,C91)</f>
        <v>2800/002Div.'s received - Associates</v>
      </c>
      <c r="N91" s="70"/>
      <c r="P91" s="71"/>
      <c r="Q91" s="51"/>
      <c r="R91" s="31"/>
    </row>
    <row r="92" spans="1:18" x14ac:dyDescent="0.2">
      <c r="A92" s="238"/>
      <c r="B92" s="90" t="s">
        <v>1140</v>
      </c>
      <c r="C92" s="242" t="s">
        <v>709</v>
      </c>
      <c r="D92" s="282"/>
      <c r="E92" s="281"/>
      <c r="F92" s="79"/>
      <c r="G92" s="47">
        <f>SUMIF(JournalsA!D$14:D$920,TrialBalanceA!M92,JournalsA!J$14:J$920)+SUMIF(JournalsA!E$14:E$920,TrialBalanceA!M92,JournalsA!J$14:J$920)</f>
        <v>0</v>
      </c>
      <c r="H92" s="288"/>
      <c r="I92" s="255">
        <f t="shared" si="10"/>
        <v>0</v>
      </c>
      <c r="J92" s="75"/>
      <c r="K92" s="48">
        <f t="shared" si="11"/>
        <v>0</v>
      </c>
      <c r="M92" s="140" t="str">
        <f t="shared" si="12"/>
        <v>2800/003Div.'s received - Foreign div.'s</v>
      </c>
      <c r="N92" s="70"/>
      <c r="P92" s="71"/>
      <c r="Q92" s="51"/>
      <c r="R92" s="31"/>
    </row>
    <row r="93" spans="1:18" x14ac:dyDescent="0.2">
      <c r="A93" s="238"/>
      <c r="B93" s="54" t="s">
        <v>203</v>
      </c>
      <c r="C93" s="242" t="s">
        <v>667</v>
      </c>
      <c r="D93" s="284"/>
      <c r="E93" s="281"/>
      <c r="F93" s="79"/>
      <c r="G93" s="47">
        <f>SUMIF(JournalsA!D$14:D$920,TrialBalanceA!M93,JournalsA!J$14:J$920)+SUMIF(JournalsA!E$14:E$920,TrialBalanceA!M93,JournalsA!J$14:J$920)</f>
        <v>0</v>
      </c>
      <c r="H93" s="288"/>
      <c r="I93" s="255">
        <f t="shared" si="10"/>
        <v>0</v>
      </c>
      <c r="J93" s="75"/>
      <c r="K93" s="48">
        <f t="shared" si="11"/>
        <v>0</v>
      </c>
      <c r="M93" s="140" t="str">
        <f t="shared" si="12"/>
        <v>2810/000(Profit)/Loss on sale of fixed assets</v>
      </c>
      <c r="N93" s="70"/>
      <c r="P93" s="71"/>
      <c r="Q93" s="51"/>
      <c r="R93" s="31"/>
    </row>
    <row r="94" spans="1:18" x14ac:dyDescent="0.2">
      <c r="A94" s="238"/>
      <c r="B94" s="54" t="s">
        <v>204</v>
      </c>
      <c r="C94" s="240" t="s">
        <v>205</v>
      </c>
      <c r="D94" s="282"/>
      <c r="E94" s="281"/>
      <c r="F94" s="79"/>
      <c r="G94" s="47">
        <f>SUMIF(JournalsA!D$14:D$920,TrialBalanceA!M94,JournalsA!J$14:J$920)+SUMIF(JournalsA!E$14:E$920,TrialBalanceA!M94,JournalsA!J$14:J$920)</f>
        <v>0</v>
      </c>
      <c r="H94" s="288"/>
      <c r="I94" s="255">
        <f t="shared" si="10"/>
        <v>0</v>
      </c>
      <c r="J94" s="75"/>
      <c r="K94" s="48">
        <f t="shared" si="11"/>
        <v>0</v>
      </c>
      <c r="M94" s="140" t="str">
        <f t="shared" si="12"/>
        <v>2820/000Bad debts recovered</v>
      </c>
      <c r="N94" s="70"/>
      <c r="P94" s="71"/>
      <c r="Q94" s="51"/>
      <c r="R94" s="31"/>
    </row>
    <row r="95" spans="1:18" x14ac:dyDescent="0.2">
      <c r="A95" s="238"/>
      <c r="B95" s="54" t="s">
        <v>206</v>
      </c>
      <c r="C95" s="240" t="s">
        <v>207</v>
      </c>
      <c r="D95" s="282"/>
      <c r="E95" s="281"/>
      <c r="F95" s="79"/>
      <c r="G95" s="47">
        <f>SUMIF(JournalsA!D$14:D$920,TrialBalanceA!M95,JournalsA!J$14:J$920)+SUMIF(JournalsA!E$14:E$920,TrialBalanceA!M95,JournalsA!J$14:J$920)</f>
        <v>0</v>
      </c>
      <c r="H95" s="288"/>
      <c r="I95" s="255">
        <f t="shared" si="10"/>
        <v>0</v>
      </c>
      <c r="J95" s="75"/>
      <c r="K95" s="48">
        <f t="shared" si="11"/>
        <v>0</v>
      </c>
      <c r="M95" s="140" t="str">
        <f t="shared" si="12"/>
        <v>2830/000Other income</v>
      </c>
      <c r="N95" s="70"/>
      <c r="P95" s="51"/>
      <c r="Q95" s="51"/>
      <c r="R95" s="31"/>
    </row>
    <row r="96" spans="1:18" x14ac:dyDescent="0.2">
      <c r="A96" s="238"/>
      <c r="B96" s="90" t="s">
        <v>1075</v>
      </c>
      <c r="C96" s="242" t="s">
        <v>1076</v>
      </c>
      <c r="D96" s="282"/>
      <c r="E96" s="281"/>
      <c r="F96" s="79"/>
      <c r="G96" s="47">
        <f>SUMIF(JournalsA!D$14:D$920,TrialBalanceA!M96,JournalsA!J$14:J$920)+SUMIF(JournalsA!E$14:E$920,TrialBalanceA!M96,JournalsA!J$14:J$920)</f>
        <v>0</v>
      </c>
      <c r="H96" s="288"/>
      <c r="I96" s="255">
        <f t="shared" ref="I96" si="16">ROUND(D96-E96+G96+F96,0)</f>
        <v>0</v>
      </c>
      <c r="J96" s="75"/>
      <c r="K96" s="48">
        <f t="shared" ref="K96" si="17">ROUND(SUM(A96),0)</f>
        <v>0</v>
      </c>
      <c r="M96" s="140" t="str">
        <f t="shared" ref="M96" si="18">CONCATENATE(B96,C96)</f>
        <v>2840/000Revaluation of investment property</v>
      </c>
      <c r="N96" s="70"/>
      <c r="P96" s="51"/>
      <c r="Q96" s="51"/>
      <c r="R96" s="31"/>
    </row>
    <row r="97" spans="1:18" x14ac:dyDescent="0.2">
      <c r="A97" s="238"/>
      <c r="B97" s="54" t="s">
        <v>208</v>
      </c>
      <c r="C97" s="239" t="s">
        <v>903</v>
      </c>
      <c r="D97" s="283"/>
      <c r="E97" s="281"/>
      <c r="F97" s="79"/>
      <c r="G97" s="47">
        <f>SUMIF(JournalsA!D$14:D$920,TrialBalanceA!M97,JournalsA!J$14:J$920)+SUMIF(JournalsA!E$14:E$920,TrialBalanceA!M97,JournalsA!J$14:J$920)</f>
        <v>0</v>
      </c>
      <c r="H97" s="288"/>
      <c r="I97" s="255">
        <f t="shared" si="10"/>
        <v>0</v>
      </c>
      <c r="J97" s="75"/>
      <c r="K97" s="48">
        <f t="shared" si="11"/>
        <v>0</v>
      </c>
      <c r="M97" s="140" t="str">
        <f t="shared" si="12"/>
        <v>3000/000ADMINISTRATIVE EXPENSES</v>
      </c>
      <c r="N97" s="70"/>
      <c r="P97" s="71"/>
      <c r="Q97" s="51"/>
      <c r="R97" s="31"/>
    </row>
    <row r="98" spans="1:18" x14ac:dyDescent="0.2">
      <c r="A98" s="238"/>
      <c r="B98" s="54" t="s">
        <v>209</v>
      </c>
      <c r="C98" s="240" t="s">
        <v>210</v>
      </c>
      <c r="D98" s="282"/>
      <c r="E98" s="281"/>
      <c r="F98" s="79"/>
      <c r="G98" s="47">
        <f>SUMIF(JournalsA!D$14:D$920,TrialBalanceA!M98,JournalsA!J$14:J$920)+SUMIF(JournalsA!E$14:E$920,TrialBalanceA!M98,JournalsA!J$14:J$920)</f>
        <v>0</v>
      </c>
      <c r="H98" s="288"/>
      <c r="I98" s="255">
        <f t="shared" si="10"/>
        <v>0</v>
      </c>
      <c r="J98" s="75"/>
      <c r="K98" s="48">
        <f t="shared" si="11"/>
        <v>0</v>
      </c>
      <c r="M98" s="140" t="str">
        <f t="shared" si="12"/>
        <v>3000/011Audit fees for current year</v>
      </c>
      <c r="N98" s="70"/>
      <c r="P98" s="51"/>
      <c r="Q98" s="51"/>
      <c r="R98" s="31"/>
    </row>
    <row r="99" spans="1:18" x14ac:dyDescent="0.2">
      <c r="A99" s="238"/>
      <c r="B99" s="54" t="s">
        <v>211</v>
      </c>
      <c r="C99" s="246" t="s">
        <v>356</v>
      </c>
      <c r="D99" s="272"/>
      <c r="E99" s="281"/>
      <c r="F99" s="79"/>
      <c r="G99" s="47">
        <f>SUMIF(JournalsA!D$14:D$920,TrialBalanceA!M99,JournalsA!J$14:J$920)+SUMIF(JournalsA!E$14:E$920,TrialBalanceA!M99,JournalsA!J$14:J$920)</f>
        <v>0</v>
      </c>
      <c r="H99" s="288"/>
      <c r="I99" s="255">
        <f t="shared" si="10"/>
        <v>0</v>
      </c>
      <c r="J99" s="75"/>
      <c r="K99" s="48">
        <f t="shared" si="11"/>
        <v>0</v>
      </c>
      <c r="M99" s="140" t="str">
        <f t="shared" si="12"/>
        <v>3000/012Under provision previous year</v>
      </c>
      <c r="N99" s="70"/>
      <c r="P99" s="71"/>
      <c r="Q99" s="51"/>
      <c r="R99" s="31"/>
    </row>
    <row r="100" spans="1:18" x14ac:dyDescent="0.2">
      <c r="A100" s="238"/>
      <c r="B100" s="54" t="s">
        <v>212</v>
      </c>
      <c r="C100" s="240" t="s">
        <v>213</v>
      </c>
      <c r="D100" s="282"/>
      <c r="E100" s="281"/>
      <c r="F100" s="79"/>
      <c r="G100" s="47">
        <f>SUMIF(JournalsA!D$14:D$920,TrialBalanceA!M100,JournalsA!J$14:J$920)+SUMIF(JournalsA!E$14:E$920,TrialBalanceA!M100,JournalsA!J$14:J$920)</f>
        <v>0</v>
      </c>
      <c r="H100" s="288"/>
      <c r="I100" s="255">
        <f t="shared" si="10"/>
        <v>0</v>
      </c>
      <c r="J100" s="75"/>
      <c r="K100" s="48">
        <f t="shared" si="11"/>
        <v>0</v>
      </c>
      <c r="M100" s="140" t="str">
        <f t="shared" si="12"/>
        <v>3000/013Overprovision previous year</v>
      </c>
      <c r="N100" s="70"/>
      <c r="P100" s="71"/>
      <c r="Q100" s="51"/>
      <c r="R100" s="31"/>
    </row>
    <row r="101" spans="1:18" x14ac:dyDescent="0.2">
      <c r="A101" s="238"/>
      <c r="B101" s="54" t="s">
        <v>214</v>
      </c>
      <c r="C101" s="240" t="s">
        <v>215</v>
      </c>
      <c r="D101" s="282"/>
      <c r="E101" s="281"/>
      <c r="F101" s="79"/>
      <c r="G101" s="47">
        <f>SUMIF(JournalsA!D$14:D$920,TrialBalanceA!M101,JournalsA!J$14:J$920)+SUMIF(JournalsA!E$14:E$920,TrialBalanceA!M101,JournalsA!J$14:J$920)</f>
        <v>0</v>
      </c>
      <c r="H101" s="288"/>
      <c r="I101" s="255">
        <f t="shared" si="10"/>
        <v>0</v>
      </c>
      <c r="J101" s="75"/>
      <c r="K101" s="48">
        <f t="shared" si="11"/>
        <v>0</v>
      </c>
      <c r="M101" s="140" t="str">
        <f t="shared" si="12"/>
        <v>3000/014Accounting fees</v>
      </c>
      <c r="N101" s="70"/>
      <c r="P101" s="71"/>
      <c r="Q101" s="51"/>
      <c r="R101" s="31"/>
    </row>
    <row r="102" spans="1:18" x14ac:dyDescent="0.2">
      <c r="A102" s="238"/>
      <c r="B102" s="54" t="s">
        <v>216</v>
      </c>
      <c r="C102" s="240" t="s">
        <v>217</v>
      </c>
      <c r="D102" s="282"/>
      <c r="E102" s="281"/>
      <c r="F102" s="79"/>
      <c r="G102" s="47">
        <f>SUMIF(JournalsA!D$14:D$920,TrialBalanceA!M102,JournalsA!J$14:J$920)+SUMIF(JournalsA!E$14:E$920,TrialBalanceA!M102,JournalsA!J$14:J$920)</f>
        <v>0</v>
      </c>
      <c r="H102" s="288"/>
      <c r="I102" s="255">
        <f>ROUND(D102-E102+G102+F102,0)</f>
        <v>0</v>
      </c>
      <c r="J102" s="75"/>
      <c r="K102" s="48">
        <f t="shared" si="11"/>
        <v>0</v>
      </c>
      <c r="M102" s="140" t="str">
        <f t="shared" si="12"/>
        <v>3000/020Bank charges</v>
      </c>
      <c r="N102" s="70"/>
      <c r="P102" s="71"/>
      <c r="Q102" s="51"/>
      <c r="R102" s="31"/>
    </row>
    <row r="103" spans="1:18" x14ac:dyDescent="0.2">
      <c r="A103" s="238"/>
      <c r="B103" s="54" t="s">
        <v>218</v>
      </c>
      <c r="C103" s="240" t="s">
        <v>219</v>
      </c>
      <c r="D103" s="282"/>
      <c r="E103" s="281"/>
      <c r="F103" s="79"/>
      <c r="G103" s="47">
        <f>SUMIF(JournalsA!D$14:D$920,TrialBalanceA!M103,JournalsA!J$14:J$920)+SUMIF(JournalsA!E$14:E$920,TrialBalanceA!M103,JournalsA!J$14:J$920)</f>
        <v>0</v>
      </c>
      <c r="H103" s="288"/>
      <c r="I103" s="255">
        <f t="shared" ref="I103:I134" si="19">ROUND(D103-E103+G103+F103,0)</f>
        <v>0</v>
      </c>
      <c r="J103" s="75"/>
      <c r="K103" s="48">
        <f t="shared" si="11"/>
        <v>0</v>
      </c>
      <c r="M103" s="140" t="str">
        <f t="shared" si="12"/>
        <v>3000/030Bad debts</v>
      </c>
      <c r="N103" s="70"/>
      <c r="P103" s="71"/>
      <c r="Q103" s="51"/>
      <c r="R103" s="31"/>
    </row>
    <row r="104" spans="1:18" x14ac:dyDescent="0.2">
      <c r="A104" s="238"/>
      <c r="B104" s="54" t="s">
        <v>220</v>
      </c>
      <c r="C104" s="240" t="s">
        <v>258</v>
      </c>
      <c r="D104" s="282"/>
      <c r="E104" s="281"/>
      <c r="F104" s="79"/>
      <c r="G104" s="47">
        <f>SUMIF(JournalsA!D$14:D$920,TrialBalanceA!M104,JournalsA!J$14:J$920)+SUMIF(JournalsA!E$14:E$920,TrialBalanceA!M104,JournalsA!J$14:J$920)</f>
        <v>0</v>
      </c>
      <c r="H104" s="288"/>
      <c r="I104" s="255">
        <f t="shared" si="19"/>
        <v>0</v>
      </c>
      <c r="J104" s="75"/>
      <c r="K104" s="48">
        <f t="shared" si="11"/>
        <v>0</v>
      </c>
      <c r="M104" s="140" t="str">
        <f t="shared" si="12"/>
        <v>3000/040Cleaning</v>
      </c>
      <c r="N104" s="70"/>
      <c r="P104" s="71"/>
      <c r="Q104" s="51"/>
      <c r="R104" s="31"/>
    </row>
    <row r="105" spans="1:18" x14ac:dyDescent="0.2">
      <c r="A105" s="238"/>
      <c r="B105" s="54" t="s">
        <v>221</v>
      </c>
      <c r="C105" s="240" t="s">
        <v>222</v>
      </c>
      <c r="D105" s="282"/>
      <c r="E105" s="281"/>
      <c r="F105" s="79"/>
      <c r="G105" s="47">
        <f>SUMIF(JournalsA!D$14:D$920,TrialBalanceA!M105,JournalsA!J$14:J$920)+SUMIF(JournalsA!E$14:E$920,TrialBalanceA!M105,JournalsA!J$14:J$920)</f>
        <v>0</v>
      </c>
      <c r="H105" s="288"/>
      <c r="I105" s="255">
        <f t="shared" si="19"/>
        <v>0</v>
      </c>
      <c r="J105" s="75"/>
      <c r="K105" s="48">
        <f t="shared" si="11"/>
        <v>0</v>
      </c>
      <c r="M105" s="140" t="str">
        <f t="shared" si="12"/>
        <v>3000/050Computer expenses</v>
      </c>
      <c r="N105" s="70"/>
      <c r="P105" s="71"/>
      <c r="Q105" s="51"/>
      <c r="R105" s="31"/>
    </row>
    <row r="106" spans="1:18" x14ac:dyDescent="0.2">
      <c r="A106" s="238"/>
      <c r="B106" s="90" t="s">
        <v>689</v>
      </c>
      <c r="C106" s="242" t="s">
        <v>727</v>
      </c>
      <c r="D106" s="282"/>
      <c r="E106" s="281"/>
      <c r="F106" s="79"/>
      <c r="G106" s="47">
        <f>SUMIF(JournalsA!D$14:D$920,TrialBalanceA!M106,JournalsA!J$14:J$920)+SUMIF(JournalsA!E$14:E$920,TrialBalanceA!M106,JournalsA!J$14:J$920)</f>
        <v>0</v>
      </c>
      <c r="H106" s="288"/>
      <c r="I106" s="255">
        <f t="shared" ref="I106" si="20">ROUND(D106-E106+G106+F106,0)</f>
        <v>0</v>
      </c>
      <c r="J106" s="75"/>
      <c r="K106" s="48">
        <f t="shared" ref="K106" si="21">ROUND(SUM(A106),0)</f>
        <v>0</v>
      </c>
      <c r="M106" s="140" t="str">
        <f t="shared" ref="M106" si="22">CONCATENATE(B106,C106)</f>
        <v>3000/055Consulting and professional fees</v>
      </c>
      <c r="N106" s="70"/>
      <c r="P106" s="71"/>
      <c r="Q106" s="51"/>
      <c r="R106" s="31"/>
    </row>
    <row r="107" spans="1:18" x14ac:dyDescent="0.2">
      <c r="A107" s="238"/>
      <c r="B107" s="54" t="s">
        <v>223</v>
      </c>
      <c r="C107" s="239" t="s">
        <v>413</v>
      </c>
      <c r="D107" s="283"/>
      <c r="E107" s="281"/>
      <c r="F107" s="79"/>
      <c r="G107" s="47">
        <f>SUMIF(JournalsA!D$14:D$920,TrialBalanceA!M107,JournalsA!J$14:J$920)+SUMIF(JournalsA!E$14:E$920,TrialBalanceA!M107,JournalsA!J$14:J$920)</f>
        <v>0</v>
      </c>
      <c r="H107" s="288"/>
      <c r="I107" s="255">
        <f t="shared" si="19"/>
        <v>0</v>
      </c>
      <c r="J107" s="75"/>
      <c r="K107" s="48">
        <f t="shared" si="11"/>
        <v>0</v>
      </c>
      <c r="M107" s="140" t="str">
        <f t="shared" si="12"/>
        <v>3000/060Depreciation----------------------------</v>
      </c>
      <c r="N107" s="70"/>
      <c r="P107" s="71"/>
      <c r="Q107" s="51"/>
      <c r="R107" s="31"/>
    </row>
    <row r="108" spans="1:18" x14ac:dyDescent="0.2">
      <c r="A108" s="238"/>
      <c r="B108" s="90" t="s">
        <v>224</v>
      </c>
      <c r="C108" s="241" t="s">
        <v>53</v>
      </c>
      <c r="D108" s="281"/>
      <c r="E108" s="281"/>
      <c r="F108" s="79"/>
      <c r="G108" s="47">
        <f>SUMIF(JournalsA!D$14:D$920,TrialBalanceA!M108,JournalsA!J$14:J$920)+SUMIF(JournalsA!E$14:E$920,TrialBalanceA!M108,JournalsA!J$14:J$920)</f>
        <v>0</v>
      </c>
      <c r="H108" s="288"/>
      <c r="I108" s="255">
        <f t="shared" si="19"/>
        <v>0</v>
      </c>
      <c r="J108" s="75"/>
      <c r="K108" s="48">
        <f t="shared" si="11"/>
        <v>0</v>
      </c>
      <c r="M108" s="140" t="str">
        <f t="shared" si="12"/>
        <v>3000/061Depr - Electronic equipment</v>
      </c>
      <c r="N108" s="70"/>
      <c r="P108" s="71"/>
      <c r="Q108" s="51"/>
      <c r="R108" s="31"/>
    </row>
    <row r="109" spans="1:18" x14ac:dyDescent="0.2">
      <c r="A109" s="238"/>
      <c r="B109" s="90" t="s">
        <v>360</v>
      </c>
      <c r="C109" s="242" t="s">
        <v>766</v>
      </c>
      <c r="D109" s="282"/>
      <c r="E109" s="281"/>
      <c r="F109" s="79"/>
      <c r="G109" s="47">
        <f>SUMIF(JournalsA!D$14:D$920,TrialBalanceA!M109,JournalsA!J$14:J$920)+SUMIF(JournalsA!E$14:E$920,TrialBalanceA!M109,JournalsA!J$14:J$920)</f>
        <v>0</v>
      </c>
      <c r="H109" s="288"/>
      <c r="I109" s="255">
        <f t="shared" si="19"/>
        <v>0</v>
      </c>
      <c r="J109" s="75"/>
      <c r="K109" s="48">
        <f t="shared" si="11"/>
        <v>0</v>
      </c>
      <c r="M109" s="140" t="str">
        <f t="shared" si="12"/>
        <v>3000/063Depr - Furniture and fittings</v>
      </c>
      <c r="N109" s="70"/>
      <c r="P109" s="71"/>
      <c r="Q109" s="51"/>
      <c r="R109" s="31"/>
    </row>
    <row r="110" spans="1:18" x14ac:dyDescent="0.2">
      <c r="A110" s="238"/>
      <c r="B110" s="54" t="s">
        <v>361</v>
      </c>
      <c r="C110" s="239" t="s">
        <v>615</v>
      </c>
      <c r="D110" s="283"/>
      <c r="E110" s="281"/>
      <c r="F110" s="79"/>
      <c r="G110" s="47">
        <f>SUMIF(JournalsA!D$14:D$920,TrialBalanceA!M110,JournalsA!J$14:J$920)+SUMIF(JournalsA!E$14:E$920,TrialBalanceA!M110,JournalsA!J$14:J$920)</f>
        <v>0</v>
      </c>
      <c r="H110" s="288"/>
      <c r="I110" s="255">
        <f t="shared" si="19"/>
        <v>0</v>
      </c>
      <c r="J110" s="75"/>
      <c r="K110" s="48">
        <f t="shared" si="11"/>
        <v>0</v>
      </c>
      <c r="M110" s="140" t="str">
        <f t="shared" si="12"/>
        <v>3000/070Directors' remuneration-----------------</v>
      </c>
      <c r="N110" s="70"/>
      <c r="P110" s="71"/>
      <c r="Q110" s="51"/>
      <c r="R110" s="31"/>
    </row>
    <row r="111" spans="1:18" x14ac:dyDescent="0.2">
      <c r="A111" s="238"/>
      <c r="B111" s="54" t="s">
        <v>362</v>
      </c>
      <c r="C111" s="276" t="str">
        <f>Criteria!E38</f>
        <v>A Director</v>
      </c>
      <c r="D111" s="281"/>
      <c r="E111" s="281"/>
      <c r="F111" s="79"/>
      <c r="G111" s="47">
        <f>SUMIF(JournalsA!D$14:D$920,TrialBalanceA!M111,JournalsA!J$14:J$920)+SUMIF(JournalsA!E$14:E$920,TrialBalanceA!M111,JournalsA!J$14:J$920)</f>
        <v>0</v>
      </c>
      <c r="H111" s="288"/>
      <c r="I111" s="255">
        <f t="shared" si="19"/>
        <v>0</v>
      </c>
      <c r="J111" s="75"/>
      <c r="K111" s="48">
        <f t="shared" si="11"/>
        <v>0</v>
      </c>
      <c r="M111" s="140" t="str">
        <f t="shared" si="12"/>
        <v>3000/071A Director</v>
      </c>
      <c r="N111" s="70"/>
      <c r="P111" s="71"/>
      <c r="Q111" s="51"/>
      <c r="R111" s="31"/>
    </row>
    <row r="112" spans="1:18" x14ac:dyDescent="0.2">
      <c r="A112" s="238"/>
      <c r="B112" s="54" t="s">
        <v>363</v>
      </c>
      <c r="C112" s="276">
        <f>Criteria!E39</f>
        <v>0</v>
      </c>
      <c r="D112" s="281"/>
      <c r="E112" s="281"/>
      <c r="F112" s="79"/>
      <c r="G112" s="47">
        <f>SUMIF(JournalsA!D$14:D$920,TrialBalanceA!M112,JournalsA!J$14:J$920)+SUMIF(JournalsA!E$14:E$920,TrialBalanceA!M112,JournalsA!J$14:J$920)</f>
        <v>0</v>
      </c>
      <c r="H112" s="288"/>
      <c r="I112" s="255">
        <f t="shared" si="19"/>
        <v>0</v>
      </c>
      <c r="J112" s="75"/>
      <c r="K112" s="48">
        <f t="shared" si="11"/>
        <v>0</v>
      </c>
      <c r="M112" s="140" t="str">
        <f t="shared" si="12"/>
        <v>3000/0720</v>
      </c>
      <c r="N112" s="70"/>
      <c r="P112" s="71"/>
      <c r="Q112" s="51"/>
      <c r="R112" s="31"/>
    </row>
    <row r="113" spans="1:18" x14ac:dyDescent="0.2">
      <c r="A113" s="238"/>
      <c r="B113" s="54" t="s">
        <v>364</v>
      </c>
      <c r="C113" s="276">
        <f>Criteria!E40</f>
        <v>0</v>
      </c>
      <c r="D113" s="281"/>
      <c r="E113" s="281"/>
      <c r="F113" s="79"/>
      <c r="G113" s="47">
        <f>SUMIF(JournalsA!D$14:D$920,TrialBalanceA!M113,JournalsA!J$14:J$920)+SUMIF(JournalsA!E$14:E$920,TrialBalanceA!M113,JournalsA!J$14:J$920)</f>
        <v>0</v>
      </c>
      <c r="H113" s="288"/>
      <c r="I113" s="255">
        <f t="shared" si="19"/>
        <v>0</v>
      </c>
      <c r="J113" s="75"/>
      <c r="K113" s="48">
        <f t="shared" si="11"/>
        <v>0</v>
      </c>
      <c r="M113" s="140" t="str">
        <f t="shared" si="12"/>
        <v>3000/0730</v>
      </c>
      <c r="N113" s="70"/>
      <c r="P113" s="71"/>
      <c r="Q113" s="51"/>
      <c r="R113" s="31"/>
    </row>
    <row r="114" spans="1:18" x14ac:dyDescent="0.2">
      <c r="A114" s="238"/>
      <c r="B114" s="54" t="s">
        <v>365</v>
      </c>
      <c r="C114" s="276">
        <f>Criteria!E41</f>
        <v>0</v>
      </c>
      <c r="D114" s="281"/>
      <c r="E114" s="281"/>
      <c r="F114" s="79"/>
      <c r="G114" s="47">
        <f>SUMIF(JournalsA!D$14:D$920,TrialBalanceA!M114,JournalsA!J$14:J$920)+SUMIF(JournalsA!E$14:E$920,TrialBalanceA!M114,JournalsA!J$14:J$920)</f>
        <v>0</v>
      </c>
      <c r="H114" s="288"/>
      <c r="I114" s="255">
        <f t="shared" si="19"/>
        <v>0</v>
      </c>
      <c r="J114" s="75"/>
      <c r="K114" s="48">
        <f t="shared" si="11"/>
        <v>0</v>
      </c>
      <c r="M114" s="140" t="str">
        <f t="shared" si="12"/>
        <v>3000/0740</v>
      </c>
      <c r="N114" s="70"/>
      <c r="P114" s="71"/>
      <c r="Q114" s="51"/>
      <c r="R114" s="31"/>
    </row>
    <row r="115" spans="1:18" x14ac:dyDescent="0.2">
      <c r="A115" s="238"/>
      <c r="B115" s="54" t="s">
        <v>366</v>
      </c>
      <c r="C115" s="276">
        <f>Criteria!E42</f>
        <v>0</v>
      </c>
      <c r="D115" s="282"/>
      <c r="E115" s="281"/>
      <c r="F115" s="79"/>
      <c r="G115" s="47">
        <f>SUMIF(JournalsA!D$14:D$920,TrialBalanceA!M115,JournalsA!J$14:J$920)+SUMIF(JournalsA!E$14:E$920,TrialBalanceA!M115,JournalsA!J$14:J$920)</f>
        <v>0</v>
      </c>
      <c r="H115" s="288"/>
      <c r="I115" s="255">
        <f t="shared" si="19"/>
        <v>0</v>
      </c>
      <c r="J115" s="75"/>
      <c r="K115" s="48">
        <f t="shared" si="11"/>
        <v>0</v>
      </c>
      <c r="M115" s="140" t="str">
        <f t="shared" si="12"/>
        <v>3000/0750</v>
      </c>
      <c r="N115" s="70"/>
      <c r="P115" s="71"/>
      <c r="Q115" s="51"/>
      <c r="R115" s="31"/>
    </row>
    <row r="116" spans="1:18" x14ac:dyDescent="0.2">
      <c r="A116" s="238"/>
      <c r="B116" s="54" t="s">
        <v>367</v>
      </c>
      <c r="C116" s="240" t="s">
        <v>259</v>
      </c>
      <c r="D116" s="282"/>
      <c r="E116" s="281"/>
      <c r="F116" s="79"/>
      <c r="G116" s="47">
        <f>SUMIF(JournalsA!D$14:D$920,TrialBalanceA!M116,JournalsA!J$14:J$920)+SUMIF(JournalsA!E$14:E$920,TrialBalanceA!M116,JournalsA!J$14:J$920)</f>
        <v>0</v>
      </c>
      <c r="H116" s="288"/>
      <c r="I116" s="255">
        <f t="shared" si="19"/>
        <v>0</v>
      </c>
      <c r="J116" s="75"/>
      <c r="K116" s="48">
        <f t="shared" si="11"/>
        <v>0</v>
      </c>
      <c r="M116" s="140" t="str">
        <f t="shared" si="12"/>
        <v>3000/080Donations</v>
      </c>
      <c r="N116" s="70"/>
      <c r="P116" s="71"/>
      <c r="Q116" s="51"/>
      <c r="R116" s="31"/>
    </row>
    <row r="117" spans="1:18" x14ac:dyDescent="0.2">
      <c r="A117" s="238"/>
      <c r="B117" s="54" t="s">
        <v>368</v>
      </c>
      <c r="C117" s="240" t="s">
        <v>369</v>
      </c>
      <c r="D117" s="282"/>
      <c r="E117" s="281"/>
      <c r="F117" s="79"/>
      <c r="G117" s="47">
        <f>SUMIF(JournalsA!D$14:D$920,TrialBalanceA!M117,JournalsA!J$14:J$920)+SUMIF(JournalsA!E$14:E$920,TrialBalanceA!M117,JournalsA!J$14:J$920)</f>
        <v>0</v>
      </c>
      <c r="H117" s="288"/>
      <c r="I117" s="255">
        <f t="shared" si="19"/>
        <v>0</v>
      </c>
      <c r="J117" s="75"/>
      <c r="K117" s="48">
        <f t="shared" si="11"/>
        <v>0</v>
      </c>
      <c r="M117" s="140" t="str">
        <f t="shared" si="12"/>
        <v>3000/090Entertainment expenses</v>
      </c>
      <c r="N117" s="70"/>
      <c r="P117" s="71"/>
      <c r="Q117" s="51"/>
      <c r="R117" s="31"/>
    </row>
    <row r="118" spans="1:18" x14ac:dyDescent="0.2">
      <c r="A118" s="238"/>
      <c r="B118" s="56" t="s">
        <v>61</v>
      </c>
      <c r="C118" s="246" t="s">
        <v>330</v>
      </c>
      <c r="D118" s="272"/>
      <c r="E118" s="281"/>
      <c r="F118" s="79"/>
      <c r="G118" s="47">
        <f>SUMIF(JournalsA!D$14:D$920,TrialBalanceA!M118,JournalsA!J$14:J$920)+SUMIF(JournalsA!E$14:E$920,TrialBalanceA!M118,JournalsA!J$14:J$920)</f>
        <v>0</v>
      </c>
      <c r="H118" s="288"/>
      <c r="I118" s="255">
        <f t="shared" si="19"/>
        <v>0</v>
      </c>
      <c r="J118" s="75"/>
      <c r="K118" s="48">
        <f t="shared" si="11"/>
        <v>0</v>
      </c>
      <c r="M118" s="140" t="str">
        <f t="shared" si="12"/>
        <v>3000/095Fines</v>
      </c>
      <c r="N118" s="70"/>
      <c r="P118" s="71"/>
      <c r="Q118" s="51"/>
      <c r="R118" s="31"/>
    </row>
    <row r="119" spans="1:18" x14ac:dyDescent="0.2">
      <c r="A119" s="238"/>
      <c r="B119" s="54" t="s">
        <v>370</v>
      </c>
      <c r="C119" s="240" t="s">
        <v>371</v>
      </c>
      <c r="D119" s="282"/>
      <c r="E119" s="281"/>
      <c r="F119" s="79"/>
      <c r="G119" s="47">
        <f>SUMIF(JournalsA!D$14:D$920,TrialBalanceA!M119,JournalsA!J$14:J$920)+SUMIF(JournalsA!E$14:E$920,TrialBalanceA!M119,JournalsA!J$14:J$920)</f>
        <v>0</v>
      </c>
      <c r="H119" s="288"/>
      <c r="I119" s="255">
        <f t="shared" si="19"/>
        <v>0</v>
      </c>
      <c r="J119" s="75"/>
      <c r="K119" s="48">
        <f t="shared" si="11"/>
        <v>0</v>
      </c>
      <c r="M119" s="140" t="str">
        <f t="shared" si="12"/>
        <v>3000/100General expenses</v>
      </c>
      <c r="N119" s="70"/>
      <c r="P119" s="71"/>
      <c r="Q119" s="51"/>
      <c r="R119" s="31"/>
    </row>
    <row r="120" spans="1:18" x14ac:dyDescent="0.2">
      <c r="A120" s="238"/>
      <c r="B120" s="54" t="s">
        <v>301</v>
      </c>
      <c r="C120" s="241" t="s">
        <v>763</v>
      </c>
      <c r="D120" s="272"/>
      <c r="E120" s="281"/>
      <c r="F120" s="79"/>
      <c r="G120" s="47">
        <f>SUMIF(JournalsA!D$14:D$920,TrialBalanceA!M120,JournalsA!J$14:J$920)+SUMIF(JournalsA!E$14:E$920,TrialBalanceA!M120,JournalsA!J$14:J$920)</f>
        <v>0</v>
      </c>
      <c r="H120" s="288"/>
      <c r="I120" s="255">
        <f t="shared" si="19"/>
        <v>0</v>
      </c>
      <c r="J120" s="75"/>
      <c r="K120" s="48">
        <f t="shared" si="11"/>
        <v>0</v>
      </c>
      <c r="M120" s="140" t="str">
        <f t="shared" si="12"/>
        <v>3000/110Legal expenses - tax deductible</v>
      </c>
      <c r="N120" s="70"/>
      <c r="P120" s="71"/>
      <c r="Q120" s="51"/>
      <c r="R120" s="31"/>
    </row>
    <row r="121" spans="1:18" x14ac:dyDescent="0.2">
      <c r="A121" s="238"/>
      <c r="B121" s="54" t="s">
        <v>448</v>
      </c>
      <c r="C121" s="241" t="s">
        <v>764</v>
      </c>
      <c r="D121" s="272"/>
      <c r="E121" s="281"/>
      <c r="F121" s="79"/>
      <c r="G121" s="47">
        <f>SUMIF(JournalsA!D$14:D$920,TrialBalanceA!M121,JournalsA!J$14:J$920)+SUMIF(JournalsA!E$14:E$920,TrialBalanceA!M121,JournalsA!J$14:J$920)</f>
        <v>0</v>
      </c>
      <c r="H121" s="288"/>
      <c r="I121" s="255">
        <f t="shared" si="19"/>
        <v>0</v>
      </c>
      <c r="J121" s="75"/>
      <c r="K121" s="48">
        <f t="shared" si="11"/>
        <v>0</v>
      </c>
      <c r="M121" s="140" t="str">
        <f t="shared" si="12"/>
        <v>3000/111Legal expenses - non deductible</v>
      </c>
      <c r="N121" s="70"/>
      <c r="P121" s="71"/>
      <c r="Q121" s="51"/>
      <c r="R121" s="31"/>
    </row>
    <row r="122" spans="1:18" x14ac:dyDescent="0.2">
      <c r="A122" s="238"/>
      <c r="B122" s="54" t="s">
        <v>302</v>
      </c>
      <c r="C122" s="240" t="s">
        <v>303</v>
      </c>
      <c r="D122" s="282"/>
      <c r="E122" s="281"/>
      <c r="F122" s="79"/>
      <c r="G122" s="47">
        <f>SUMIF(JournalsA!D$14:D$920,TrialBalanceA!M122,JournalsA!J$14:J$920)+SUMIF(JournalsA!E$14:E$920,TrialBalanceA!M122,JournalsA!J$14:J$920)</f>
        <v>0</v>
      </c>
      <c r="H122" s="288"/>
      <c r="I122" s="255">
        <f t="shared" si="19"/>
        <v>0</v>
      </c>
      <c r="J122" s="75"/>
      <c r="K122" s="48">
        <f t="shared" si="11"/>
        <v>0</v>
      </c>
      <c r="M122" s="140" t="str">
        <f t="shared" si="12"/>
        <v>3000/120Printing and stationary</v>
      </c>
      <c r="N122" s="70"/>
      <c r="P122" s="71"/>
      <c r="Q122" s="51"/>
      <c r="R122" s="31"/>
    </row>
    <row r="123" spans="1:18" x14ac:dyDescent="0.2">
      <c r="A123" s="238"/>
      <c r="B123" s="54" t="s">
        <v>304</v>
      </c>
      <c r="C123" s="240" t="s">
        <v>260</v>
      </c>
      <c r="D123" s="282"/>
      <c r="E123" s="281"/>
      <c r="F123" s="79"/>
      <c r="G123" s="47">
        <f>SUMIF(JournalsA!D$14:D$920,TrialBalanceA!M123,JournalsA!J$14:J$920)+SUMIF(JournalsA!E$14:E$920,TrialBalanceA!M123,JournalsA!J$14:J$920)</f>
        <v>0</v>
      </c>
      <c r="H123" s="288"/>
      <c r="I123" s="255">
        <f t="shared" si="19"/>
        <v>0</v>
      </c>
      <c r="J123" s="75"/>
      <c r="K123" s="48">
        <f t="shared" si="11"/>
        <v>0</v>
      </c>
      <c r="M123" s="140" t="str">
        <f t="shared" si="12"/>
        <v>3000/130Refreshments</v>
      </c>
      <c r="N123" s="70"/>
      <c r="P123" s="71"/>
      <c r="Q123" s="51"/>
      <c r="R123" s="31"/>
    </row>
    <row r="124" spans="1:18" x14ac:dyDescent="0.2">
      <c r="A124" s="238"/>
      <c r="B124" s="54" t="s">
        <v>305</v>
      </c>
      <c r="C124" s="240" t="s">
        <v>64</v>
      </c>
      <c r="D124" s="282"/>
      <c r="E124" s="281"/>
      <c r="F124" s="79"/>
      <c r="G124" s="47">
        <f>SUMIF(JournalsA!D$14:D$920,TrialBalanceA!M124,JournalsA!J$14:J$920)+SUMIF(JournalsA!E$14:E$920,TrialBalanceA!M124,JournalsA!J$14:J$920)</f>
        <v>0</v>
      </c>
      <c r="H124" s="288"/>
      <c r="I124" s="255">
        <f t="shared" si="19"/>
        <v>0</v>
      </c>
      <c r="J124" s="75"/>
      <c r="K124" s="48">
        <f t="shared" si="11"/>
        <v>0</v>
      </c>
      <c r="M124" s="140" t="str">
        <f t="shared" si="12"/>
        <v>3000/140Salaries</v>
      </c>
      <c r="N124" s="70"/>
      <c r="P124" s="71"/>
      <c r="Q124" s="51"/>
      <c r="R124" s="31"/>
    </row>
    <row r="125" spans="1:18" x14ac:dyDescent="0.2">
      <c r="A125" s="238"/>
      <c r="B125" s="90" t="s">
        <v>306</v>
      </c>
      <c r="C125" s="240" t="s">
        <v>68</v>
      </c>
      <c r="D125" s="282"/>
      <c r="E125" s="281"/>
      <c r="F125" s="79"/>
      <c r="G125" s="47">
        <f>SUMIF(JournalsA!D$14:D$920,TrialBalanceA!M125,JournalsA!J$14:J$920)+SUMIF(JournalsA!E$14:E$920,TrialBalanceA!M125,JournalsA!J$14:J$920)</f>
        <v>0</v>
      </c>
      <c r="H125" s="288"/>
      <c r="I125" s="255">
        <f t="shared" si="19"/>
        <v>0</v>
      </c>
      <c r="J125" s="75"/>
      <c r="K125" s="48">
        <f t="shared" si="11"/>
        <v>0</v>
      </c>
      <c r="M125" s="140" t="str">
        <f t="shared" si="12"/>
        <v>3000/141Casual wages</v>
      </c>
      <c r="N125" s="70"/>
      <c r="P125" s="71"/>
      <c r="Q125" s="51"/>
      <c r="R125" s="31"/>
    </row>
    <row r="126" spans="1:18" x14ac:dyDescent="0.2">
      <c r="A126" s="238"/>
      <c r="B126" s="54" t="s">
        <v>307</v>
      </c>
      <c r="C126" s="240" t="s">
        <v>261</v>
      </c>
      <c r="D126" s="282"/>
      <c r="E126" s="281"/>
      <c r="F126" s="79"/>
      <c r="G126" s="47">
        <f>SUMIF(JournalsA!D$14:D$920,TrialBalanceA!M126,JournalsA!J$14:J$920)+SUMIF(JournalsA!E$14:E$920,TrialBalanceA!M126,JournalsA!J$14:J$920)</f>
        <v>0</v>
      </c>
      <c r="H126" s="288"/>
      <c r="I126" s="255">
        <f t="shared" si="19"/>
        <v>0</v>
      </c>
      <c r="J126" s="75"/>
      <c r="K126" s="48">
        <f t="shared" si="11"/>
        <v>0</v>
      </c>
      <c r="M126" s="140" t="str">
        <f t="shared" si="12"/>
        <v>3000/150Security</v>
      </c>
      <c r="N126" s="70"/>
      <c r="P126" s="71"/>
      <c r="Q126" s="51"/>
      <c r="R126" s="31"/>
    </row>
    <row r="127" spans="1:18" x14ac:dyDescent="0.2">
      <c r="A127" s="238"/>
      <c r="B127" s="54" t="s">
        <v>308</v>
      </c>
      <c r="C127" s="242" t="s">
        <v>729</v>
      </c>
      <c r="D127" s="284"/>
      <c r="E127" s="281"/>
      <c r="F127" s="79"/>
      <c r="G127" s="47">
        <f>SUMIF(JournalsA!D$14:D$920,TrialBalanceA!M127,JournalsA!J$14:J$920)+SUMIF(JournalsA!E$14:E$920,TrialBalanceA!M127,JournalsA!J$14:J$920)</f>
        <v>0</v>
      </c>
      <c r="H127" s="288"/>
      <c r="I127" s="255">
        <f t="shared" si="19"/>
        <v>0</v>
      </c>
      <c r="J127" s="75"/>
      <c r="K127" s="48">
        <f t="shared" si="11"/>
        <v>0</v>
      </c>
      <c r="M127" s="140" t="str">
        <f t="shared" si="12"/>
        <v>3000/160Subscriptions and membership fees</v>
      </c>
      <c r="N127" s="70"/>
      <c r="P127" s="71"/>
      <c r="Q127" s="51"/>
      <c r="R127" s="31"/>
    </row>
    <row r="128" spans="1:18" x14ac:dyDescent="0.2">
      <c r="A128" s="238"/>
      <c r="B128" s="54" t="s">
        <v>333</v>
      </c>
      <c r="C128" s="242" t="s">
        <v>765</v>
      </c>
      <c r="D128" s="282"/>
      <c r="E128" s="281"/>
      <c r="F128" s="79"/>
      <c r="G128" s="47">
        <f>SUMIF(JournalsA!D$14:D$920,TrialBalanceA!M128,JournalsA!J$14:J$920)+SUMIF(JournalsA!E$14:E$920,TrialBalanceA!M128,JournalsA!J$14:J$920)</f>
        <v>0</v>
      </c>
      <c r="H128" s="288"/>
      <c r="I128" s="255">
        <f t="shared" si="19"/>
        <v>0</v>
      </c>
      <c r="J128" s="75"/>
      <c r="K128" s="48">
        <f t="shared" si="11"/>
        <v>0</v>
      </c>
      <c r="M128" s="140" t="str">
        <f t="shared" si="12"/>
        <v>3000/170Penalties and interest - SARS</v>
      </c>
      <c r="N128" s="70"/>
      <c r="P128" s="71"/>
      <c r="Q128" s="51"/>
      <c r="R128" s="31"/>
    </row>
    <row r="129" spans="1:18" x14ac:dyDescent="0.2">
      <c r="A129" s="238"/>
      <c r="B129" s="54" t="s">
        <v>279</v>
      </c>
      <c r="C129" s="276"/>
      <c r="D129" s="281"/>
      <c r="E129" s="281"/>
      <c r="F129" s="79"/>
      <c r="G129" s="47">
        <f>SUMIF(JournalsA!D$14:D$920,TrialBalanceA!M129,JournalsA!J$14:J$920)+SUMIF(JournalsA!E$14:E$920,TrialBalanceA!M129,JournalsA!J$14:J$920)</f>
        <v>0</v>
      </c>
      <c r="H129" s="288"/>
      <c r="I129" s="255">
        <f t="shared" si="19"/>
        <v>0</v>
      </c>
      <c r="J129" s="75"/>
      <c r="K129" s="48">
        <f t="shared" si="11"/>
        <v>0</v>
      </c>
      <c r="M129" s="140" t="str">
        <f t="shared" si="12"/>
        <v>3000/180</v>
      </c>
      <c r="N129" s="70"/>
      <c r="P129" s="71"/>
      <c r="Q129" s="51"/>
      <c r="R129" s="31"/>
    </row>
    <row r="130" spans="1:18" x14ac:dyDescent="0.2">
      <c r="A130" s="238"/>
      <c r="B130" s="54" t="s">
        <v>280</v>
      </c>
      <c r="C130" s="276"/>
      <c r="D130" s="281"/>
      <c r="E130" s="281"/>
      <c r="F130" s="79"/>
      <c r="G130" s="47">
        <f>SUMIF(JournalsA!D$14:D$920,TrialBalanceA!M130,JournalsA!J$14:J$920)+SUMIF(JournalsA!E$14:E$920,TrialBalanceA!M130,JournalsA!J$14:J$920)</f>
        <v>0</v>
      </c>
      <c r="H130" s="288"/>
      <c r="I130" s="255">
        <f t="shared" si="19"/>
        <v>0</v>
      </c>
      <c r="J130" s="75"/>
      <c r="K130" s="48">
        <f t="shared" si="11"/>
        <v>0</v>
      </c>
      <c r="M130" s="140" t="str">
        <f t="shared" si="12"/>
        <v>3000/190</v>
      </c>
      <c r="N130" s="70"/>
      <c r="P130" s="71"/>
      <c r="Q130" s="51"/>
      <c r="R130" s="31"/>
    </row>
    <row r="131" spans="1:18" x14ac:dyDescent="0.2">
      <c r="A131" s="238"/>
      <c r="B131" s="54" t="s">
        <v>281</v>
      </c>
      <c r="C131" s="276"/>
      <c r="D131" s="272"/>
      <c r="E131" s="281"/>
      <c r="F131" s="79"/>
      <c r="G131" s="47">
        <f>SUMIF(JournalsA!D$14:D$920,TrialBalanceA!M131,JournalsA!J$14:J$920)+SUMIF(JournalsA!E$14:E$920,TrialBalanceA!M131,JournalsA!J$14:J$920)</f>
        <v>0</v>
      </c>
      <c r="H131" s="288"/>
      <c r="I131" s="255">
        <f t="shared" si="19"/>
        <v>0</v>
      </c>
      <c r="J131" s="75"/>
      <c r="K131" s="48">
        <f t="shared" si="11"/>
        <v>0</v>
      </c>
      <c r="M131" s="140" t="str">
        <f t="shared" si="12"/>
        <v>3000/200</v>
      </c>
      <c r="N131" s="70"/>
      <c r="P131" s="71"/>
      <c r="Q131" s="51"/>
      <c r="R131" s="31"/>
    </row>
    <row r="132" spans="1:18" x14ac:dyDescent="0.2">
      <c r="A132" s="238"/>
      <c r="B132" s="54" t="s">
        <v>282</v>
      </c>
      <c r="C132" s="277"/>
      <c r="D132" s="272"/>
      <c r="E132" s="281"/>
      <c r="F132" s="79"/>
      <c r="G132" s="47">
        <f>SUMIF(JournalsA!D$14:D$920,TrialBalanceA!M132,JournalsA!J$14:J$920)+SUMIF(JournalsA!E$14:E$920,TrialBalanceA!M132,JournalsA!J$14:J$920)</f>
        <v>0</v>
      </c>
      <c r="H132" s="288"/>
      <c r="I132" s="255">
        <f t="shared" si="19"/>
        <v>0</v>
      </c>
      <c r="J132" s="75"/>
      <c r="K132" s="48">
        <f t="shared" si="11"/>
        <v>0</v>
      </c>
      <c r="M132" s="140" t="str">
        <f t="shared" si="12"/>
        <v>3000/210</v>
      </c>
      <c r="N132" s="70"/>
      <c r="P132" s="71"/>
      <c r="Q132" s="51"/>
      <c r="R132" s="31"/>
    </row>
    <row r="133" spans="1:18" x14ac:dyDescent="0.2">
      <c r="A133" s="238"/>
      <c r="B133" s="54" t="s">
        <v>283</v>
      </c>
      <c r="C133" s="276"/>
      <c r="D133" s="272"/>
      <c r="E133" s="281"/>
      <c r="F133" s="79"/>
      <c r="G133" s="47">
        <f>SUMIF(JournalsA!D$14:D$920,TrialBalanceA!M133,JournalsA!J$14:J$920)+SUMIF(JournalsA!E$14:E$920,TrialBalanceA!M133,JournalsA!J$14:J$920)</f>
        <v>0</v>
      </c>
      <c r="H133" s="288"/>
      <c r="I133" s="255">
        <f t="shared" si="19"/>
        <v>0</v>
      </c>
      <c r="J133" s="75"/>
      <c r="K133" s="48">
        <f t="shared" si="11"/>
        <v>0</v>
      </c>
      <c r="M133" s="140" t="str">
        <f t="shared" si="12"/>
        <v>3000/220</v>
      </c>
      <c r="N133" s="70"/>
      <c r="P133" s="71"/>
      <c r="Q133" s="51"/>
      <c r="R133" s="31"/>
    </row>
    <row r="134" spans="1:18" x14ac:dyDescent="0.2">
      <c r="A134" s="238"/>
      <c r="B134" s="90" t="s">
        <v>537</v>
      </c>
      <c r="C134" s="277"/>
      <c r="D134" s="272"/>
      <c r="E134" s="281"/>
      <c r="F134" s="79"/>
      <c r="G134" s="47">
        <f>SUMIF(JournalsA!D$14:D$920,TrialBalanceA!M134,JournalsA!J$14:J$920)+SUMIF(JournalsA!E$14:E$920,TrialBalanceA!M134,JournalsA!J$14:J$920)</f>
        <v>0</v>
      </c>
      <c r="H134" s="288"/>
      <c r="I134" s="255">
        <f t="shared" si="19"/>
        <v>0</v>
      </c>
      <c r="J134" s="75"/>
      <c r="K134" s="48">
        <f t="shared" si="11"/>
        <v>0</v>
      </c>
      <c r="M134" s="140" t="str">
        <f t="shared" si="12"/>
        <v>3000/230</v>
      </c>
      <c r="N134" s="70"/>
      <c r="P134" s="71"/>
      <c r="Q134" s="51"/>
      <c r="R134" s="31"/>
    </row>
    <row r="135" spans="1:18" x14ac:dyDescent="0.2">
      <c r="A135" s="238"/>
      <c r="B135" s="90" t="s">
        <v>538</v>
      </c>
      <c r="C135" s="277"/>
      <c r="D135" s="272"/>
      <c r="E135" s="281"/>
      <c r="F135" s="79"/>
      <c r="G135" s="47">
        <f>SUMIF(JournalsA!D$14:D$920,TrialBalanceA!M135,JournalsA!J$14:J$920)+SUMIF(JournalsA!E$14:E$920,TrialBalanceA!M135,JournalsA!J$14:J$920)</f>
        <v>0</v>
      </c>
      <c r="H135" s="288"/>
      <c r="I135" s="255">
        <f t="shared" ref="I135:I170" si="23">ROUND(D135-E135+G135+F135,0)</f>
        <v>0</v>
      </c>
      <c r="J135" s="75"/>
      <c r="K135" s="48">
        <f t="shared" si="11"/>
        <v>0</v>
      </c>
      <c r="M135" s="140" t="str">
        <f t="shared" si="12"/>
        <v>3000/240</v>
      </c>
      <c r="N135" s="70"/>
      <c r="P135" s="71"/>
      <c r="Q135" s="51"/>
      <c r="R135" s="31"/>
    </row>
    <row r="136" spans="1:18" x14ac:dyDescent="0.2">
      <c r="A136" s="238"/>
      <c r="B136" s="90" t="s">
        <v>539</v>
      </c>
      <c r="C136" s="277"/>
      <c r="D136" s="272"/>
      <c r="E136" s="281"/>
      <c r="F136" s="79"/>
      <c r="G136" s="47">
        <f>SUMIF(JournalsA!D$14:D$920,TrialBalanceA!M136,JournalsA!J$14:J$920)+SUMIF(JournalsA!E$14:E$920,TrialBalanceA!M136,JournalsA!J$14:J$920)</f>
        <v>0</v>
      </c>
      <c r="H136" s="288"/>
      <c r="I136" s="255">
        <f t="shared" si="23"/>
        <v>0</v>
      </c>
      <c r="J136" s="75"/>
      <c r="K136" s="48">
        <f t="shared" si="11"/>
        <v>0</v>
      </c>
      <c r="M136" s="140" t="str">
        <f t="shared" si="12"/>
        <v>3000/250</v>
      </c>
      <c r="N136" s="70"/>
      <c r="P136" s="71"/>
      <c r="Q136" s="51"/>
      <c r="R136" s="31"/>
    </row>
    <row r="137" spans="1:18" x14ac:dyDescent="0.2">
      <c r="A137" s="238"/>
      <c r="B137" s="90" t="s">
        <v>540</v>
      </c>
      <c r="C137" s="277"/>
      <c r="D137" s="272"/>
      <c r="E137" s="281"/>
      <c r="F137" s="79"/>
      <c r="G137" s="47">
        <f>SUMIF(JournalsA!D$14:D$920,TrialBalanceA!M137,JournalsA!J$14:J$920)+SUMIF(JournalsA!E$14:E$920,TrialBalanceA!M137,JournalsA!J$14:J$920)</f>
        <v>0</v>
      </c>
      <c r="H137" s="288"/>
      <c r="I137" s="255">
        <f t="shared" si="23"/>
        <v>0</v>
      </c>
      <c r="J137" s="75"/>
      <c r="K137" s="48">
        <f t="shared" ref="K137:K206" si="24">ROUND(SUM(A137),0)</f>
        <v>0</v>
      </c>
      <c r="M137" s="140" t="str">
        <f t="shared" ref="M137:M206" si="25">CONCATENATE(B137,C137)</f>
        <v>3000/260</v>
      </c>
      <c r="N137" s="70"/>
      <c r="P137" s="71"/>
      <c r="Q137" s="51"/>
      <c r="R137" s="31"/>
    </row>
    <row r="138" spans="1:18" x14ac:dyDescent="0.2">
      <c r="A138" s="238"/>
      <c r="B138" s="90" t="s">
        <v>541</v>
      </c>
      <c r="C138" s="241" t="s">
        <v>1018</v>
      </c>
      <c r="D138" s="281"/>
      <c r="E138" s="281"/>
      <c r="F138" s="79"/>
      <c r="G138" s="47">
        <f>SUMIF(JournalsA!D$14:D$920,TrialBalanceA!M138,JournalsA!J$14:J$920)+SUMIF(JournalsA!E$14:E$920,TrialBalanceA!M138,JournalsA!J$14:J$920)</f>
        <v>0</v>
      </c>
      <c r="H138" s="288"/>
      <c r="I138" s="255">
        <f t="shared" si="23"/>
        <v>0</v>
      </c>
      <c r="J138" s="75"/>
      <c r="K138" s="48">
        <f t="shared" si="24"/>
        <v>0</v>
      </c>
      <c r="M138" s="140" t="str">
        <f t="shared" si="25"/>
        <v>3000/270Amortisation of prepaid lease agreement</v>
      </c>
      <c r="N138" s="70"/>
      <c r="P138" s="71"/>
      <c r="Q138" s="51"/>
      <c r="R138" s="31"/>
    </row>
    <row r="139" spans="1:18" x14ac:dyDescent="0.2">
      <c r="A139" s="238"/>
      <c r="B139" s="90" t="s">
        <v>1019</v>
      </c>
      <c r="C139" s="242" t="s">
        <v>1020</v>
      </c>
      <c r="D139" s="281"/>
      <c r="E139" s="281"/>
      <c r="F139" s="79"/>
      <c r="G139" s="47">
        <f>SUMIF(JournalsA!D$14:D$920,TrialBalanceA!M139,JournalsA!J$14:J$920)+SUMIF(JournalsA!E$14:E$920,TrialBalanceA!M139,JournalsA!J$14:J$920)</f>
        <v>0</v>
      </c>
      <c r="H139" s="288"/>
      <c r="I139" s="255">
        <f t="shared" ref="I139" si="26">ROUND(D139-E139+G139+F139,0)</f>
        <v>0</v>
      </c>
      <c r="J139" s="75"/>
      <c r="K139" s="48">
        <f t="shared" ref="K139" si="27">ROUND(SUM(A139),0)</f>
        <v>0</v>
      </c>
      <c r="M139" s="140" t="str">
        <f t="shared" ref="M139" si="28">CONCATENATE(B139,C139)</f>
        <v>3000/280Amortisation of goodwill</v>
      </c>
      <c r="N139" s="70"/>
      <c r="P139" s="71"/>
      <c r="Q139" s="51"/>
      <c r="R139" s="31"/>
    </row>
    <row r="140" spans="1:18" x14ac:dyDescent="0.2">
      <c r="A140" s="238"/>
      <c r="B140" s="54" t="s">
        <v>309</v>
      </c>
      <c r="C140" s="239" t="s">
        <v>115</v>
      </c>
      <c r="D140" s="283"/>
      <c r="E140" s="281"/>
      <c r="F140" s="79"/>
      <c r="G140" s="47">
        <f>SUMIF(JournalsA!D$14:D$920,TrialBalanceA!M140,JournalsA!J$14:J$920)+SUMIF(JournalsA!E$14:E$920,TrialBalanceA!M140,JournalsA!J$14:J$920)</f>
        <v>0</v>
      </c>
      <c r="H140" s="288"/>
      <c r="I140" s="255">
        <f t="shared" si="23"/>
        <v>0</v>
      </c>
      <c r="J140" s="75"/>
      <c r="K140" s="48">
        <f t="shared" si="24"/>
        <v>0</v>
      </c>
      <c r="M140" s="140" t="str">
        <f t="shared" si="25"/>
        <v>4700/000FINANCE COSTS</v>
      </c>
      <c r="N140" s="70"/>
      <c r="P140" s="71"/>
      <c r="Q140" s="51"/>
      <c r="R140" s="31"/>
    </row>
    <row r="141" spans="1:18" x14ac:dyDescent="0.2">
      <c r="A141" s="238"/>
      <c r="B141" s="54" t="s">
        <v>310</v>
      </c>
      <c r="C141" s="239" t="s">
        <v>311</v>
      </c>
      <c r="D141" s="283"/>
      <c r="E141" s="281"/>
      <c r="F141" s="79"/>
      <c r="G141" s="47">
        <f>SUMIF(JournalsA!D$14:D$920,TrialBalanceA!M141,JournalsA!J$14:J$920)+SUMIF(JournalsA!E$14:E$920,TrialBalanceA!M141,JournalsA!J$14:J$920)</f>
        <v>0</v>
      </c>
      <c r="H141" s="288"/>
      <c r="I141" s="255">
        <f t="shared" si="23"/>
        <v>0</v>
      </c>
      <c r="J141" s="75"/>
      <c r="K141" s="48">
        <f t="shared" si="24"/>
        <v>0</v>
      </c>
      <c r="M141" s="140" t="str">
        <f t="shared" si="25"/>
        <v>4700/010Interest paid---------------------------</v>
      </c>
      <c r="N141" s="70"/>
      <c r="P141" s="71"/>
      <c r="Q141" s="51"/>
      <c r="R141" s="31"/>
    </row>
    <row r="142" spans="1:18" x14ac:dyDescent="0.2">
      <c r="A142" s="238"/>
      <c r="B142" s="54" t="s">
        <v>312</v>
      </c>
      <c r="C142" s="276"/>
      <c r="D142" s="281"/>
      <c r="E142" s="281"/>
      <c r="F142" s="79"/>
      <c r="G142" s="47">
        <f>SUMIF(JournalsA!D$14:D$920,TrialBalanceA!M142,JournalsA!J$14:J$920)+SUMIF(JournalsA!E$14:E$920,TrialBalanceA!M142,JournalsA!J$14:J$920)</f>
        <v>0</v>
      </c>
      <c r="H142" s="288"/>
      <c r="I142" s="255">
        <f t="shared" si="23"/>
        <v>0</v>
      </c>
      <c r="J142" s="75"/>
      <c r="K142" s="48">
        <f t="shared" si="24"/>
        <v>0</v>
      </c>
      <c r="M142" s="140" t="str">
        <f t="shared" si="25"/>
        <v>4700/011</v>
      </c>
      <c r="N142" s="70"/>
      <c r="P142" s="71"/>
      <c r="Q142" s="51"/>
      <c r="R142" s="31"/>
    </row>
    <row r="143" spans="1:18" x14ac:dyDescent="0.2">
      <c r="A143" s="238"/>
      <c r="B143" s="54" t="s">
        <v>313</v>
      </c>
      <c r="C143" s="277"/>
      <c r="D143" s="281"/>
      <c r="E143" s="281"/>
      <c r="F143" s="79"/>
      <c r="G143" s="47">
        <f>SUMIF(JournalsA!D$14:D$920,TrialBalanceA!M143,JournalsA!J$14:J$920)+SUMIF(JournalsA!E$14:E$920,TrialBalanceA!M143,JournalsA!J$14:J$920)</f>
        <v>0</v>
      </c>
      <c r="H143" s="288"/>
      <c r="I143" s="255">
        <f t="shared" si="23"/>
        <v>0</v>
      </c>
      <c r="J143" s="75"/>
      <c r="K143" s="48">
        <f t="shared" si="24"/>
        <v>0</v>
      </c>
      <c r="M143" s="140" t="str">
        <f t="shared" si="25"/>
        <v>4700/012</v>
      </c>
      <c r="N143" s="70"/>
      <c r="P143" s="71"/>
      <c r="Q143" s="51"/>
      <c r="R143" s="31"/>
    </row>
    <row r="144" spans="1:18" x14ac:dyDescent="0.2">
      <c r="A144" s="238"/>
      <c r="B144" s="54" t="s">
        <v>314</v>
      </c>
      <c r="C144" s="277"/>
      <c r="D144" s="281"/>
      <c r="E144" s="281"/>
      <c r="F144" s="79"/>
      <c r="G144" s="47">
        <f>SUMIF(JournalsA!D$14:D$920,TrialBalanceA!M144,JournalsA!J$14:J$920)+SUMIF(JournalsA!E$14:E$920,TrialBalanceA!M144,JournalsA!J$14:J$920)</f>
        <v>0</v>
      </c>
      <c r="H144" s="288"/>
      <c r="I144" s="255">
        <f t="shared" si="23"/>
        <v>0</v>
      </c>
      <c r="J144" s="75"/>
      <c r="K144" s="48">
        <f t="shared" si="24"/>
        <v>0</v>
      </c>
      <c r="M144" s="140" t="str">
        <f t="shared" si="25"/>
        <v>4700/013</v>
      </c>
      <c r="N144" s="70"/>
      <c r="P144" s="71"/>
      <c r="Q144" s="51"/>
      <c r="R144" s="31"/>
    </row>
    <row r="145" spans="1:18" x14ac:dyDescent="0.2">
      <c r="A145" s="238"/>
      <c r="B145" s="54" t="s">
        <v>315</v>
      </c>
      <c r="C145" s="277"/>
      <c r="D145" s="281"/>
      <c r="E145" s="281"/>
      <c r="F145" s="79"/>
      <c r="G145" s="47">
        <f>SUMIF(JournalsA!D$14:D$920,TrialBalanceA!M145,JournalsA!J$14:J$920)+SUMIF(JournalsA!E$14:E$920,TrialBalanceA!M145,JournalsA!J$14:J$920)</f>
        <v>0</v>
      </c>
      <c r="H145" s="288"/>
      <c r="I145" s="255">
        <f t="shared" si="23"/>
        <v>0</v>
      </c>
      <c r="J145" s="75"/>
      <c r="K145" s="48">
        <f t="shared" si="24"/>
        <v>0</v>
      </c>
      <c r="M145" s="140" t="str">
        <f t="shared" si="25"/>
        <v>4700/014</v>
      </c>
      <c r="N145" s="70"/>
      <c r="P145" s="71"/>
      <c r="Q145" s="51"/>
      <c r="R145" s="31"/>
    </row>
    <row r="146" spans="1:18" x14ac:dyDescent="0.2">
      <c r="A146" s="238"/>
      <c r="B146" s="54" t="s">
        <v>514</v>
      </c>
      <c r="C146" s="277"/>
      <c r="D146" s="281"/>
      <c r="E146" s="281"/>
      <c r="F146" s="79"/>
      <c r="G146" s="47">
        <f>SUMIF(JournalsA!D$14:D$920,TrialBalanceA!M146,JournalsA!J$14:J$920)+SUMIF(JournalsA!E$14:E$920,TrialBalanceA!M146,JournalsA!J$14:J$920)</f>
        <v>0</v>
      </c>
      <c r="H146" s="288"/>
      <c r="I146" s="255">
        <f t="shared" si="23"/>
        <v>0</v>
      </c>
      <c r="J146" s="75"/>
      <c r="K146" s="48">
        <f t="shared" si="24"/>
        <v>0</v>
      </c>
      <c r="M146" s="140" t="str">
        <f t="shared" si="25"/>
        <v>4700/015</v>
      </c>
      <c r="N146" s="70"/>
      <c r="P146" s="71"/>
      <c r="Q146" s="51"/>
      <c r="R146" s="31"/>
    </row>
    <row r="147" spans="1:18" x14ac:dyDescent="0.2">
      <c r="A147" s="238"/>
      <c r="B147" s="54" t="s">
        <v>522</v>
      </c>
      <c r="C147" s="277"/>
      <c r="D147" s="281"/>
      <c r="E147" s="281"/>
      <c r="F147" s="79"/>
      <c r="G147" s="47">
        <f>SUMIF(JournalsA!D$14:D$920,TrialBalanceA!M147,JournalsA!J$14:J$920)+SUMIF(JournalsA!E$14:E$920,TrialBalanceA!M147,JournalsA!J$14:J$920)</f>
        <v>0</v>
      </c>
      <c r="H147" s="288"/>
      <c r="I147" s="255">
        <f t="shared" si="23"/>
        <v>0</v>
      </c>
      <c r="J147" s="75"/>
      <c r="K147" s="48">
        <f t="shared" si="24"/>
        <v>0</v>
      </c>
      <c r="M147" s="140" t="str">
        <f t="shared" si="25"/>
        <v>4700/016</v>
      </c>
      <c r="N147" s="70"/>
      <c r="P147" s="71"/>
      <c r="Q147" s="51"/>
      <c r="R147" s="31"/>
    </row>
    <row r="148" spans="1:18" x14ac:dyDescent="0.2">
      <c r="A148" s="238"/>
      <c r="B148" s="90" t="s">
        <v>578</v>
      </c>
      <c r="C148" s="277"/>
      <c r="D148" s="281"/>
      <c r="E148" s="281"/>
      <c r="F148" s="79"/>
      <c r="G148" s="47">
        <f>SUMIF(JournalsA!D$14:D$920,TrialBalanceA!M148,JournalsA!J$14:J$920)+SUMIF(JournalsA!E$14:E$920,TrialBalanceA!M148,JournalsA!J$14:J$920)</f>
        <v>0</v>
      </c>
      <c r="H148" s="288"/>
      <c r="I148" s="255">
        <f t="shared" ref="I148:I150" si="29">ROUND(D148-E148+G148+F148,0)</f>
        <v>0</v>
      </c>
      <c r="J148" s="75"/>
      <c r="K148" s="48">
        <f t="shared" ref="K148:K150" si="30">ROUND(SUM(A148),0)</f>
        <v>0</v>
      </c>
      <c r="M148" s="140" t="str">
        <f t="shared" ref="M148:M150" si="31">CONCATENATE(B148,C148)</f>
        <v>4700/017</v>
      </c>
      <c r="N148" s="70"/>
      <c r="P148" s="71"/>
      <c r="Q148" s="51"/>
      <c r="R148" s="31"/>
    </row>
    <row r="149" spans="1:18" x14ac:dyDescent="0.2">
      <c r="A149" s="238"/>
      <c r="B149" s="90" t="s">
        <v>658</v>
      </c>
      <c r="C149" s="277"/>
      <c r="D149" s="281"/>
      <c r="E149" s="281"/>
      <c r="F149" s="79"/>
      <c r="G149" s="47">
        <f>SUMIF(JournalsA!D$14:D$920,TrialBalanceA!M149,JournalsA!J$14:J$920)+SUMIF(JournalsA!E$14:E$920,TrialBalanceA!M149,JournalsA!J$14:J$920)</f>
        <v>0</v>
      </c>
      <c r="H149" s="288"/>
      <c r="I149" s="255">
        <f t="shared" si="29"/>
        <v>0</v>
      </c>
      <c r="J149" s="75"/>
      <c r="K149" s="48">
        <f t="shared" si="30"/>
        <v>0</v>
      </c>
      <c r="M149" s="140" t="str">
        <f t="shared" si="31"/>
        <v>4700/018</v>
      </c>
      <c r="N149" s="70"/>
      <c r="P149" s="71"/>
      <c r="Q149" s="51"/>
      <c r="R149" s="31"/>
    </row>
    <row r="150" spans="1:18" x14ac:dyDescent="0.2">
      <c r="A150" s="238"/>
      <c r="B150" s="90" t="s">
        <v>659</v>
      </c>
      <c r="C150" s="277"/>
      <c r="D150" s="281"/>
      <c r="E150" s="281"/>
      <c r="F150" s="79"/>
      <c r="G150" s="47">
        <f>SUMIF(JournalsA!D$14:D$920,TrialBalanceA!M150,JournalsA!J$14:J$920)+SUMIF(JournalsA!E$14:E$920,TrialBalanceA!M150,JournalsA!J$14:J$920)</f>
        <v>0</v>
      </c>
      <c r="H150" s="288"/>
      <c r="I150" s="255">
        <f t="shared" si="29"/>
        <v>0</v>
      </c>
      <c r="J150" s="75"/>
      <c r="K150" s="48">
        <f t="shared" si="30"/>
        <v>0</v>
      </c>
      <c r="M150" s="140" t="str">
        <f t="shared" si="31"/>
        <v>4700/019</v>
      </c>
      <c r="N150" s="70"/>
      <c r="P150" s="71"/>
      <c r="Q150" s="51"/>
      <c r="R150" s="31"/>
    </row>
    <row r="151" spans="1:18" x14ac:dyDescent="0.2">
      <c r="A151" s="238"/>
      <c r="B151" s="90" t="s">
        <v>316</v>
      </c>
      <c r="C151" s="277"/>
      <c r="D151" s="281"/>
      <c r="E151" s="281"/>
      <c r="F151" s="79"/>
      <c r="G151" s="47">
        <f>SUMIF(JournalsA!D$14:D$920,TrialBalanceA!M151,JournalsA!J$14:J$920)+SUMIF(JournalsA!E$14:E$920,TrialBalanceA!M151,JournalsA!J$14:J$920)</f>
        <v>0</v>
      </c>
      <c r="H151" s="288"/>
      <c r="I151" s="255">
        <f t="shared" si="23"/>
        <v>0</v>
      </c>
      <c r="J151" s="75"/>
      <c r="K151" s="48">
        <f t="shared" si="24"/>
        <v>0</v>
      </c>
      <c r="M151" s="140" t="str">
        <f t="shared" si="25"/>
        <v>4700/020</v>
      </c>
      <c r="N151" s="70"/>
      <c r="P151" s="71"/>
      <c r="Q151" s="51"/>
      <c r="R151" s="31"/>
    </row>
    <row r="152" spans="1:18" x14ac:dyDescent="0.2">
      <c r="A152" s="238"/>
      <c r="B152" s="90" t="s">
        <v>660</v>
      </c>
      <c r="C152" s="240" t="str">
        <f>CONCATENATE("Interest on finance leases - ",Criteria!H14)</f>
        <v>Interest on finance leases - Subsidiary One 111 (Pty) Ltd</v>
      </c>
      <c r="D152" s="282"/>
      <c r="E152" s="281"/>
      <c r="F152" s="79"/>
      <c r="G152" s="47">
        <f>SUMIF(JournalsA!D$14:D$920,TrialBalanceA!M152,JournalsA!J$14:J$920)+SUMIF(JournalsA!E$14:E$920,TrialBalanceA!M152,JournalsA!J$14:J$920)</f>
        <v>0</v>
      </c>
      <c r="H152" s="288"/>
      <c r="I152" s="255">
        <f t="shared" si="23"/>
        <v>0</v>
      </c>
      <c r="J152" s="75"/>
      <c r="K152" s="48">
        <f t="shared" si="24"/>
        <v>0</v>
      </c>
      <c r="M152" s="140" t="str">
        <f t="shared" si="25"/>
        <v>4700/021Interest on finance leases - Subsidiary One 111 (Pty) Ltd</v>
      </c>
      <c r="N152" s="70"/>
      <c r="P152" s="71"/>
      <c r="Q152" s="51"/>
      <c r="R152" s="31"/>
    </row>
    <row r="153" spans="1:18" x14ac:dyDescent="0.2">
      <c r="A153" s="238"/>
      <c r="B153" s="54" t="s">
        <v>449</v>
      </c>
      <c r="C153" s="239" t="s">
        <v>351</v>
      </c>
      <c r="D153" s="283"/>
      <c r="E153" s="281"/>
      <c r="F153" s="79"/>
      <c r="G153" s="47">
        <f>SUMIF(JournalsA!D$14:D$920,TrialBalanceA!M153,JournalsA!J$14:J$920)+SUMIF(JournalsA!E$14:E$920,TrialBalanceA!M153,JournalsA!J$14:J$920)</f>
        <v>0</v>
      </c>
      <c r="H153" s="288"/>
      <c r="I153" s="255">
        <f t="shared" si="23"/>
        <v>0</v>
      </c>
      <c r="J153" s="75"/>
      <c r="K153" s="48">
        <f t="shared" si="24"/>
        <v>0</v>
      </c>
      <c r="M153" s="140" t="str">
        <f t="shared" si="25"/>
        <v>4750/000OTHER</v>
      </c>
      <c r="N153" s="70"/>
      <c r="P153" s="71"/>
      <c r="Q153" s="51"/>
      <c r="R153" s="31"/>
    </row>
    <row r="154" spans="1:18" x14ac:dyDescent="0.2">
      <c r="A154" s="238"/>
      <c r="B154" s="54" t="s">
        <v>450</v>
      </c>
      <c r="C154" s="241" t="s">
        <v>1062</v>
      </c>
      <c r="D154" s="281"/>
      <c r="E154" s="281"/>
      <c r="F154" s="79"/>
      <c r="G154" s="47">
        <f>SUMIF(JournalsA!D$14:D$920,TrialBalanceA!M154,JournalsA!J$14:J$920)+SUMIF(JournalsA!E$14:E$920,TrialBalanceA!M154,JournalsA!J$14:J$920)</f>
        <v>0</v>
      </c>
      <c r="H154" s="288"/>
      <c r="I154" s="255">
        <f t="shared" si="23"/>
        <v>0</v>
      </c>
      <c r="J154" s="75"/>
      <c r="K154" s="48">
        <f t="shared" si="24"/>
        <v>0</v>
      </c>
      <c r="M154" s="140" t="str">
        <f t="shared" si="25"/>
        <v>4750/010Impairment losses</v>
      </c>
      <c r="N154" s="70"/>
      <c r="P154" s="71"/>
      <c r="Q154" s="51"/>
      <c r="R154" s="31"/>
    </row>
    <row r="155" spans="1:18" x14ac:dyDescent="0.2">
      <c r="A155" s="238"/>
      <c r="B155" s="90" t="s">
        <v>1080</v>
      </c>
      <c r="C155" s="241" t="s">
        <v>1081</v>
      </c>
      <c r="D155" s="281"/>
      <c r="E155" s="281"/>
      <c r="F155" s="79"/>
      <c r="G155" s="47">
        <f>SUMIF(JournalsA!D$14:D$920,TrialBalanceA!M155,JournalsA!J$14:J$920)+SUMIF(JournalsA!E$14:E$920,TrialBalanceA!M155,JournalsA!J$14:J$920)</f>
        <v>0</v>
      </c>
      <c r="H155" s="288"/>
      <c r="I155" s="255">
        <f t="shared" ref="I155" si="32">ROUND(D155-E155+G155+F155,0)</f>
        <v>0</v>
      </c>
      <c r="J155" s="75"/>
      <c r="K155" s="48">
        <f t="shared" ref="K155" si="33">ROUND(SUM(A155),0)</f>
        <v>0</v>
      </c>
      <c r="M155" s="140" t="str">
        <f t="shared" ref="M155" si="34">CONCATENATE(B155,C155)</f>
        <v>4750/020Reversal - revaluation of investment property</v>
      </c>
      <c r="N155" s="70"/>
      <c r="P155" s="71"/>
      <c r="Q155" s="51"/>
      <c r="R155" s="31"/>
    </row>
    <row r="156" spans="1:18" x14ac:dyDescent="0.2">
      <c r="A156" s="238"/>
      <c r="B156" s="54" t="s">
        <v>317</v>
      </c>
      <c r="C156" s="239" t="s">
        <v>318</v>
      </c>
      <c r="D156" s="283"/>
      <c r="E156" s="281"/>
      <c r="F156" s="79"/>
      <c r="G156" s="47">
        <f>SUMIF(JournalsA!D$14:D$920,TrialBalanceA!M156,JournalsA!J$14:J$920)+SUMIF(JournalsA!E$14:E$920,TrialBalanceA!M156,JournalsA!J$14:J$920)</f>
        <v>0</v>
      </c>
      <c r="H156" s="288"/>
      <c r="I156" s="255">
        <f t="shared" si="23"/>
        <v>0</v>
      </c>
      <c r="J156" s="75"/>
      <c r="K156" s="48">
        <f t="shared" si="24"/>
        <v>0</v>
      </c>
      <c r="M156" s="140" t="str">
        <f t="shared" si="25"/>
        <v>4800/000NORMAL TAXATION</v>
      </c>
      <c r="N156" s="70"/>
      <c r="P156" s="71"/>
      <c r="Q156" s="51"/>
      <c r="R156" s="31"/>
    </row>
    <row r="157" spans="1:18" x14ac:dyDescent="0.2">
      <c r="A157" s="238"/>
      <c r="B157" s="54" t="s">
        <v>319</v>
      </c>
      <c r="C157" s="240" t="s">
        <v>320</v>
      </c>
      <c r="D157" s="282"/>
      <c r="E157" s="281"/>
      <c r="F157" s="79"/>
      <c r="G157" s="47">
        <f>SUMIF(JournalsA!D$14:D$920,TrialBalanceA!M157,JournalsA!J$14:J$920)+SUMIF(JournalsA!E$14:E$920,TrialBalanceA!M157,JournalsA!J$14:J$920)</f>
        <v>0</v>
      </c>
      <c r="H157" s="288"/>
      <c r="I157" s="255">
        <f t="shared" si="23"/>
        <v>0</v>
      </c>
      <c r="J157" s="75"/>
      <c r="K157" s="48">
        <f t="shared" si="24"/>
        <v>0</v>
      </c>
      <c r="M157" s="140" t="str">
        <f t="shared" si="25"/>
        <v>4800/001Tax provided this year</v>
      </c>
      <c r="N157" s="70"/>
      <c r="P157" s="71"/>
      <c r="Q157" s="51"/>
      <c r="R157" s="31"/>
    </row>
    <row r="158" spans="1:18" x14ac:dyDescent="0.2">
      <c r="A158" s="238"/>
      <c r="B158" s="54" t="s">
        <v>321</v>
      </c>
      <c r="C158" s="240" t="s">
        <v>322</v>
      </c>
      <c r="D158" s="282"/>
      <c r="E158" s="281"/>
      <c r="F158" s="79"/>
      <c r="G158" s="47">
        <f>SUMIF(JournalsA!D$14:D$920,TrialBalanceA!M158,JournalsA!J$14:J$920)+SUMIF(JournalsA!E$14:E$920,TrialBalanceA!M158,JournalsA!J$14:J$920)</f>
        <v>0</v>
      </c>
      <c r="H158" s="288"/>
      <c r="I158" s="255">
        <f t="shared" si="23"/>
        <v>0</v>
      </c>
      <c r="J158" s="75"/>
      <c r="K158" s="48">
        <f t="shared" si="24"/>
        <v>0</v>
      </c>
      <c r="M158" s="140" t="str">
        <f t="shared" si="25"/>
        <v>4800/002Tax adjustment previous year</v>
      </c>
      <c r="N158" s="70"/>
      <c r="P158" s="71"/>
      <c r="Q158" s="51"/>
      <c r="R158" s="31"/>
    </row>
    <row r="159" spans="1:18" x14ac:dyDescent="0.2">
      <c r="A159" s="238"/>
      <c r="B159" s="54" t="s">
        <v>193</v>
      </c>
      <c r="C159" s="239" t="s">
        <v>194</v>
      </c>
      <c r="D159" s="283"/>
      <c r="E159" s="281"/>
      <c r="F159" s="79"/>
      <c r="G159" s="47">
        <f>SUMIF(JournalsA!D$14:D$920,TrialBalanceA!M159,JournalsA!J$14:J$920)+SUMIF(JournalsA!E$14:E$920,TrialBalanceA!M159,JournalsA!J$14:J$920)</f>
        <v>0</v>
      </c>
      <c r="H159" s="288"/>
      <c r="I159" s="255">
        <f t="shared" si="23"/>
        <v>0</v>
      </c>
      <c r="J159" s="75"/>
      <c r="K159" s="48">
        <f t="shared" si="24"/>
        <v>0</v>
      </c>
      <c r="M159" s="140" t="str">
        <f t="shared" si="25"/>
        <v>4820/000DEFERRED TAX</v>
      </c>
      <c r="N159" s="70"/>
      <c r="P159" s="71"/>
      <c r="Q159" s="51"/>
      <c r="R159" s="31"/>
    </row>
    <row r="160" spans="1:18" x14ac:dyDescent="0.2">
      <c r="A160" s="238"/>
      <c r="B160" s="54" t="s">
        <v>195</v>
      </c>
      <c r="C160" s="240" t="s">
        <v>196</v>
      </c>
      <c r="D160" s="282"/>
      <c r="E160" s="281"/>
      <c r="F160" s="79"/>
      <c r="G160" s="47">
        <f>SUMIF(JournalsA!D$14:D$920,TrialBalanceA!M160,JournalsA!J$14:J$920)+SUMIF(JournalsA!E$14:E$920,TrialBalanceA!M160,JournalsA!J$14:J$920)</f>
        <v>0</v>
      </c>
      <c r="H160" s="288"/>
      <c r="I160" s="255">
        <f t="shared" si="23"/>
        <v>0</v>
      </c>
      <c r="J160" s="75"/>
      <c r="K160" s="48">
        <f t="shared" si="24"/>
        <v>0</v>
      </c>
      <c r="M160" s="140" t="str">
        <f t="shared" si="25"/>
        <v>4820/001Deferred tax this year</v>
      </c>
      <c r="N160" s="70"/>
      <c r="P160" s="71"/>
      <c r="Q160" s="51"/>
      <c r="R160" s="31"/>
    </row>
    <row r="161" spans="1:18" x14ac:dyDescent="0.2">
      <c r="A161" s="238"/>
      <c r="B161" s="90" t="s">
        <v>197</v>
      </c>
      <c r="C161" s="242" t="s">
        <v>1100</v>
      </c>
      <c r="D161" s="282"/>
      <c r="E161" s="281"/>
      <c r="F161" s="79"/>
      <c r="G161" s="47">
        <f>SUMIF(JournalsA!D$14:D$920,TrialBalanceA!M161,JournalsA!J$14:J$920)+SUMIF(JournalsA!E$14:E$920,TrialBalanceA!M161,JournalsA!J$14:J$920)</f>
        <v>0</v>
      </c>
      <c r="H161" s="288"/>
      <c r="I161" s="255">
        <f t="shared" ref="I161" si="35">ROUND(D161-E161+G161+F161,0)</f>
        <v>0</v>
      </c>
      <c r="J161" s="75"/>
      <c r="K161" s="48">
        <f t="shared" ref="K161" si="36">ROUND(SUM(A161),0)</f>
        <v>0</v>
      </c>
      <c r="M161" s="140" t="str">
        <f t="shared" ref="M161" si="37">CONCATENATE(B161,C161)</f>
        <v>4820/002Deferred tax adjustment on income tax rate change</v>
      </c>
      <c r="N161" s="70"/>
      <c r="P161" s="71"/>
      <c r="Q161" s="51"/>
      <c r="R161" s="31"/>
    </row>
    <row r="162" spans="1:18" x14ac:dyDescent="0.2">
      <c r="A162" s="238"/>
      <c r="B162" s="90" t="s">
        <v>1101</v>
      </c>
      <c r="C162" s="240" t="s">
        <v>198</v>
      </c>
      <c r="D162" s="282"/>
      <c r="E162" s="281"/>
      <c r="F162" s="79"/>
      <c r="G162" s="47">
        <f>SUMIF(JournalsA!D$14:D$920,TrialBalanceA!M162,JournalsA!J$14:J$920)+SUMIF(JournalsA!E$14:E$920,TrialBalanceA!M162,JournalsA!J$14:J$920)</f>
        <v>0</v>
      </c>
      <c r="H162" s="288"/>
      <c r="I162" s="255">
        <f t="shared" si="23"/>
        <v>0</v>
      </c>
      <c r="J162" s="75"/>
      <c r="K162" s="48">
        <f t="shared" si="24"/>
        <v>0</v>
      </c>
      <c r="M162" s="140" t="str">
        <f t="shared" si="25"/>
        <v>4820/003Deferred tax adjustment previous year</v>
      </c>
      <c r="N162" s="70"/>
      <c r="P162" s="71"/>
      <c r="Q162" s="51"/>
      <c r="R162" s="31"/>
    </row>
    <row r="163" spans="1:18" x14ac:dyDescent="0.2">
      <c r="A163" s="238"/>
      <c r="B163" s="54" t="s">
        <v>199</v>
      </c>
      <c r="C163" s="242" t="s">
        <v>487</v>
      </c>
      <c r="D163" s="282"/>
      <c r="E163" s="281"/>
      <c r="F163" s="79"/>
      <c r="G163" s="47">
        <f>SUMIF(JournalsA!D$14:D$920,TrialBalanceA!M163,JournalsA!J$14:J$920)+SUMIF(JournalsA!E$14:E$920,TrialBalanceA!M163,JournalsA!J$14:J$920)</f>
        <v>0</v>
      </c>
      <c r="H163" s="288"/>
      <c r="I163" s="255">
        <f t="shared" si="23"/>
        <v>0</v>
      </c>
      <c r="J163" s="75"/>
      <c r="K163" s="48">
        <f t="shared" si="24"/>
        <v>0</v>
      </c>
      <c r="M163" s="140" t="str">
        <f t="shared" si="25"/>
        <v>4850/000Dividends declared</v>
      </c>
      <c r="N163" s="70"/>
      <c r="P163" s="71"/>
      <c r="Q163" s="51"/>
      <c r="R163" s="31"/>
    </row>
    <row r="164" spans="1:18" x14ac:dyDescent="0.2">
      <c r="A164" s="238"/>
      <c r="B164" s="54" t="s">
        <v>200</v>
      </c>
      <c r="C164" s="240" t="s">
        <v>225</v>
      </c>
      <c r="D164" s="282"/>
      <c r="E164" s="281"/>
      <c r="F164" s="79"/>
      <c r="G164" s="47">
        <f>SUMIF(JournalsA!D$14:D$920,TrialBalanceA!M164,JournalsA!J$14:J$920)+SUMIF(JournalsA!E$14:E$920,TrialBalanceA!M164,JournalsA!J$14:J$920)</f>
        <v>0</v>
      </c>
      <c r="H164" s="288"/>
      <c r="I164" s="255">
        <f t="shared" si="23"/>
        <v>0</v>
      </c>
      <c r="J164" s="75"/>
      <c r="K164" s="48">
        <f t="shared" si="24"/>
        <v>0</v>
      </c>
      <c r="M164" s="140" t="str">
        <f t="shared" si="25"/>
        <v>4860/000Dividends paid</v>
      </c>
      <c r="N164" s="70"/>
      <c r="P164" s="71"/>
      <c r="Q164" s="51"/>
      <c r="R164" s="31"/>
    </row>
    <row r="165" spans="1:18" x14ac:dyDescent="0.2">
      <c r="A165" s="238"/>
      <c r="B165" s="54" t="s">
        <v>228</v>
      </c>
      <c r="C165" s="240"/>
      <c r="D165" s="282"/>
      <c r="E165" s="272"/>
      <c r="F165" s="79"/>
      <c r="G165" s="47"/>
      <c r="H165" s="288"/>
      <c r="I165" s="255">
        <f t="shared" si="23"/>
        <v>0</v>
      </c>
      <c r="J165" s="75"/>
      <c r="K165" s="48">
        <f t="shared" si="24"/>
        <v>0</v>
      </c>
      <c r="M165" s="140">
        <v>0</v>
      </c>
      <c r="N165" s="70"/>
      <c r="P165" s="71"/>
      <c r="Q165" s="51"/>
      <c r="R165" s="31"/>
    </row>
    <row r="166" spans="1:18" x14ac:dyDescent="0.2">
      <c r="A166" s="238"/>
      <c r="B166" s="54" t="s">
        <v>228</v>
      </c>
      <c r="C166" s="240" t="s">
        <v>228</v>
      </c>
      <c r="D166" s="282"/>
      <c r="E166" s="272"/>
      <c r="F166" s="79"/>
      <c r="G166" s="47"/>
      <c r="H166" s="288"/>
      <c r="I166" s="255">
        <f t="shared" si="23"/>
        <v>0</v>
      </c>
      <c r="J166" s="75"/>
      <c r="K166" s="48">
        <f t="shared" si="24"/>
        <v>0</v>
      </c>
      <c r="M166" s="140">
        <v>0</v>
      </c>
      <c r="N166" s="70"/>
      <c r="P166" s="71"/>
      <c r="Q166" s="51"/>
      <c r="R166" s="31"/>
    </row>
    <row r="167" spans="1:18" x14ac:dyDescent="0.2">
      <c r="A167" s="238"/>
      <c r="B167" s="54" t="s">
        <v>228</v>
      </c>
      <c r="C167" s="240"/>
      <c r="D167" s="282"/>
      <c r="E167" s="272"/>
      <c r="F167" s="79"/>
      <c r="G167" s="47"/>
      <c r="H167" s="288"/>
      <c r="I167" s="255">
        <f t="shared" si="23"/>
        <v>0</v>
      </c>
      <c r="J167" s="75"/>
      <c r="K167" s="48">
        <f t="shared" si="24"/>
        <v>0</v>
      </c>
      <c r="M167" s="140">
        <v>0</v>
      </c>
      <c r="N167" s="70"/>
      <c r="P167" s="71"/>
      <c r="Q167" s="51"/>
      <c r="R167" s="31"/>
    </row>
    <row r="168" spans="1:18" x14ac:dyDescent="0.2">
      <c r="A168" s="238"/>
      <c r="B168" s="54" t="s">
        <v>504</v>
      </c>
      <c r="C168" s="239" t="s">
        <v>493</v>
      </c>
      <c r="D168" s="283"/>
      <c r="E168" s="272"/>
      <c r="F168" s="79"/>
      <c r="G168" s="47">
        <f>SUMIF(JournalsA!D$14:D$920,TrialBalanceA!M168,JournalsA!J$14:J$920)+SUMIF(JournalsA!E$14:E$920,TrialBalanceA!M168,JournalsA!J$14:J$920)</f>
        <v>0</v>
      </c>
      <c r="H168" s="288"/>
      <c r="I168" s="255">
        <f t="shared" si="23"/>
        <v>0</v>
      </c>
      <c r="J168" s="75"/>
      <c r="K168" s="48">
        <f t="shared" si="24"/>
        <v>0</v>
      </c>
      <c r="M168" s="140" t="str">
        <f t="shared" si="25"/>
        <v>5100/000SHARE CAPITAL</v>
      </c>
      <c r="N168" s="70"/>
      <c r="P168" s="71"/>
      <c r="Q168" s="51"/>
      <c r="R168" s="31"/>
    </row>
    <row r="169" spans="1:18" x14ac:dyDescent="0.2">
      <c r="A169" s="238"/>
      <c r="B169" s="54" t="s">
        <v>505</v>
      </c>
      <c r="C169" s="242" t="s">
        <v>768</v>
      </c>
      <c r="D169" s="282"/>
      <c r="E169" s="272"/>
      <c r="F169" s="79">
        <f>SUM(K169:K170)</f>
        <v>0</v>
      </c>
      <c r="G169" s="47">
        <f>SUMIF(JournalsA!D$14:D$920,TrialBalanceA!M169,JournalsA!J$14:J$920)+SUMIF(JournalsA!E$14:E$920,TrialBalanceA!M169,JournalsA!J$14:J$920)</f>
        <v>0</v>
      </c>
      <c r="H169" s="288"/>
      <c r="I169" s="255">
        <f t="shared" si="23"/>
        <v>0</v>
      </c>
      <c r="J169" s="75"/>
      <c r="K169" s="48">
        <f t="shared" si="24"/>
        <v>0</v>
      </c>
      <c r="M169" s="140" t="str">
        <f t="shared" si="25"/>
        <v>5100/001Share capital - balance b/fwd</v>
      </c>
      <c r="N169" s="70"/>
      <c r="P169" s="71"/>
      <c r="Q169" s="51"/>
      <c r="R169" s="31"/>
    </row>
    <row r="170" spans="1:18" x14ac:dyDescent="0.2">
      <c r="A170" s="238"/>
      <c r="B170" s="54" t="s">
        <v>506</v>
      </c>
      <c r="C170" s="242" t="s">
        <v>769</v>
      </c>
      <c r="D170" s="282"/>
      <c r="E170" s="272"/>
      <c r="F170" s="79"/>
      <c r="G170" s="47">
        <f>SUMIF(JournalsA!D$14:D$920,TrialBalanceA!M170,JournalsA!J$14:J$920)+SUMIF(JournalsA!E$14:E$920,TrialBalanceA!M170,JournalsA!J$14:J$920)</f>
        <v>0</v>
      </c>
      <c r="H170" s="288"/>
      <c r="I170" s="255">
        <f t="shared" si="23"/>
        <v>0</v>
      </c>
      <c r="J170" s="75"/>
      <c r="K170" s="48">
        <f t="shared" si="24"/>
        <v>0</v>
      </c>
      <c r="M170" s="140" t="str">
        <f t="shared" si="25"/>
        <v>5100/002Share capital - additions</v>
      </c>
      <c r="N170" s="70"/>
      <c r="P170" s="71"/>
      <c r="Q170" s="51"/>
      <c r="R170" s="31"/>
    </row>
    <row r="171" spans="1:18" x14ac:dyDescent="0.2">
      <c r="A171" s="238"/>
      <c r="B171" s="86" t="s">
        <v>507</v>
      </c>
      <c r="C171" s="280" t="s">
        <v>498</v>
      </c>
      <c r="D171" s="284"/>
      <c r="E171" s="272"/>
      <c r="F171" s="79"/>
      <c r="G171" s="47">
        <f>SUMIF(JournalsA!D$14:D$920,TrialBalanceA!M171,JournalsA!J$14:J$920)+SUMIF(JournalsA!E$14:E$920,TrialBalanceA!M171,JournalsA!J$14:J$920)</f>
        <v>0</v>
      </c>
      <c r="H171" s="288"/>
      <c r="I171" s="255">
        <f t="shared" ref="I171:I204" si="38">ROUND(D171-E171+G171+F171,0)</f>
        <v>0</v>
      </c>
      <c r="J171" s="75"/>
      <c r="K171" s="48">
        <f t="shared" si="24"/>
        <v>0</v>
      </c>
      <c r="M171" s="140" t="str">
        <f t="shared" si="25"/>
        <v>5110/000SHARE PREMIUM</v>
      </c>
      <c r="N171" s="70"/>
      <c r="P171" s="71"/>
      <c r="Q171" s="51"/>
      <c r="R171" s="31"/>
    </row>
    <row r="172" spans="1:18" x14ac:dyDescent="0.2">
      <c r="A172" s="238"/>
      <c r="B172" s="86" t="s">
        <v>508</v>
      </c>
      <c r="C172" s="242" t="s">
        <v>770</v>
      </c>
      <c r="D172" s="286"/>
      <c r="E172" s="272"/>
      <c r="F172" s="79">
        <f>SUM(K172:K174)</f>
        <v>0</v>
      </c>
      <c r="G172" s="47">
        <f>SUMIF(JournalsA!D$14:D$920,TrialBalanceA!M172,JournalsA!J$14:J$920)+SUMIF(JournalsA!E$14:E$920,TrialBalanceA!M172,JournalsA!J$14:J$920)</f>
        <v>0</v>
      </c>
      <c r="H172" s="288"/>
      <c r="I172" s="255">
        <f t="shared" si="38"/>
        <v>0</v>
      </c>
      <c r="J172" s="75"/>
      <c r="K172" s="48">
        <f t="shared" si="24"/>
        <v>0</v>
      </c>
      <c r="M172" s="140" t="str">
        <f t="shared" si="25"/>
        <v>5110/001Share premium - balance b/fwd</v>
      </c>
      <c r="N172" s="70"/>
      <c r="P172" s="71"/>
      <c r="Q172" s="51"/>
      <c r="R172" s="31"/>
    </row>
    <row r="173" spans="1:18" x14ac:dyDescent="0.2">
      <c r="A173" s="238"/>
      <c r="B173" s="86" t="s">
        <v>509</v>
      </c>
      <c r="C173" s="242" t="s">
        <v>771</v>
      </c>
      <c r="D173" s="286"/>
      <c r="E173" s="272"/>
      <c r="F173" s="79"/>
      <c r="G173" s="47">
        <f>SUMIF(JournalsA!D$14:D$920,TrialBalanceA!M173,JournalsA!J$14:J$920)+SUMIF(JournalsA!E$14:E$920,TrialBalanceA!M173,JournalsA!J$14:J$920)</f>
        <v>0</v>
      </c>
      <c r="H173" s="288"/>
      <c r="I173" s="255">
        <f t="shared" si="38"/>
        <v>0</v>
      </c>
      <c r="J173" s="75"/>
      <c r="K173" s="48">
        <f t="shared" si="24"/>
        <v>0</v>
      </c>
      <c r="M173" s="140" t="str">
        <f t="shared" si="25"/>
        <v>5110/002Share premium - additions</v>
      </c>
      <c r="N173" s="70"/>
      <c r="P173" s="71"/>
      <c r="Q173" s="51"/>
      <c r="R173" s="31"/>
    </row>
    <row r="174" spans="1:18" x14ac:dyDescent="0.2">
      <c r="A174" s="238"/>
      <c r="B174" s="86" t="s">
        <v>510</v>
      </c>
      <c r="C174" s="248" t="s">
        <v>511</v>
      </c>
      <c r="D174" s="286"/>
      <c r="E174" s="272"/>
      <c r="F174" s="79"/>
      <c r="G174" s="47">
        <f>SUMIF(JournalsA!D$14:D$920,TrialBalanceA!M174,JournalsA!J$14:J$920)+SUMIF(JournalsA!E$14:E$920,TrialBalanceA!M174,JournalsA!J$14:J$920)</f>
        <v>0</v>
      </c>
      <c r="H174" s="288"/>
      <c r="I174" s="255">
        <f t="shared" si="38"/>
        <v>0</v>
      </c>
      <c r="J174" s="75"/>
      <c r="K174" s="48">
        <f t="shared" si="24"/>
        <v>0</v>
      </c>
      <c r="M174" s="140" t="str">
        <f t="shared" si="25"/>
        <v>5110/003Share premium - transfer</v>
      </c>
      <c r="N174" s="70"/>
      <c r="P174" s="71"/>
      <c r="Q174" s="51"/>
      <c r="R174" s="31"/>
    </row>
    <row r="175" spans="1:18" x14ac:dyDescent="0.2">
      <c r="A175" s="238"/>
      <c r="B175" s="54" t="s">
        <v>459</v>
      </c>
      <c r="C175" s="239" t="s">
        <v>923</v>
      </c>
      <c r="D175" s="284"/>
      <c r="E175" s="272"/>
      <c r="F175" s="79"/>
      <c r="G175" s="47">
        <f>SUMIF(JournalsA!D$14:D$920,TrialBalanceA!M175,JournalsA!J$14:J$920)+SUMIF(JournalsA!E$14:E$920,TrialBalanceA!M175,JournalsA!J$14:J$920)</f>
        <v>0</v>
      </c>
      <c r="H175" s="288"/>
      <c r="I175" s="255">
        <f t="shared" si="38"/>
        <v>0</v>
      </c>
      <c r="J175" s="75"/>
      <c r="K175" s="48">
        <f t="shared" si="24"/>
        <v>0</v>
      </c>
      <c r="M175" s="140" t="str">
        <f t="shared" si="25"/>
        <v>5120/000REVALUATION RESERVE</v>
      </c>
      <c r="N175" s="70"/>
      <c r="P175" s="71"/>
      <c r="Q175" s="51"/>
      <c r="R175" s="31"/>
    </row>
    <row r="176" spans="1:18" x14ac:dyDescent="0.2">
      <c r="A176" s="238"/>
      <c r="B176" s="54" t="s">
        <v>460</v>
      </c>
      <c r="C176" s="242" t="s">
        <v>924</v>
      </c>
      <c r="D176" s="282"/>
      <c r="E176" s="272"/>
      <c r="F176" s="79">
        <f>SUM(K176:K178)</f>
        <v>0</v>
      </c>
      <c r="G176" s="47">
        <f>SUMIF(JournalsA!D$14:D$920,TrialBalanceA!M176,JournalsA!J$14:J$920)+SUMIF(JournalsA!E$14:E$920,TrialBalanceA!M176,JournalsA!J$14:J$920)</f>
        <v>0</v>
      </c>
      <c r="H176" s="288"/>
      <c r="I176" s="255">
        <f t="shared" si="38"/>
        <v>0</v>
      </c>
      <c r="J176" s="75"/>
      <c r="K176" s="48">
        <f t="shared" si="24"/>
        <v>0</v>
      </c>
      <c r="M176" s="140" t="str">
        <f t="shared" si="25"/>
        <v>5120/001Revaluation reserve - balance b/fwd</v>
      </c>
      <c r="N176" s="70"/>
      <c r="P176" s="71"/>
      <c r="Q176" s="51"/>
      <c r="R176" s="31"/>
    </row>
    <row r="177" spans="1:18" x14ac:dyDescent="0.2">
      <c r="A177" s="238"/>
      <c r="B177" s="54" t="s">
        <v>461</v>
      </c>
      <c r="C177" s="242" t="s">
        <v>925</v>
      </c>
      <c r="D177" s="282"/>
      <c r="E177" s="272"/>
      <c r="F177" s="79"/>
      <c r="G177" s="47">
        <f>SUMIF(JournalsA!D$14:D$920,TrialBalanceA!M177,JournalsA!J$14:J$920)+SUMIF(JournalsA!E$14:E$920,TrialBalanceA!M177,JournalsA!J$14:J$920)</f>
        <v>0</v>
      </c>
      <c r="H177" s="288"/>
      <c r="I177" s="255">
        <f t="shared" si="38"/>
        <v>0</v>
      </c>
      <c r="J177" s="75"/>
      <c r="K177" s="48">
        <f t="shared" si="24"/>
        <v>0</v>
      </c>
      <c r="M177" s="140" t="str">
        <f t="shared" si="25"/>
        <v>5120/002Revaluation reserve - additions</v>
      </c>
      <c r="N177" s="70"/>
      <c r="P177" s="71"/>
      <c r="Q177" s="51"/>
      <c r="R177" s="31"/>
    </row>
    <row r="178" spans="1:18" x14ac:dyDescent="0.2">
      <c r="A178" s="238"/>
      <c r="B178" s="54" t="s">
        <v>462</v>
      </c>
      <c r="C178" s="242" t="s">
        <v>926</v>
      </c>
      <c r="D178" s="282"/>
      <c r="E178" s="272"/>
      <c r="F178" s="79"/>
      <c r="G178" s="47">
        <f>SUMIF(JournalsA!D$14:D$920,TrialBalanceA!M178,JournalsA!J$14:J$920)+SUMIF(JournalsA!E$14:E$920,TrialBalanceA!M178,JournalsA!J$14:J$920)</f>
        <v>0</v>
      </c>
      <c r="H178" s="288"/>
      <c r="I178" s="255">
        <f t="shared" si="38"/>
        <v>0</v>
      </c>
      <c r="J178" s="75"/>
      <c r="K178" s="48">
        <f t="shared" si="24"/>
        <v>0</v>
      </c>
      <c r="M178" s="140" t="str">
        <f t="shared" si="25"/>
        <v>5120/003Revaluation reserve - transfer</v>
      </c>
      <c r="N178" s="70"/>
      <c r="P178" s="71"/>
      <c r="Q178" s="51"/>
      <c r="R178" s="31"/>
    </row>
    <row r="179" spans="1:18" x14ac:dyDescent="0.2">
      <c r="A179" s="238"/>
      <c r="B179" s="54" t="s">
        <v>84</v>
      </c>
      <c r="C179" s="239" t="s">
        <v>248</v>
      </c>
      <c r="D179" s="284"/>
      <c r="E179" s="272"/>
      <c r="F179" s="79"/>
      <c r="G179" s="47">
        <f>SUMIF(JournalsA!D$14:D$920,TrialBalanceA!M179,JournalsA!J$14:J$920)+SUMIF(JournalsA!E$14:E$920,TrialBalanceA!M179,JournalsA!J$14:J$920)</f>
        <v>0</v>
      </c>
      <c r="H179" s="288"/>
      <c r="I179" s="255">
        <f t="shared" si="38"/>
        <v>0</v>
      </c>
      <c r="J179" s="75"/>
      <c r="K179" s="48">
        <f t="shared" si="24"/>
        <v>0</v>
      </c>
      <c r="M179" s="140" t="str">
        <f t="shared" si="25"/>
        <v>5130/000OTHER RESERVES</v>
      </c>
      <c r="N179" s="70"/>
      <c r="P179" s="71"/>
      <c r="Q179" s="51"/>
      <c r="R179" s="31"/>
    </row>
    <row r="180" spans="1:18" x14ac:dyDescent="0.2">
      <c r="A180" s="238"/>
      <c r="B180" s="54" t="s">
        <v>249</v>
      </c>
      <c r="C180" s="242" t="s">
        <v>772</v>
      </c>
      <c r="D180" s="282"/>
      <c r="E180" s="272"/>
      <c r="F180" s="79">
        <f>SUM(K180:K182)</f>
        <v>0</v>
      </c>
      <c r="G180" s="47">
        <f>SUMIF(JournalsA!D$14:D$920,TrialBalanceA!M180,JournalsA!J$14:J$920)+SUMIF(JournalsA!E$14:E$920,TrialBalanceA!M180,JournalsA!J$14:J$920)</f>
        <v>0</v>
      </c>
      <c r="H180" s="288"/>
      <c r="I180" s="255">
        <f t="shared" si="38"/>
        <v>0</v>
      </c>
      <c r="J180" s="75"/>
      <c r="K180" s="48">
        <f t="shared" si="24"/>
        <v>0</v>
      </c>
      <c r="M180" s="140" t="str">
        <f t="shared" si="25"/>
        <v>5130/001Other reserves - balance b/fwd</v>
      </c>
      <c r="N180" s="70"/>
      <c r="P180" s="71"/>
      <c r="Q180" s="51"/>
      <c r="R180" s="31"/>
    </row>
    <row r="181" spans="1:18" x14ac:dyDescent="0.2">
      <c r="A181" s="238"/>
      <c r="B181" s="54" t="s">
        <v>250</v>
      </c>
      <c r="C181" s="242" t="s">
        <v>773</v>
      </c>
      <c r="D181" s="282"/>
      <c r="E181" s="272"/>
      <c r="F181" s="79"/>
      <c r="G181" s="47">
        <f>SUMIF(JournalsA!D$14:D$920,TrialBalanceA!M181,JournalsA!J$14:J$920)+SUMIF(JournalsA!E$14:E$920,TrialBalanceA!M181,JournalsA!J$14:J$920)</f>
        <v>0</v>
      </c>
      <c r="H181" s="288"/>
      <c r="I181" s="255">
        <f t="shared" si="38"/>
        <v>0</v>
      </c>
      <c r="J181" s="75"/>
      <c r="K181" s="48">
        <f t="shared" si="24"/>
        <v>0</v>
      </c>
      <c r="M181" s="140" t="str">
        <f t="shared" si="25"/>
        <v>5130/002Other reserves - additions</v>
      </c>
      <c r="N181" s="70"/>
      <c r="P181" s="71"/>
      <c r="Q181" s="51"/>
      <c r="R181" s="31"/>
    </row>
    <row r="182" spans="1:18" x14ac:dyDescent="0.2">
      <c r="A182" s="238"/>
      <c r="B182" s="54" t="s">
        <v>331</v>
      </c>
      <c r="C182" s="240" t="s">
        <v>385</v>
      </c>
      <c r="D182" s="282"/>
      <c r="E182" s="272"/>
      <c r="F182" s="79"/>
      <c r="G182" s="47">
        <f>SUMIF(JournalsA!D$14:D$920,TrialBalanceA!M182,JournalsA!J$14:J$920)+SUMIF(JournalsA!E$14:E$920,TrialBalanceA!M182,JournalsA!J$14:J$920)</f>
        <v>0</v>
      </c>
      <c r="H182" s="288"/>
      <c r="I182" s="255">
        <f t="shared" si="38"/>
        <v>0</v>
      </c>
      <c r="J182" s="75"/>
      <c r="K182" s="48">
        <f t="shared" si="24"/>
        <v>0</v>
      </c>
      <c r="M182" s="140" t="str">
        <f t="shared" si="25"/>
        <v>5130/003Other reserves - transfer</v>
      </c>
      <c r="N182" s="70"/>
      <c r="P182" s="71"/>
      <c r="Q182" s="51"/>
      <c r="R182" s="31"/>
    </row>
    <row r="183" spans="1:18" x14ac:dyDescent="0.2">
      <c r="A183" s="238"/>
      <c r="B183" s="54" t="s">
        <v>386</v>
      </c>
      <c r="C183" s="239" t="s">
        <v>774</v>
      </c>
      <c r="D183" s="283"/>
      <c r="E183" s="272"/>
      <c r="F183" s="79">
        <f>K183+SUM(K5:K164)</f>
        <v>0</v>
      </c>
      <c r="G183" s="47">
        <f>SUMIF(JournalsA!D$14:D$920,TrialBalanceA!M183,JournalsA!J$14:J$920)+SUMIF(JournalsA!E$14:E$920,TrialBalanceA!M183,JournalsA!J$14:J$920)</f>
        <v>0</v>
      </c>
      <c r="H183" s="288"/>
      <c r="I183" s="255">
        <f t="shared" si="38"/>
        <v>0</v>
      </c>
      <c r="J183" s="75"/>
      <c r="K183" s="48">
        <f t="shared" si="24"/>
        <v>0</v>
      </c>
      <c r="M183" s="140" t="str">
        <f t="shared" si="25"/>
        <v>5200/000(Retained income) / Accumulated loss</v>
      </c>
      <c r="N183" s="70"/>
      <c r="P183" s="71"/>
      <c r="Q183" s="51"/>
      <c r="R183" s="31"/>
    </row>
    <row r="184" spans="1:18" x14ac:dyDescent="0.2">
      <c r="A184" s="238"/>
      <c r="B184" s="54" t="s">
        <v>129</v>
      </c>
      <c r="C184" s="239" t="s">
        <v>130</v>
      </c>
      <c r="D184" s="283"/>
      <c r="E184" s="272"/>
      <c r="F184" s="79"/>
      <c r="G184" s="47">
        <f>SUMIF(JournalsA!D$14:D$920,TrialBalanceA!M184,JournalsA!J$14:J$920)+SUMIF(JournalsA!E$14:E$920,TrialBalanceA!M184,JournalsA!J$14:J$920)</f>
        <v>0</v>
      </c>
      <c r="H184" s="288"/>
      <c r="I184" s="255">
        <f t="shared" si="38"/>
        <v>0</v>
      </c>
      <c r="J184" s="75"/>
      <c r="K184" s="48">
        <f t="shared" si="24"/>
        <v>0</v>
      </c>
      <c r="M184" s="140" t="str">
        <f t="shared" si="25"/>
        <v>5500/000LONG TERM  INTEREST LIABILITIES</v>
      </c>
      <c r="N184" s="70"/>
      <c r="P184" s="71"/>
      <c r="Q184" s="51"/>
      <c r="R184" s="31"/>
    </row>
    <row r="185" spans="1:18" x14ac:dyDescent="0.2">
      <c r="A185" s="238"/>
      <c r="B185" s="54" t="s">
        <v>131</v>
      </c>
      <c r="C185" s="276">
        <f>TrialBalance!C185</f>
        <v>0</v>
      </c>
      <c r="D185" s="281"/>
      <c r="E185" s="272"/>
      <c r="F185" s="79">
        <f>K185</f>
        <v>0</v>
      </c>
      <c r="G185" s="47">
        <f>SUMIF(JournalsA!D$14:D$920,TrialBalanceA!M185,JournalsA!J$14:J$920)+SUMIF(JournalsA!E$14:E$920,TrialBalanceA!M185,JournalsA!J$14:J$920)</f>
        <v>0</v>
      </c>
      <c r="H185" s="288"/>
      <c r="I185" s="255">
        <f t="shared" si="38"/>
        <v>0</v>
      </c>
      <c r="J185" s="75"/>
      <c r="K185" s="48">
        <f t="shared" si="24"/>
        <v>0</v>
      </c>
      <c r="M185" s="140" t="str">
        <f t="shared" si="25"/>
        <v>5500/0010</v>
      </c>
      <c r="N185" s="70"/>
      <c r="P185" s="71"/>
      <c r="Q185" s="51"/>
      <c r="R185" s="31"/>
    </row>
    <row r="186" spans="1:18" x14ac:dyDescent="0.2">
      <c r="A186" s="238"/>
      <c r="B186" s="54" t="s">
        <v>132</v>
      </c>
      <c r="C186" s="276">
        <f>TrialBalance!C186</f>
        <v>0</v>
      </c>
      <c r="D186" s="282"/>
      <c r="E186" s="272"/>
      <c r="F186" s="79">
        <f>K186</f>
        <v>0</v>
      </c>
      <c r="G186" s="47">
        <f>SUMIF(JournalsA!D$14:D$920,TrialBalanceA!M186,JournalsA!J$14:J$920)+SUMIF(JournalsA!E$14:E$920,TrialBalanceA!M186,JournalsA!J$14:J$920)</f>
        <v>0</v>
      </c>
      <c r="H186" s="288"/>
      <c r="I186" s="255">
        <f t="shared" si="38"/>
        <v>0</v>
      </c>
      <c r="J186" s="75"/>
      <c r="K186" s="48">
        <f t="shared" si="24"/>
        <v>0</v>
      </c>
      <c r="M186" s="140" t="str">
        <f t="shared" si="25"/>
        <v>5500/0020</v>
      </c>
      <c r="N186" s="70"/>
      <c r="P186" s="71"/>
      <c r="Q186" s="51"/>
      <c r="R186" s="31"/>
    </row>
    <row r="187" spans="1:18" x14ac:dyDescent="0.2">
      <c r="A187" s="238"/>
      <c r="B187" s="54" t="s">
        <v>133</v>
      </c>
      <c r="C187" s="276">
        <f>TrialBalance!C187</f>
        <v>0</v>
      </c>
      <c r="D187" s="282"/>
      <c r="E187" s="272"/>
      <c r="F187" s="79">
        <f>K187</f>
        <v>0</v>
      </c>
      <c r="G187" s="47">
        <f>SUMIF(JournalsA!D$14:D$920,TrialBalanceA!M187,JournalsA!J$14:J$920)+SUMIF(JournalsA!E$14:E$920,TrialBalanceA!M187,JournalsA!J$14:J$920)</f>
        <v>0</v>
      </c>
      <c r="H187" s="288"/>
      <c r="I187" s="255">
        <f t="shared" si="38"/>
        <v>0</v>
      </c>
      <c r="J187" s="75"/>
      <c r="K187" s="48">
        <f t="shared" si="24"/>
        <v>0</v>
      </c>
      <c r="M187" s="140" t="str">
        <f t="shared" si="25"/>
        <v>5500/0030</v>
      </c>
      <c r="N187" s="70"/>
      <c r="P187" s="71"/>
      <c r="Q187" s="51"/>
      <c r="R187" s="31"/>
    </row>
    <row r="188" spans="1:18" x14ac:dyDescent="0.2">
      <c r="A188" s="238"/>
      <c r="B188" s="54" t="s">
        <v>134</v>
      </c>
      <c r="C188" s="276">
        <f>TrialBalance!C188</f>
        <v>0</v>
      </c>
      <c r="D188" s="282"/>
      <c r="E188" s="272"/>
      <c r="F188" s="79">
        <f>K188</f>
        <v>0</v>
      </c>
      <c r="G188" s="47">
        <f>SUMIF(JournalsA!D$14:D$920,TrialBalanceA!M188,JournalsA!J$14:J$920)+SUMIF(JournalsA!E$14:E$920,TrialBalanceA!M188,JournalsA!J$14:J$920)</f>
        <v>0</v>
      </c>
      <c r="H188" s="288"/>
      <c r="I188" s="255">
        <f t="shared" si="38"/>
        <v>0</v>
      </c>
      <c r="J188" s="75"/>
      <c r="K188" s="48">
        <f t="shared" si="24"/>
        <v>0</v>
      </c>
      <c r="M188" s="140" t="str">
        <f t="shared" si="25"/>
        <v>5500/0040</v>
      </c>
      <c r="N188" s="70"/>
      <c r="P188" s="71"/>
      <c r="Q188" s="51"/>
      <c r="R188" s="31"/>
    </row>
    <row r="189" spans="1:18" x14ac:dyDescent="0.2">
      <c r="A189" s="238"/>
      <c r="B189" s="54" t="s">
        <v>135</v>
      </c>
      <c r="C189" s="276">
        <f>TrialBalance!C189</f>
        <v>0</v>
      </c>
      <c r="D189" s="282"/>
      <c r="E189" s="272"/>
      <c r="F189" s="79">
        <f>K189</f>
        <v>0</v>
      </c>
      <c r="G189" s="47">
        <f>SUMIF(JournalsA!D$14:D$920,TrialBalanceA!M189,JournalsA!J$14:J$920)+SUMIF(JournalsA!E$14:E$920,TrialBalanceA!M189,JournalsA!J$14:J$920)</f>
        <v>0</v>
      </c>
      <c r="H189" s="288"/>
      <c r="I189" s="255">
        <f t="shared" si="38"/>
        <v>0</v>
      </c>
      <c r="J189" s="75"/>
      <c r="K189" s="48">
        <f t="shared" si="24"/>
        <v>0</v>
      </c>
      <c r="M189" s="140" t="str">
        <f t="shared" si="25"/>
        <v>5500/0050</v>
      </c>
      <c r="N189" s="70"/>
      <c r="P189" s="71"/>
      <c r="Q189" s="51"/>
      <c r="R189" s="31"/>
    </row>
    <row r="190" spans="1:18" x14ac:dyDescent="0.2">
      <c r="A190" s="238"/>
      <c r="B190" s="90" t="s">
        <v>604</v>
      </c>
      <c r="C190" s="276">
        <f>TrialBalance!C190</f>
        <v>0</v>
      </c>
      <c r="D190" s="282"/>
      <c r="E190" s="272"/>
      <c r="F190" s="79">
        <f t="shared" ref="F190:F215" si="39">K190</f>
        <v>0</v>
      </c>
      <c r="G190" s="47">
        <f>SUMIF(JournalsA!D$14:D$920,TrialBalanceA!M190,JournalsA!J$14:J$920)+SUMIF(JournalsA!E$14:E$920,TrialBalanceA!M190,JournalsA!J$14:J$920)</f>
        <v>0</v>
      </c>
      <c r="H190" s="288"/>
      <c r="I190" s="255">
        <f t="shared" si="38"/>
        <v>0</v>
      </c>
      <c r="J190" s="75"/>
      <c r="K190" s="48">
        <f t="shared" si="24"/>
        <v>0</v>
      </c>
      <c r="M190" s="140" t="str">
        <f t="shared" si="25"/>
        <v>5500/0060</v>
      </c>
      <c r="N190" s="70"/>
      <c r="P190" s="71"/>
      <c r="Q190" s="51"/>
      <c r="R190" s="31"/>
    </row>
    <row r="191" spans="1:18" x14ac:dyDescent="0.2">
      <c r="A191" s="238"/>
      <c r="B191" s="90" t="s">
        <v>605</v>
      </c>
      <c r="C191" s="276">
        <f>TrialBalance!C191</f>
        <v>0</v>
      </c>
      <c r="D191" s="282"/>
      <c r="E191" s="272"/>
      <c r="F191" s="79">
        <f t="shared" si="39"/>
        <v>0</v>
      </c>
      <c r="G191" s="47">
        <f>SUMIF(JournalsA!D$14:D$920,TrialBalanceA!M191,JournalsA!J$14:J$920)+SUMIF(JournalsA!E$14:E$920,TrialBalanceA!M191,JournalsA!J$14:J$920)</f>
        <v>0</v>
      </c>
      <c r="H191" s="288"/>
      <c r="I191" s="255">
        <f t="shared" si="38"/>
        <v>0</v>
      </c>
      <c r="J191" s="75"/>
      <c r="K191" s="48">
        <f t="shared" si="24"/>
        <v>0</v>
      </c>
      <c r="M191" s="140" t="str">
        <f t="shared" si="25"/>
        <v>5500/0070</v>
      </c>
      <c r="N191" s="70"/>
      <c r="P191" s="71"/>
      <c r="Q191" s="51"/>
      <c r="R191" s="31"/>
    </row>
    <row r="192" spans="1:18" x14ac:dyDescent="0.2">
      <c r="A192" s="238"/>
      <c r="B192" s="90" t="s">
        <v>606</v>
      </c>
      <c r="C192" s="276">
        <f>TrialBalance!C192</f>
        <v>0</v>
      </c>
      <c r="D192" s="282"/>
      <c r="E192" s="272"/>
      <c r="F192" s="79">
        <f t="shared" si="39"/>
        <v>0</v>
      </c>
      <c r="G192" s="47">
        <f>SUMIF(JournalsA!D$14:D$920,TrialBalanceA!M192,JournalsA!J$14:J$920)+SUMIF(JournalsA!E$14:E$920,TrialBalanceA!M192,JournalsA!J$14:J$920)</f>
        <v>0</v>
      </c>
      <c r="H192" s="288"/>
      <c r="I192" s="255">
        <f t="shared" si="38"/>
        <v>0</v>
      </c>
      <c r="J192" s="75"/>
      <c r="K192" s="48">
        <f t="shared" si="24"/>
        <v>0</v>
      </c>
      <c r="M192" s="140" t="str">
        <f t="shared" si="25"/>
        <v>5500/0080</v>
      </c>
      <c r="N192" s="70"/>
      <c r="P192" s="71"/>
      <c r="Q192" s="51"/>
      <c r="R192" s="31"/>
    </row>
    <row r="193" spans="1:18" x14ac:dyDescent="0.2">
      <c r="A193" s="238"/>
      <c r="B193" s="90" t="s">
        <v>607</v>
      </c>
      <c r="C193" s="276">
        <f>TrialBalance!C193</f>
        <v>0</v>
      </c>
      <c r="D193" s="284"/>
      <c r="E193" s="272"/>
      <c r="F193" s="79">
        <f t="shared" si="39"/>
        <v>0</v>
      </c>
      <c r="G193" s="47">
        <f>SUMIF(JournalsA!D$14:D$920,TrialBalanceA!M193,JournalsA!J$14:J$920)+SUMIF(JournalsA!E$14:E$920,TrialBalanceA!M193,JournalsA!J$14:J$920)</f>
        <v>0</v>
      </c>
      <c r="H193" s="288"/>
      <c r="I193" s="255">
        <f t="shared" si="38"/>
        <v>0</v>
      </c>
      <c r="J193" s="75"/>
      <c r="K193" s="48">
        <f t="shared" si="24"/>
        <v>0</v>
      </c>
      <c r="M193" s="140" t="str">
        <f t="shared" si="25"/>
        <v>5500/0090</v>
      </c>
      <c r="N193" s="70"/>
      <c r="P193" s="71"/>
      <c r="Q193" s="51"/>
      <c r="R193" s="31"/>
    </row>
    <row r="194" spans="1:18" x14ac:dyDescent="0.2">
      <c r="A194" s="238"/>
      <c r="B194" s="90" t="s">
        <v>608</v>
      </c>
      <c r="C194" s="276">
        <f>TrialBalance!C194</f>
        <v>0</v>
      </c>
      <c r="D194" s="284"/>
      <c r="E194" s="272"/>
      <c r="F194" s="79">
        <f t="shared" si="39"/>
        <v>0</v>
      </c>
      <c r="G194" s="47">
        <f>SUMIF(JournalsA!D$14:D$920,TrialBalanceA!M194,JournalsA!J$14:J$920)+SUMIF(JournalsA!E$14:E$920,TrialBalanceA!M194,JournalsA!J$14:J$920)</f>
        <v>0</v>
      </c>
      <c r="H194" s="288"/>
      <c r="I194" s="255">
        <f t="shared" si="38"/>
        <v>0</v>
      </c>
      <c r="J194" s="75"/>
      <c r="K194" s="48">
        <f t="shared" si="24"/>
        <v>0</v>
      </c>
      <c r="M194" s="140" t="str">
        <f t="shared" si="25"/>
        <v>5500/0100</v>
      </c>
      <c r="N194" s="70"/>
      <c r="P194" s="71"/>
      <c r="Q194" s="51"/>
      <c r="R194" s="31"/>
    </row>
    <row r="195" spans="1:18" x14ac:dyDescent="0.2">
      <c r="A195" s="238"/>
      <c r="B195" s="90" t="s">
        <v>609</v>
      </c>
      <c r="C195" s="276">
        <f>TrialBalance!C195</f>
        <v>0</v>
      </c>
      <c r="D195" s="282"/>
      <c r="E195" s="272"/>
      <c r="F195" s="79">
        <f t="shared" si="39"/>
        <v>0</v>
      </c>
      <c r="G195" s="47">
        <f>SUMIF(JournalsA!D$14:D$920,TrialBalanceA!M195,JournalsA!J$14:J$920)+SUMIF(JournalsA!E$14:E$920,TrialBalanceA!M195,JournalsA!J$14:J$920)</f>
        <v>0</v>
      </c>
      <c r="H195" s="288"/>
      <c r="I195" s="255">
        <f t="shared" si="38"/>
        <v>0</v>
      </c>
      <c r="J195" s="75"/>
      <c r="K195" s="48">
        <f t="shared" si="24"/>
        <v>0</v>
      </c>
      <c r="M195" s="140" t="str">
        <f t="shared" si="25"/>
        <v>5500/0110</v>
      </c>
      <c r="N195" s="70"/>
      <c r="P195" s="71"/>
      <c r="Q195" s="51"/>
      <c r="R195" s="31"/>
    </row>
    <row r="196" spans="1:18" x14ac:dyDescent="0.2">
      <c r="A196" s="238"/>
      <c r="B196" s="90" t="s">
        <v>610</v>
      </c>
      <c r="C196" s="276">
        <f>TrialBalance!C196</f>
        <v>0</v>
      </c>
      <c r="D196" s="282"/>
      <c r="E196" s="282"/>
      <c r="F196" s="79">
        <f t="shared" si="39"/>
        <v>0</v>
      </c>
      <c r="G196" s="47">
        <f>SUMIF(JournalsA!D$14:D$920,TrialBalanceA!M196,JournalsA!J$14:J$920)+SUMIF(JournalsA!E$14:E$920,TrialBalanceA!M196,JournalsA!J$14:J$920)</f>
        <v>0</v>
      </c>
      <c r="H196" s="288"/>
      <c r="I196" s="255">
        <f t="shared" si="38"/>
        <v>0</v>
      </c>
      <c r="J196" s="75"/>
      <c r="K196" s="48">
        <f t="shared" si="24"/>
        <v>0</v>
      </c>
      <c r="M196" s="140" t="str">
        <f t="shared" si="25"/>
        <v>5500/0120</v>
      </c>
      <c r="N196" s="70"/>
      <c r="P196" s="71"/>
      <c r="Q196" s="51"/>
      <c r="R196" s="31"/>
    </row>
    <row r="197" spans="1:18" x14ac:dyDescent="0.2">
      <c r="A197" s="238"/>
      <c r="B197" s="90" t="s">
        <v>611</v>
      </c>
      <c r="C197" s="276">
        <f>TrialBalance!C197</f>
        <v>0</v>
      </c>
      <c r="D197" s="282"/>
      <c r="E197" s="282"/>
      <c r="F197" s="79">
        <f t="shared" ref="F197:F198" si="40">K197</f>
        <v>0</v>
      </c>
      <c r="G197" s="47">
        <f>SUMIF(JournalsA!D$14:D$920,TrialBalanceA!M197,JournalsA!J$14:J$920)+SUMIF(JournalsA!E$14:E$920,TrialBalanceA!M197,JournalsA!J$14:J$920)</f>
        <v>0</v>
      </c>
      <c r="H197" s="288"/>
      <c r="I197" s="255">
        <f t="shared" ref="I197:I198" si="41">ROUND(D197-E197+G197+F197,0)</f>
        <v>0</v>
      </c>
      <c r="J197" s="75"/>
      <c r="K197" s="48">
        <f t="shared" ref="K197:K198" si="42">ROUND(SUM(A197),0)</f>
        <v>0</v>
      </c>
      <c r="M197" s="140" t="str">
        <f t="shared" ref="M197:M198" si="43">CONCATENATE(B197,C197)</f>
        <v>5500/0130</v>
      </c>
      <c r="N197" s="70"/>
      <c r="P197" s="71"/>
      <c r="Q197" s="51"/>
      <c r="R197" s="31"/>
    </row>
    <row r="198" spans="1:18" x14ac:dyDescent="0.2">
      <c r="A198" s="238"/>
      <c r="B198" s="90" t="s">
        <v>661</v>
      </c>
      <c r="C198" s="276">
        <f>TrialBalance!C198</f>
        <v>0</v>
      </c>
      <c r="D198" s="282"/>
      <c r="E198" s="282"/>
      <c r="F198" s="79">
        <f t="shared" si="40"/>
        <v>0</v>
      </c>
      <c r="G198" s="47">
        <f>SUMIF(JournalsA!D$14:D$920,TrialBalanceA!M198,JournalsA!J$14:J$920)+SUMIF(JournalsA!E$14:E$920,TrialBalanceA!M198,JournalsA!J$14:J$920)</f>
        <v>0</v>
      </c>
      <c r="H198" s="288"/>
      <c r="I198" s="255">
        <f t="shared" si="41"/>
        <v>0</v>
      </c>
      <c r="J198" s="75"/>
      <c r="K198" s="48">
        <f t="shared" si="42"/>
        <v>0</v>
      </c>
      <c r="M198" s="140" t="str">
        <f t="shared" si="43"/>
        <v>5500/0140</v>
      </c>
      <c r="N198" s="70"/>
      <c r="P198" s="71"/>
      <c r="Q198" s="51"/>
      <c r="R198" s="31"/>
    </row>
    <row r="199" spans="1:18" x14ac:dyDescent="0.2">
      <c r="A199" s="238"/>
      <c r="B199" s="90" t="s">
        <v>662</v>
      </c>
      <c r="C199" s="276">
        <f>TrialBalance!C199</f>
        <v>0</v>
      </c>
      <c r="D199" s="284"/>
      <c r="E199" s="272"/>
      <c r="F199" s="79">
        <f t="shared" si="39"/>
        <v>0</v>
      </c>
      <c r="G199" s="47">
        <f>SUMIF(JournalsA!D$14:D$920,TrialBalanceA!M199,JournalsA!J$14:J$920)+SUMIF(JournalsA!E$14:E$920,TrialBalanceA!M199,JournalsA!J$14:J$920)</f>
        <v>0</v>
      </c>
      <c r="H199" s="288"/>
      <c r="I199" s="255">
        <f t="shared" si="38"/>
        <v>0</v>
      </c>
      <c r="J199" s="75"/>
      <c r="K199" s="48">
        <f t="shared" si="24"/>
        <v>0</v>
      </c>
      <c r="M199" s="140" t="str">
        <f t="shared" si="25"/>
        <v>5500/0150</v>
      </c>
      <c r="N199" s="70"/>
      <c r="P199" s="71"/>
      <c r="Q199" s="51"/>
      <c r="R199" s="31"/>
    </row>
    <row r="200" spans="1:18" x14ac:dyDescent="0.2">
      <c r="A200" s="238"/>
      <c r="B200" s="54" t="s">
        <v>136</v>
      </c>
      <c r="C200" s="240" t="s">
        <v>255</v>
      </c>
      <c r="D200" s="282"/>
      <c r="E200" s="272"/>
      <c r="F200" s="79">
        <f t="shared" si="39"/>
        <v>0</v>
      </c>
      <c r="G200" s="47">
        <f>SUMIF(JournalsA!D$14:D$920,TrialBalanceA!M200,JournalsA!J$14:J$920)+SUMIF(JournalsA!E$14:E$920,TrialBalanceA!M200,JournalsA!J$14:J$920)</f>
        <v>0</v>
      </c>
      <c r="H200" s="288"/>
      <c r="I200" s="255">
        <f t="shared" si="38"/>
        <v>0</v>
      </c>
      <c r="J200" s="75"/>
      <c r="K200" s="48">
        <f t="shared" si="24"/>
        <v>0</v>
      </c>
      <c r="M200" s="140" t="str">
        <f t="shared" si="25"/>
        <v>5520/000Short term portion of long term loans</v>
      </c>
      <c r="N200" s="70"/>
      <c r="P200" s="71"/>
      <c r="Q200" s="51"/>
      <c r="R200" s="31"/>
    </row>
    <row r="201" spans="1:18" x14ac:dyDescent="0.2">
      <c r="A201" s="238"/>
      <c r="B201" s="54" t="s">
        <v>138</v>
      </c>
      <c r="C201" s="239" t="s">
        <v>139</v>
      </c>
      <c r="D201" s="283"/>
      <c r="E201" s="272"/>
      <c r="F201" s="79">
        <f t="shared" si="39"/>
        <v>0</v>
      </c>
      <c r="G201" s="47">
        <f>SUMIF(JournalsA!D$14:D$920,TrialBalanceA!M201,JournalsA!J$14:J$920)+SUMIF(JournalsA!E$14:E$920,TrialBalanceA!M201,JournalsA!J$14:J$920)</f>
        <v>0</v>
      </c>
      <c r="H201" s="288"/>
      <c r="I201" s="255">
        <f t="shared" si="38"/>
        <v>0</v>
      </c>
      <c r="J201" s="75"/>
      <c r="K201" s="48">
        <f t="shared" si="24"/>
        <v>0</v>
      </c>
      <c r="M201" s="140" t="str">
        <f t="shared" si="25"/>
        <v>5550/000LONG TERM INTEREST FREE LOANS</v>
      </c>
      <c r="N201" s="70"/>
      <c r="P201" s="71"/>
      <c r="Q201" s="51"/>
      <c r="R201" s="31"/>
    </row>
    <row r="202" spans="1:18" x14ac:dyDescent="0.2">
      <c r="A202" s="238"/>
      <c r="B202" s="54" t="s">
        <v>140</v>
      </c>
      <c r="C202" s="276">
        <f>TrialBalance!C202</f>
        <v>0</v>
      </c>
      <c r="D202" s="284"/>
      <c r="E202" s="284"/>
      <c r="F202" s="79">
        <f t="shared" si="39"/>
        <v>0</v>
      </c>
      <c r="G202" s="47">
        <f>SUMIF(JournalsA!D$14:D$920,TrialBalanceA!M202,JournalsA!J$14:J$920)+SUMIF(JournalsA!E$14:E$920,TrialBalanceA!M202,JournalsA!J$14:J$920)</f>
        <v>0</v>
      </c>
      <c r="H202" s="288"/>
      <c r="I202" s="255">
        <f t="shared" si="38"/>
        <v>0</v>
      </c>
      <c r="J202" s="91"/>
      <c r="K202" s="48">
        <f t="shared" si="24"/>
        <v>0</v>
      </c>
      <c r="M202" s="140" t="str">
        <f t="shared" si="25"/>
        <v>5550/0010</v>
      </c>
      <c r="N202" s="70"/>
      <c r="P202" s="71"/>
      <c r="Q202" s="51"/>
      <c r="R202" s="31"/>
    </row>
    <row r="203" spans="1:18" x14ac:dyDescent="0.2">
      <c r="A203" s="238"/>
      <c r="B203" s="54" t="s">
        <v>141</v>
      </c>
      <c r="C203" s="276">
        <f>TrialBalance!C203</f>
        <v>0</v>
      </c>
      <c r="D203" s="284"/>
      <c r="E203" s="282"/>
      <c r="F203" s="79">
        <f t="shared" si="39"/>
        <v>0</v>
      </c>
      <c r="G203" s="47">
        <f>SUMIF(JournalsA!D$14:D$920,TrialBalanceA!M203,JournalsA!J$14:J$920)+SUMIF(JournalsA!E$14:E$920,TrialBalanceA!M203,JournalsA!J$14:J$920)</f>
        <v>0</v>
      </c>
      <c r="H203" s="288"/>
      <c r="I203" s="255">
        <f t="shared" si="38"/>
        <v>0</v>
      </c>
      <c r="J203" s="75"/>
      <c r="K203" s="48">
        <f t="shared" si="24"/>
        <v>0</v>
      </c>
      <c r="M203" s="140" t="str">
        <f t="shared" si="25"/>
        <v>5550/0020</v>
      </c>
      <c r="N203" s="70"/>
      <c r="P203" s="71"/>
      <c r="Q203" s="51"/>
      <c r="R203" s="31"/>
    </row>
    <row r="204" spans="1:18" x14ac:dyDescent="0.2">
      <c r="A204" s="238"/>
      <c r="B204" s="54" t="s">
        <v>142</v>
      </c>
      <c r="C204" s="276">
        <f>TrialBalance!C204</f>
        <v>0</v>
      </c>
      <c r="D204" s="284"/>
      <c r="E204" s="284"/>
      <c r="F204" s="79">
        <f t="shared" si="39"/>
        <v>0</v>
      </c>
      <c r="G204" s="47">
        <f>SUMIF(JournalsA!D$14:D$920,TrialBalanceA!M204,JournalsA!J$14:J$920)+SUMIF(JournalsA!E$14:E$920,TrialBalanceA!M204,JournalsA!J$14:J$920)</f>
        <v>0</v>
      </c>
      <c r="H204" s="288"/>
      <c r="I204" s="255">
        <f t="shared" si="38"/>
        <v>0</v>
      </c>
      <c r="J204" s="91"/>
      <c r="K204" s="48">
        <f t="shared" si="24"/>
        <v>0</v>
      </c>
      <c r="M204" s="140" t="str">
        <f t="shared" si="25"/>
        <v>5550/0030</v>
      </c>
      <c r="N204" s="70"/>
      <c r="P204" s="71"/>
      <c r="Q204" s="51"/>
      <c r="R204" s="31"/>
    </row>
    <row r="205" spans="1:18" x14ac:dyDescent="0.2">
      <c r="A205" s="238"/>
      <c r="B205" s="54" t="s">
        <v>143</v>
      </c>
      <c r="C205" s="276">
        <f>TrialBalance!C205</f>
        <v>0</v>
      </c>
      <c r="D205" s="284"/>
      <c r="E205" s="284"/>
      <c r="F205" s="79">
        <f t="shared" si="39"/>
        <v>0</v>
      </c>
      <c r="G205" s="47">
        <f>SUMIF(JournalsA!D$14:D$920,TrialBalanceA!M205,JournalsA!J$14:J$920)+SUMIF(JournalsA!E$14:E$920,TrialBalanceA!M205,JournalsA!J$14:J$920)</f>
        <v>0</v>
      </c>
      <c r="H205" s="288"/>
      <c r="I205" s="255">
        <f t="shared" ref="I205:I252" si="44">ROUND(D205-E205+G205+F205,0)</f>
        <v>0</v>
      </c>
      <c r="J205" s="91"/>
      <c r="K205" s="48">
        <f t="shared" si="24"/>
        <v>0</v>
      </c>
      <c r="M205" s="140" t="str">
        <f t="shared" si="25"/>
        <v>5550/0040</v>
      </c>
      <c r="N205" s="70"/>
      <c r="P205" s="71"/>
      <c r="Q205" s="51"/>
      <c r="R205" s="31"/>
    </row>
    <row r="206" spans="1:18" x14ac:dyDescent="0.2">
      <c r="A206" s="238"/>
      <c r="B206" s="54" t="s">
        <v>144</v>
      </c>
      <c r="C206" s="276">
        <f>TrialBalance!C206</f>
        <v>0</v>
      </c>
      <c r="D206" s="282"/>
      <c r="E206" s="272"/>
      <c r="F206" s="79">
        <f t="shared" si="39"/>
        <v>0</v>
      </c>
      <c r="G206" s="47">
        <f>SUMIF(JournalsA!D$14:D$920,TrialBalanceA!M206,JournalsA!J$14:J$920)+SUMIF(JournalsA!E$14:E$920,TrialBalanceA!M206,JournalsA!J$14:J$920)</f>
        <v>0</v>
      </c>
      <c r="H206" s="288"/>
      <c r="I206" s="255">
        <f t="shared" si="44"/>
        <v>0</v>
      </c>
      <c r="J206" s="75"/>
      <c r="K206" s="48">
        <f t="shared" si="24"/>
        <v>0</v>
      </c>
      <c r="M206" s="140" t="str">
        <f t="shared" si="25"/>
        <v>5550/0050</v>
      </c>
      <c r="N206" s="70"/>
      <c r="P206" s="71"/>
      <c r="Q206" s="51"/>
      <c r="R206" s="31"/>
    </row>
    <row r="207" spans="1:18" x14ac:dyDescent="0.2">
      <c r="A207" s="238"/>
      <c r="B207" s="90" t="s">
        <v>631</v>
      </c>
      <c r="C207" s="276">
        <f>TrialBalance!C207</f>
        <v>0</v>
      </c>
      <c r="D207" s="282"/>
      <c r="E207" s="272"/>
      <c r="F207" s="79">
        <f t="shared" si="39"/>
        <v>0</v>
      </c>
      <c r="G207" s="47">
        <f>SUMIF(JournalsA!D$14:D$920,TrialBalanceA!M207,JournalsA!J$14:J$920)+SUMIF(JournalsA!E$14:E$920,TrialBalanceA!M207,JournalsA!J$14:J$920)</f>
        <v>0</v>
      </c>
      <c r="H207" s="288"/>
      <c r="I207" s="255">
        <f t="shared" si="44"/>
        <v>0</v>
      </c>
      <c r="J207" s="91"/>
      <c r="K207" s="48">
        <f t="shared" ref="K207:K282" si="45">ROUND(SUM(A207),0)</f>
        <v>0</v>
      </c>
      <c r="M207" s="140" t="str">
        <f t="shared" ref="M207:M282" si="46">CONCATENATE(B207,C207)</f>
        <v>5550/0060</v>
      </c>
      <c r="N207" s="70"/>
      <c r="P207" s="71"/>
      <c r="Q207" s="51"/>
      <c r="R207" s="31"/>
    </row>
    <row r="208" spans="1:18" x14ac:dyDescent="0.2">
      <c r="A208" s="238"/>
      <c r="B208" s="90" t="s">
        <v>632</v>
      </c>
      <c r="C208" s="276">
        <f>TrialBalance!C208</f>
        <v>0</v>
      </c>
      <c r="D208" s="284"/>
      <c r="E208" s="272"/>
      <c r="F208" s="79">
        <f t="shared" si="39"/>
        <v>0</v>
      </c>
      <c r="G208" s="47">
        <f>SUMIF(JournalsA!D$14:D$920,TrialBalanceA!M208,JournalsA!J$14:J$920)+SUMIF(JournalsA!E$14:E$920,TrialBalanceA!M208,JournalsA!J$14:J$920)</f>
        <v>0</v>
      </c>
      <c r="H208" s="288"/>
      <c r="I208" s="255">
        <f t="shared" si="44"/>
        <v>0</v>
      </c>
      <c r="J208" s="91"/>
      <c r="K208" s="48">
        <f t="shared" si="45"/>
        <v>0</v>
      </c>
      <c r="M208" s="140" t="str">
        <f t="shared" si="46"/>
        <v>5550/0070</v>
      </c>
      <c r="N208" s="70"/>
      <c r="P208" s="71"/>
      <c r="Q208" s="51"/>
      <c r="R208" s="31"/>
    </row>
    <row r="209" spans="1:18" x14ac:dyDescent="0.2">
      <c r="A209" s="238"/>
      <c r="B209" s="90" t="s">
        <v>633</v>
      </c>
      <c r="C209" s="276">
        <f>TrialBalance!C209</f>
        <v>0</v>
      </c>
      <c r="D209" s="284"/>
      <c r="E209" s="284"/>
      <c r="F209" s="79">
        <f t="shared" si="39"/>
        <v>0</v>
      </c>
      <c r="G209" s="47">
        <f>SUMIF(JournalsA!D$14:D$920,TrialBalanceA!M209,JournalsA!J$14:J$920)+SUMIF(JournalsA!E$14:E$920,TrialBalanceA!M209,JournalsA!J$14:J$920)</f>
        <v>0</v>
      </c>
      <c r="H209" s="288"/>
      <c r="I209" s="255">
        <f t="shared" si="44"/>
        <v>0</v>
      </c>
      <c r="J209" s="75"/>
      <c r="K209" s="48">
        <f t="shared" si="45"/>
        <v>0</v>
      </c>
      <c r="M209" s="140" t="str">
        <f t="shared" si="46"/>
        <v>5550/0080</v>
      </c>
      <c r="N209" s="70"/>
      <c r="P209" s="71"/>
      <c r="Q209" s="51"/>
      <c r="R209" s="31"/>
    </row>
    <row r="210" spans="1:18" x14ac:dyDescent="0.2">
      <c r="A210" s="238"/>
      <c r="B210" s="90" t="s">
        <v>634</v>
      </c>
      <c r="C210" s="276">
        <f>TrialBalance!C210</f>
        <v>0</v>
      </c>
      <c r="D210" s="284"/>
      <c r="E210" s="284"/>
      <c r="F210" s="79">
        <f t="shared" si="39"/>
        <v>0</v>
      </c>
      <c r="G210" s="47">
        <f>SUMIF(JournalsA!D$14:D$920,TrialBalanceA!M210,JournalsA!J$14:J$920)+SUMIF(JournalsA!E$14:E$920,TrialBalanceA!M210,JournalsA!J$14:J$920)</f>
        <v>0</v>
      </c>
      <c r="H210" s="288"/>
      <c r="I210" s="255">
        <f t="shared" si="44"/>
        <v>0</v>
      </c>
      <c r="J210" s="91"/>
      <c r="K210" s="48">
        <f t="shared" si="45"/>
        <v>0</v>
      </c>
      <c r="M210" s="140" t="str">
        <f t="shared" si="46"/>
        <v>5550/0090</v>
      </c>
      <c r="N210" s="70"/>
      <c r="P210" s="71"/>
      <c r="Q210" s="51"/>
      <c r="R210" s="31"/>
    </row>
    <row r="211" spans="1:18" x14ac:dyDescent="0.2">
      <c r="A211" s="238"/>
      <c r="B211" s="90" t="s">
        <v>655</v>
      </c>
      <c r="C211" s="276">
        <f>TrialBalance!C211</f>
        <v>0</v>
      </c>
      <c r="D211" s="287"/>
      <c r="E211" s="272"/>
      <c r="F211" s="79">
        <f t="shared" si="39"/>
        <v>0</v>
      </c>
      <c r="G211" s="47">
        <f>SUMIF(JournalsA!D$14:D$920,TrialBalanceA!M211,JournalsA!J$14:J$920)+SUMIF(JournalsA!E$14:E$920,TrialBalanceA!M211,JournalsA!J$14:J$920)</f>
        <v>0</v>
      </c>
      <c r="H211" s="288"/>
      <c r="I211" s="255">
        <f t="shared" si="44"/>
        <v>0</v>
      </c>
      <c r="J211" s="75"/>
      <c r="K211" s="48">
        <f t="shared" si="45"/>
        <v>0</v>
      </c>
      <c r="M211" s="140" t="str">
        <f t="shared" si="46"/>
        <v>5550/0100</v>
      </c>
      <c r="N211" s="70"/>
      <c r="P211" s="71"/>
      <c r="Q211" s="51"/>
      <c r="R211" s="31"/>
    </row>
    <row r="212" spans="1:18" x14ac:dyDescent="0.2">
      <c r="A212" s="238"/>
      <c r="B212" s="90" t="s">
        <v>668</v>
      </c>
      <c r="C212" s="276">
        <f>TrialBalance!C212</f>
        <v>0</v>
      </c>
      <c r="D212" s="287"/>
      <c r="E212" s="272"/>
      <c r="F212" s="79">
        <f t="shared" si="39"/>
        <v>0</v>
      </c>
      <c r="G212" s="47">
        <f>SUMIF(JournalsA!D$14:D$920,TrialBalanceA!M212,JournalsA!J$14:J$920)+SUMIF(JournalsA!E$14:E$920,TrialBalanceA!M212,JournalsA!J$14:J$920)</f>
        <v>0</v>
      </c>
      <c r="H212" s="288"/>
      <c r="I212" s="255">
        <f t="shared" si="44"/>
        <v>0</v>
      </c>
      <c r="J212" s="75"/>
      <c r="K212" s="48">
        <f t="shared" si="45"/>
        <v>0</v>
      </c>
      <c r="M212" s="140" t="str">
        <f t="shared" si="46"/>
        <v>5550/0110</v>
      </c>
      <c r="N212" s="70"/>
      <c r="P212" s="71"/>
      <c r="Q212" s="51"/>
      <c r="R212" s="31"/>
    </row>
    <row r="213" spans="1:18" x14ac:dyDescent="0.2">
      <c r="A213" s="238"/>
      <c r="B213" s="90" t="s">
        <v>669</v>
      </c>
      <c r="C213" s="276">
        <f>TrialBalance!C213</f>
        <v>0</v>
      </c>
      <c r="D213" s="287"/>
      <c r="E213" s="272"/>
      <c r="F213" s="79">
        <f t="shared" si="39"/>
        <v>0</v>
      </c>
      <c r="G213" s="47">
        <f>SUMIF(JournalsA!D$14:D$920,TrialBalanceA!M213,JournalsA!J$14:J$920)+SUMIF(JournalsA!E$14:E$920,TrialBalanceA!M213,JournalsA!J$14:J$920)</f>
        <v>0</v>
      </c>
      <c r="H213" s="288"/>
      <c r="I213" s="255">
        <f t="shared" si="44"/>
        <v>0</v>
      </c>
      <c r="J213" s="75"/>
      <c r="K213" s="48">
        <f t="shared" si="45"/>
        <v>0</v>
      </c>
      <c r="M213" s="140" t="str">
        <f t="shared" si="46"/>
        <v>5550/0120</v>
      </c>
      <c r="N213" s="70"/>
      <c r="P213" s="71"/>
      <c r="Q213" s="51"/>
      <c r="R213" s="31"/>
    </row>
    <row r="214" spans="1:18" x14ac:dyDescent="0.2">
      <c r="A214" s="238"/>
      <c r="B214" s="90" t="s">
        <v>670</v>
      </c>
      <c r="C214" s="276">
        <f>TrialBalance!C214</f>
        <v>0</v>
      </c>
      <c r="D214" s="287"/>
      <c r="E214" s="272"/>
      <c r="F214" s="79">
        <f t="shared" si="39"/>
        <v>0</v>
      </c>
      <c r="G214" s="47">
        <f>SUMIF(JournalsA!D$14:D$920,TrialBalanceA!M214,JournalsA!J$14:J$920)+SUMIF(JournalsA!E$14:E$920,TrialBalanceA!M214,JournalsA!J$14:J$920)</f>
        <v>0</v>
      </c>
      <c r="H214" s="288"/>
      <c r="I214" s="255">
        <f t="shared" si="44"/>
        <v>0</v>
      </c>
      <c r="J214" s="75"/>
      <c r="K214" s="48">
        <f t="shared" si="45"/>
        <v>0</v>
      </c>
      <c r="M214" s="140" t="str">
        <f t="shared" si="46"/>
        <v>5550/0130</v>
      </c>
      <c r="N214" s="70"/>
      <c r="P214" s="71"/>
      <c r="Q214" s="51"/>
      <c r="R214" s="31"/>
    </row>
    <row r="215" spans="1:18" x14ac:dyDescent="0.2">
      <c r="A215" s="238"/>
      <c r="B215" s="90" t="s">
        <v>671</v>
      </c>
      <c r="C215" s="276">
        <f>TrialBalance!C215</f>
        <v>0</v>
      </c>
      <c r="D215" s="283"/>
      <c r="E215" s="272"/>
      <c r="F215" s="79">
        <f t="shared" si="39"/>
        <v>0</v>
      </c>
      <c r="G215" s="47">
        <f>SUMIF(JournalsA!D$14:D$920,TrialBalanceA!M215,JournalsA!J$14:J$920)+SUMIF(JournalsA!E$14:E$920,TrialBalanceA!M215,JournalsA!J$14:J$920)</f>
        <v>0</v>
      </c>
      <c r="H215" s="288"/>
      <c r="I215" s="255">
        <f t="shared" si="44"/>
        <v>0</v>
      </c>
      <c r="J215" s="75"/>
      <c r="K215" s="48">
        <f t="shared" si="45"/>
        <v>0</v>
      </c>
      <c r="M215" s="140" t="str">
        <f t="shared" si="46"/>
        <v>5550/0140</v>
      </c>
      <c r="N215" s="70"/>
      <c r="P215" s="71"/>
      <c r="Q215" s="51"/>
      <c r="R215" s="31"/>
    </row>
    <row r="216" spans="1:18" x14ac:dyDescent="0.2">
      <c r="A216" s="238"/>
      <c r="B216" s="90" t="s">
        <v>672</v>
      </c>
      <c r="C216" s="276">
        <f>TrialBalance!C216</f>
        <v>0</v>
      </c>
      <c r="D216" s="282"/>
      <c r="E216" s="272"/>
      <c r="F216" s="79">
        <f>K216</f>
        <v>0</v>
      </c>
      <c r="G216" s="47">
        <f>SUMIF(JournalsA!D$14:D$920,TrialBalanceA!M216,JournalsA!J$14:J$920)+SUMIF(JournalsA!E$14:E$920,TrialBalanceA!M216,JournalsA!J$14:J$920)</f>
        <v>0</v>
      </c>
      <c r="H216" s="288"/>
      <c r="I216" s="255">
        <f t="shared" si="44"/>
        <v>0</v>
      </c>
      <c r="J216" s="75"/>
      <c r="K216" s="48">
        <f t="shared" si="45"/>
        <v>0</v>
      </c>
      <c r="M216" s="140" t="str">
        <f t="shared" si="46"/>
        <v>5550/0150</v>
      </c>
      <c r="N216" s="70"/>
      <c r="P216" s="71"/>
      <c r="Q216" s="51"/>
      <c r="R216" s="31"/>
    </row>
    <row r="217" spans="1:18" x14ac:dyDescent="0.2">
      <c r="A217" s="238"/>
      <c r="B217" s="90" t="s">
        <v>673</v>
      </c>
      <c r="C217" s="276">
        <f>TrialBalance!C217</f>
        <v>0</v>
      </c>
      <c r="D217" s="272"/>
      <c r="E217" s="272"/>
      <c r="F217" s="79">
        <f>K217</f>
        <v>0</v>
      </c>
      <c r="G217" s="47">
        <f>SUMIF(JournalsA!D$14:D$920,TrialBalanceA!M217,JournalsA!J$14:J$920)+SUMIF(JournalsA!E$14:E$920,TrialBalanceA!M217,JournalsA!J$14:J$920)</f>
        <v>0</v>
      </c>
      <c r="H217" s="288"/>
      <c r="I217" s="255">
        <f t="shared" si="44"/>
        <v>0</v>
      </c>
      <c r="J217" s="75"/>
      <c r="K217" s="48">
        <f t="shared" si="45"/>
        <v>0</v>
      </c>
      <c r="M217" s="140" t="str">
        <f t="shared" si="46"/>
        <v>5550/0160</v>
      </c>
      <c r="N217" s="70"/>
      <c r="P217" s="71"/>
      <c r="Q217" s="51"/>
      <c r="R217" s="31"/>
    </row>
    <row r="218" spans="1:18" x14ac:dyDescent="0.2">
      <c r="A218" s="238"/>
      <c r="B218" s="90" t="s">
        <v>674</v>
      </c>
      <c r="C218" s="276">
        <f>TrialBalance!C218</f>
        <v>0</v>
      </c>
      <c r="D218" s="274"/>
      <c r="E218" s="272"/>
      <c r="F218" s="79">
        <f>K218</f>
        <v>0</v>
      </c>
      <c r="G218" s="47">
        <f>SUMIF(JournalsA!D$14:D$920,TrialBalanceA!M218,JournalsA!J$14:J$920)+SUMIF(JournalsA!E$14:E$920,TrialBalanceA!M218,JournalsA!J$14:J$920)</f>
        <v>0</v>
      </c>
      <c r="H218" s="288"/>
      <c r="I218" s="255">
        <f t="shared" si="44"/>
        <v>0</v>
      </c>
      <c r="J218" s="75"/>
      <c r="K218" s="48">
        <f t="shared" si="45"/>
        <v>0</v>
      </c>
      <c r="M218" s="140" t="str">
        <f t="shared" si="46"/>
        <v>5550/0170</v>
      </c>
      <c r="N218" s="70"/>
      <c r="P218" s="71"/>
      <c r="Q218" s="51"/>
      <c r="R218" s="31"/>
    </row>
    <row r="219" spans="1:18" x14ac:dyDescent="0.2">
      <c r="A219" s="238"/>
      <c r="B219" s="54" t="s">
        <v>145</v>
      </c>
      <c r="C219" s="240" t="s">
        <v>194</v>
      </c>
      <c r="D219" s="283"/>
      <c r="E219" s="272"/>
      <c r="F219" s="79"/>
      <c r="G219" s="47">
        <f>SUMIF(JournalsA!D$14:D$920,TrialBalanceA!M219,JournalsA!J$14:J$920)+SUMIF(JournalsA!E$14:E$920,TrialBalanceA!M219,JournalsA!J$14:J$920)</f>
        <v>0</v>
      </c>
      <c r="H219" s="288"/>
      <c r="I219" s="255">
        <f t="shared" si="44"/>
        <v>0</v>
      </c>
      <c r="J219" s="75"/>
      <c r="K219" s="48">
        <f t="shared" si="45"/>
        <v>0</v>
      </c>
      <c r="M219" s="140" t="str">
        <f t="shared" si="46"/>
        <v>5700/000DEFERRED TAX</v>
      </c>
      <c r="N219" s="70"/>
      <c r="P219" s="71"/>
      <c r="Q219" s="51"/>
      <c r="R219" s="31"/>
    </row>
    <row r="220" spans="1:18" x14ac:dyDescent="0.2">
      <c r="A220" s="238"/>
      <c r="B220" s="54" t="s">
        <v>146</v>
      </c>
      <c r="C220" s="242" t="s">
        <v>533</v>
      </c>
      <c r="D220" s="284"/>
      <c r="E220" s="272"/>
      <c r="F220" s="79">
        <f>K220+K222+K224+K226</f>
        <v>0</v>
      </c>
      <c r="G220" s="47">
        <f>SUMIF(JournalsA!D$14:D$920,TrialBalanceA!M220,JournalsA!J$14:J$920)+SUMIF(JournalsA!E$14:E$920,TrialBalanceA!M220,JournalsA!J$14:J$920)</f>
        <v>0</v>
      </c>
      <c r="H220" s="288"/>
      <c r="I220" s="255">
        <f t="shared" si="44"/>
        <v>0</v>
      </c>
      <c r="J220" s="75"/>
      <c r="K220" s="48">
        <f t="shared" si="45"/>
        <v>0</v>
      </c>
      <c r="M220" s="140" t="str">
        <f t="shared" si="46"/>
        <v>5700/010Deferred tax balance  depreciation b/fwd</v>
      </c>
      <c r="N220" s="70"/>
      <c r="P220" s="71"/>
      <c r="Q220" s="51"/>
      <c r="R220" s="31"/>
    </row>
    <row r="221" spans="1:18" x14ac:dyDescent="0.2">
      <c r="A221" s="238"/>
      <c r="B221" s="90" t="s">
        <v>635</v>
      </c>
      <c r="C221" s="242" t="s">
        <v>534</v>
      </c>
      <c r="D221" s="284"/>
      <c r="E221" s="272"/>
      <c r="F221" s="79">
        <f>K221+K223+K225+K227</f>
        <v>0</v>
      </c>
      <c r="G221" s="47">
        <f>SUMIF(JournalsA!D$14:D$920,TrialBalanceA!M221,JournalsA!J$14:J$920)+SUMIF(JournalsA!E$14:E$920,TrialBalanceA!M221,JournalsA!J$14:J$920)</f>
        <v>0</v>
      </c>
      <c r="H221" s="288"/>
      <c r="I221" s="255">
        <f t="shared" si="44"/>
        <v>0</v>
      </c>
      <c r="J221" s="75"/>
      <c r="K221" s="48">
        <f t="shared" si="45"/>
        <v>0</v>
      </c>
      <c r="M221" s="140" t="str">
        <f t="shared" si="46"/>
        <v>5700/020Deferred tax balance  tax loss b/fwd</v>
      </c>
      <c r="N221" s="70"/>
      <c r="P221" s="71"/>
      <c r="Q221" s="51"/>
      <c r="R221" s="31"/>
    </row>
    <row r="222" spans="1:18" x14ac:dyDescent="0.2">
      <c r="A222" s="238"/>
      <c r="B222" s="90" t="s">
        <v>1096</v>
      </c>
      <c r="C222" s="242" t="s">
        <v>1097</v>
      </c>
      <c r="D222" s="284"/>
      <c r="E222" s="272"/>
      <c r="F222" s="79"/>
      <c r="G222" s="47">
        <f>SUMIF(JournalsA!D$14:D$920,TrialBalanceA!M222,JournalsA!J$14:J$920)+SUMIF(JournalsA!E$14:E$920,TrialBalanceA!M222,JournalsA!J$14:J$920)</f>
        <v>0</v>
      </c>
      <c r="H222" s="288"/>
      <c r="I222" s="255">
        <f t="shared" ref="I222:I223" si="47">ROUND(D222-E222+G222+F222,0)</f>
        <v>0</v>
      </c>
      <c r="J222" s="75"/>
      <c r="K222" s="48">
        <f t="shared" ref="K222:K223" si="48">ROUND(SUM(A222),0)</f>
        <v>0</v>
      </c>
      <c r="M222" s="140" t="str">
        <f t="shared" ref="M222:M223" si="49">CONCATENATE(B222,C222)</f>
        <v>5700/021Opening balance depreciation tax rate change</v>
      </c>
      <c r="N222" s="70"/>
      <c r="P222" s="71"/>
      <c r="Q222" s="51"/>
      <c r="R222" s="31"/>
    </row>
    <row r="223" spans="1:18" x14ac:dyDescent="0.2">
      <c r="A223" s="238"/>
      <c r="B223" s="90" t="s">
        <v>1098</v>
      </c>
      <c r="C223" s="242" t="s">
        <v>1099</v>
      </c>
      <c r="D223" s="284"/>
      <c r="E223" s="272"/>
      <c r="F223" s="79"/>
      <c r="G223" s="47">
        <f>SUMIF(JournalsA!D$14:D$920,TrialBalanceA!M223,JournalsA!J$14:J$920)+SUMIF(JournalsA!E$14:E$920,TrialBalanceA!M223,JournalsA!J$14:J$920)</f>
        <v>0</v>
      </c>
      <c r="H223" s="288"/>
      <c r="I223" s="255">
        <f t="shared" si="47"/>
        <v>0</v>
      </c>
      <c r="J223" s="75"/>
      <c r="K223" s="48">
        <f t="shared" si="48"/>
        <v>0</v>
      </c>
      <c r="M223" s="140" t="str">
        <f t="shared" si="49"/>
        <v>5700/022Opening balance tax loss tax rate change</v>
      </c>
      <c r="N223" s="70"/>
      <c r="P223" s="71"/>
      <c r="Q223" s="51"/>
      <c r="R223" s="31"/>
    </row>
    <row r="224" spans="1:18" x14ac:dyDescent="0.2">
      <c r="A224" s="238"/>
      <c r="B224" s="90" t="s">
        <v>636</v>
      </c>
      <c r="C224" s="240" t="s">
        <v>147</v>
      </c>
      <c r="D224" s="282"/>
      <c r="E224" s="272"/>
      <c r="F224" s="79"/>
      <c r="G224" s="47">
        <f>SUMIF(JournalsA!D$14:D$920,TrialBalanceA!M224,JournalsA!J$14:J$920)+SUMIF(JournalsA!E$14:E$920,TrialBalanceA!M224,JournalsA!J$14:J$920)</f>
        <v>0</v>
      </c>
      <c r="H224" s="288"/>
      <c r="I224" s="255">
        <f t="shared" si="44"/>
        <v>0</v>
      </c>
      <c r="J224" s="75"/>
      <c r="K224" s="48">
        <f t="shared" si="45"/>
        <v>0</v>
      </c>
      <c r="M224" s="140" t="str">
        <f t="shared" si="46"/>
        <v>5700/030Deferred tax on depreciation for year</v>
      </c>
      <c r="N224" s="70"/>
      <c r="P224" s="71"/>
      <c r="Q224" s="51"/>
      <c r="R224" s="31"/>
    </row>
    <row r="225" spans="1:18" x14ac:dyDescent="0.2">
      <c r="A225" s="238"/>
      <c r="B225" s="90" t="s">
        <v>637</v>
      </c>
      <c r="C225" s="240" t="s">
        <v>148</v>
      </c>
      <c r="D225" s="282"/>
      <c r="E225" s="272"/>
      <c r="F225" s="79"/>
      <c r="G225" s="47">
        <f>SUMIF(JournalsA!D$14:D$920,TrialBalanceA!M225,JournalsA!J$14:J$920)+SUMIF(JournalsA!E$14:E$920,TrialBalanceA!M225,JournalsA!J$14:J$920)</f>
        <v>0</v>
      </c>
      <c r="H225" s="288"/>
      <c r="I225" s="255">
        <f t="shared" si="44"/>
        <v>0</v>
      </c>
      <c r="J225" s="75"/>
      <c r="K225" s="48">
        <f t="shared" si="45"/>
        <v>0</v>
      </c>
      <c r="M225" s="140" t="str">
        <f t="shared" si="46"/>
        <v>5700/040Deferred tax on tax loss for year</v>
      </c>
      <c r="N225" s="70"/>
      <c r="P225" s="71"/>
      <c r="Q225" s="51"/>
      <c r="R225" s="31"/>
    </row>
    <row r="226" spans="1:18" x14ac:dyDescent="0.2">
      <c r="A226" s="238"/>
      <c r="B226" s="90" t="s">
        <v>638</v>
      </c>
      <c r="C226" s="242" t="s">
        <v>617</v>
      </c>
      <c r="D226" s="284"/>
      <c r="E226" s="272"/>
      <c r="F226" s="79"/>
      <c r="G226" s="47">
        <f>SUMIF(JournalsA!D$14:D$920,TrialBalanceA!M226,JournalsA!J$14:J$920)+SUMIF(JournalsA!E$14:E$920,TrialBalanceA!M226,JournalsA!J$14:J$920)</f>
        <v>0</v>
      </c>
      <c r="H226" s="288"/>
      <c r="I226" s="255">
        <f t="shared" si="44"/>
        <v>0</v>
      </c>
      <c r="J226" s="75"/>
      <c r="K226" s="48">
        <f t="shared" si="45"/>
        <v>0</v>
      </c>
      <c r="M226" s="140" t="str">
        <f t="shared" si="46"/>
        <v>5700/050Def tax adj  depreciation previous year</v>
      </c>
      <c r="N226" s="70"/>
      <c r="P226" s="71"/>
      <c r="Q226" s="51"/>
      <c r="R226" s="31"/>
    </row>
    <row r="227" spans="1:18" x14ac:dyDescent="0.2">
      <c r="A227" s="238"/>
      <c r="B227" s="90" t="s">
        <v>639</v>
      </c>
      <c r="C227" s="242" t="s">
        <v>618</v>
      </c>
      <c r="D227" s="284"/>
      <c r="E227" s="272"/>
      <c r="F227" s="79"/>
      <c r="G227" s="47">
        <f>SUMIF(JournalsA!D$14:D$920,TrialBalanceA!M227,JournalsA!J$14:J$920)+SUMIF(JournalsA!E$14:E$920,TrialBalanceA!M227,JournalsA!J$14:J$920)</f>
        <v>0</v>
      </c>
      <c r="H227" s="288"/>
      <c r="I227" s="255">
        <f t="shared" si="44"/>
        <v>0</v>
      </c>
      <c r="J227" s="75"/>
      <c r="K227" s="48">
        <f t="shared" si="45"/>
        <v>0</v>
      </c>
      <c r="M227" s="140" t="str">
        <f t="shared" si="46"/>
        <v>5700/060Def tax adj tax loss previous year</v>
      </c>
      <c r="N227" s="70"/>
      <c r="P227" s="71"/>
      <c r="Q227" s="51"/>
      <c r="R227" s="31"/>
    </row>
    <row r="228" spans="1:18" x14ac:dyDescent="0.2">
      <c r="A228" s="238"/>
      <c r="B228" s="54" t="s">
        <v>149</v>
      </c>
      <c r="C228" s="239" t="s">
        <v>1129</v>
      </c>
      <c r="D228" s="283"/>
      <c r="E228" s="272"/>
      <c r="F228" s="79"/>
      <c r="G228" s="47">
        <f>SUMIF(JournalsA!D$14:D$920,TrialBalanceA!M228,JournalsA!J$14:J$920)+SUMIF(JournalsA!E$14:E$920,TrialBalanceA!M228,JournalsA!J$14:J$920)</f>
        <v>0</v>
      </c>
      <c r="H228" s="288"/>
      <c r="I228" s="255">
        <f t="shared" si="44"/>
        <v>0</v>
      </c>
      <c r="J228" s="75"/>
      <c r="K228" s="48">
        <f t="shared" si="45"/>
        <v>0</v>
      </c>
      <c r="M228" s="140" t="str">
        <f t="shared" si="46"/>
        <v>6100/000PROPERTY - COST</v>
      </c>
      <c r="N228" s="70"/>
      <c r="P228" s="71"/>
      <c r="Q228" s="51"/>
      <c r="R228" s="31"/>
    </row>
    <row r="229" spans="1:18" x14ac:dyDescent="0.2">
      <c r="A229" s="238"/>
      <c r="B229" s="54" t="s">
        <v>150</v>
      </c>
      <c r="C229" s="242" t="s">
        <v>1124</v>
      </c>
      <c r="D229" s="282"/>
      <c r="E229" s="272"/>
      <c r="F229" s="79">
        <f>SUM(K229:K233)</f>
        <v>0</v>
      </c>
      <c r="G229" s="47">
        <f>SUMIF(JournalsA!D$14:D$920,TrialBalanceA!M229,JournalsA!J$14:J$920)+SUMIF(JournalsA!E$14:E$920,TrialBalanceA!M229,JournalsA!J$14:J$920)</f>
        <v>0</v>
      </c>
      <c r="H229" s="288"/>
      <c r="I229" s="255">
        <f t="shared" si="44"/>
        <v>0</v>
      </c>
      <c r="J229" s="75"/>
      <c r="K229" s="48">
        <f t="shared" si="45"/>
        <v>0</v>
      </c>
      <c r="M229" s="140" t="str">
        <f t="shared" si="46"/>
        <v>6100/001Property - cost b/fwd</v>
      </c>
      <c r="N229" s="70"/>
      <c r="P229" s="71"/>
      <c r="Q229" s="51"/>
      <c r="R229" s="31"/>
    </row>
    <row r="230" spans="1:18" x14ac:dyDescent="0.2">
      <c r="A230" s="238"/>
      <c r="B230" s="54" t="s">
        <v>151</v>
      </c>
      <c r="C230" s="242" t="s">
        <v>1125</v>
      </c>
      <c r="D230" s="282"/>
      <c r="E230" s="272"/>
      <c r="F230" s="79"/>
      <c r="G230" s="47">
        <f>SUMIF(JournalsA!D$14:D$920,TrialBalanceA!M230,JournalsA!J$14:J$920)+SUMIF(JournalsA!E$14:E$920,TrialBalanceA!M230,JournalsA!J$14:J$920)</f>
        <v>0</v>
      </c>
      <c r="H230" s="288"/>
      <c r="I230" s="255">
        <f t="shared" si="44"/>
        <v>0</v>
      </c>
      <c r="J230" s="75"/>
      <c r="K230" s="48">
        <f t="shared" si="45"/>
        <v>0</v>
      </c>
      <c r="M230" s="140" t="str">
        <f t="shared" si="46"/>
        <v>6100/002Property - additions</v>
      </c>
      <c r="N230" s="70"/>
      <c r="P230" s="71"/>
      <c r="Q230" s="51"/>
      <c r="R230" s="31"/>
    </row>
    <row r="231" spans="1:18" x14ac:dyDescent="0.2">
      <c r="A231" s="238"/>
      <c r="B231" s="54" t="s">
        <v>152</v>
      </c>
      <c r="C231" s="242" t="s">
        <v>1126</v>
      </c>
      <c r="D231" s="282"/>
      <c r="E231" s="272"/>
      <c r="F231" s="79"/>
      <c r="G231" s="47">
        <f>SUMIF(JournalsA!D$14:D$920,TrialBalanceA!M231,JournalsA!J$14:J$920)+SUMIF(JournalsA!E$14:E$920,TrialBalanceA!M231,JournalsA!J$14:J$920)</f>
        <v>0</v>
      </c>
      <c r="H231" s="288"/>
      <c r="I231" s="255">
        <f t="shared" si="44"/>
        <v>0</v>
      </c>
      <c r="J231" s="75"/>
      <c r="K231" s="48">
        <f t="shared" si="45"/>
        <v>0</v>
      </c>
      <c r="M231" s="140" t="str">
        <f t="shared" si="46"/>
        <v>6100/003Property - cost of sales</v>
      </c>
      <c r="N231" s="70"/>
      <c r="P231" s="71"/>
      <c r="Q231" s="51"/>
      <c r="R231" s="31"/>
    </row>
    <row r="232" spans="1:18" x14ac:dyDescent="0.2">
      <c r="A232" s="238"/>
      <c r="B232" s="90" t="s">
        <v>994</v>
      </c>
      <c r="C232" s="242" t="s">
        <v>1127</v>
      </c>
      <c r="D232" s="282"/>
      <c r="E232" s="272"/>
      <c r="F232" s="79"/>
      <c r="G232" s="47">
        <f>SUMIF(JournalsA!D$14:D$920,TrialBalanceA!M232,JournalsA!J$14:J$920)+SUMIF(JournalsA!E$14:E$920,TrialBalanceA!M232,JournalsA!J$14:J$920)</f>
        <v>0</v>
      </c>
      <c r="H232" s="288"/>
      <c r="I232" s="255">
        <f t="shared" ref="I232" si="50">ROUND(D232-E232+G232+F232,0)</f>
        <v>0</v>
      </c>
      <c r="J232" s="75"/>
      <c r="K232" s="48">
        <f t="shared" ref="K232" si="51">ROUND(SUM(A232),0)</f>
        <v>0</v>
      </c>
      <c r="M232" s="140" t="str">
        <f t="shared" ref="M232" si="52">CONCATENATE(B232,C232)</f>
        <v>6100/004Property - transfer to investment property</v>
      </c>
      <c r="N232" s="70"/>
      <c r="P232" s="71"/>
      <c r="Q232" s="51"/>
      <c r="R232" s="31"/>
    </row>
    <row r="233" spans="1:18" x14ac:dyDescent="0.2">
      <c r="A233" s="238"/>
      <c r="B233" s="90" t="s">
        <v>1082</v>
      </c>
      <c r="C233" s="242" t="s">
        <v>1128</v>
      </c>
      <c r="D233" s="282"/>
      <c r="E233" s="272"/>
      <c r="F233" s="79"/>
      <c r="G233" s="47">
        <f>SUMIF(JournalsA!D$14:D$920,TrialBalanceA!M233,JournalsA!J$14:J$920)+SUMIF(JournalsA!E$14:E$920,TrialBalanceA!M233,JournalsA!J$14:J$920)</f>
        <v>0</v>
      </c>
      <c r="H233" s="288"/>
      <c r="I233" s="255">
        <f t="shared" ref="I233" si="53">ROUND(D233-E233+G233+F233,0)</f>
        <v>0</v>
      </c>
      <c r="J233" s="75"/>
      <c r="K233" s="48">
        <f t="shared" ref="K233" si="54">ROUND(SUM(A233),0)</f>
        <v>0</v>
      </c>
      <c r="M233" s="140" t="str">
        <f t="shared" ref="M233" si="55">CONCATENATE(B233,C233)</f>
        <v>6100/005Property - transfer from investment property</v>
      </c>
      <c r="N233" s="70"/>
      <c r="P233" s="71"/>
      <c r="Q233" s="51"/>
      <c r="R233" s="31"/>
    </row>
    <row r="234" spans="1:18" x14ac:dyDescent="0.2">
      <c r="A234" s="238"/>
      <c r="B234" s="54" t="s">
        <v>284</v>
      </c>
      <c r="C234" s="239" t="s">
        <v>1130</v>
      </c>
      <c r="D234" s="283"/>
      <c r="E234" s="272"/>
      <c r="F234" s="79"/>
      <c r="G234" s="47">
        <f>SUMIF(JournalsA!D$14:D$920,TrialBalanceA!M234,JournalsA!J$14:J$920)+SUMIF(JournalsA!E$14:E$920,TrialBalanceA!M234,JournalsA!J$14:J$920)</f>
        <v>0</v>
      </c>
      <c r="H234" s="288"/>
      <c r="I234" s="255">
        <f t="shared" si="44"/>
        <v>0</v>
      </c>
      <c r="J234" s="75"/>
      <c r="K234" s="48">
        <f t="shared" si="45"/>
        <v>0</v>
      </c>
      <c r="M234" s="140" t="str">
        <f t="shared" si="46"/>
        <v>6100/020PROPERTY - ACC DEPR</v>
      </c>
      <c r="N234" s="70"/>
      <c r="P234" s="71"/>
      <c r="Q234" s="51"/>
      <c r="R234" s="31"/>
    </row>
    <row r="235" spans="1:18" x14ac:dyDescent="0.2">
      <c r="A235" s="238"/>
      <c r="B235" s="54" t="s">
        <v>285</v>
      </c>
      <c r="C235" s="242" t="s">
        <v>1131</v>
      </c>
      <c r="D235" s="282"/>
      <c r="E235" s="272"/>
      <c r="F235" s="79">
        <f>SUM(K235:K238)</f>
        <v>0</v>
      </c>
      <c r="G235" s="47">
        <f>SUMIF(JournalsA!D$14:D$920,TrialBalanceA!M235,JournalsA!J$14:J$920)+SUMIF(JournalsA!E$14:E$920,TrialBalanceA!M235,JournalsA!J$14:J$920)</f>
        <v>0</v>
      </c>
      <c r="H235" s="288"/>
      <c r="I235" s="255">
        <f t="shared" si="44"/>
        <v>0</v>
      </c>
      <c r="J235" s="75"/>
      <c r="K235" s="48">
        <f t="shared" si="45"/>
        <v>0</v>
      </c>
      <c r="M235" s="140" t="str">
        <f t="shared" si="46"/>
        <v>6100/021Property - acc depr b/fwd</v>
      </c>
      <c r="N235" s="70"/>
      <c r="P235" s="71"/>
      <c r="Q235" s="51"/>
      <c r="R235" s="31"/>
    </row>
    <row r="236" spans="1:18" x14ac:dyDescent="0.2">
      <c r="A236" s="238"/>
      <c r="B236" s="54" t="s">
        <v>286</v>
      </c>
      <c r="C236" s="242" t="s">
        <v>1132</v>
      </c>
      <c r="D236" s="282"/>
      <c r="E236" s="272"/>
      <c r="F236" s="79"/>
      <c r="G236" s="47">
        <f>SUMIF(JournalsA!D$14:D$920,TrialBalanceA!M236,JournalsA!J$14:J$920)+SUMIF(JournalsA!E$14:E$920,TrialBalanceA!M236,JournalsA!J$14:J$920)</f>
        <v>0</v>
      </c>
      <c r="H236" s="288"/>
      <c r="I236" s="255">
        <f t="shared" si="44"/>
        <v>0</v>
      </c>
      <c r="J236" s="75"/>
      <c r="K236" s="48">
        <f t="shared" si="45"/>
        <v>0</v>
      </c>
      <c r="M236" s="140" t="str">
        <f t="shared" si="46"/>
        <v>6100/022Property - depr this year</v>
      </c>
      <c r="N236" s="70"/>
      <c r="P236" s="71"/>
      <c r="Q236" s="51"/>
      <c r="R236" s="31"/>
    </row>
    <row r="237" spans="1:18" x14ac:dyDescent="0.2">
      <c r="A237" s="238"/>
      <c r="B237" s="54" t="s">
        <v>288</v>
      </c>
      <c r="C237" s="242" t="s">
        <v>1133</v>
      </c>
      <c r="D237" s="282"/>
      <c r="E237" s="272"/>
      <c r="F237" s="79"/>
      <c r="G237" s="47">
        <f>SUMIF(JournalsA!D$14:D$920,TrialBalanceA!M237,JournalsA!J$14:J$920)+SUMIF(JournalsA!E$14:E$920,TrialBalanceA!M237,JournalsA!J$14:J$920)</f>
        <v>0</v>
      </c>
      <c r="H237" s="288"/>
      <c r="I237" s="255">
        <f t="shared" si="44"/>
        <v>0</v>
      </c>
      <c r="J237" s="75"/>
      <c r="K237" s="48">
        <f t="shared" si="45"/>
        <v>0</v>
      </c>
      <c r="M237" s="140" t="str">
        <f t="shared" si="46"/>
        <v>6100/023Property - acc depr on sales</v>
      </c>
      <c r="N237" s="70"/>
      <c r="P237" s="71"/>
      <c r="Q237" s="51"/>
      <c r="R237" s="31"/>
    </row>
    <row r="238" spans="1:18" x14ac:dyDescent="0.2">
      <c r="A238" s="238"/>
      <c r="B238" s="90" t="s">
        <v>1072</v>
      </c>
      <c r="C238" s="242" t="s">
        <v>1134</v>
      </c>
      <c r="D238" s="282"/>
      <c r="E238" s="272"/>
      <c r="F238" s="79"/>
      <c r="G238" s="47">
        <f>SUMIF(JournalsA!D$14:D$920,TrialBalanceA!M238,JournalsA!J$14:J$920)+SUMIF(JournalsA!E$14:E$920,TrialBalanceA!M238,JournalsA!J$14:J$920)</f>
        <v>0</v>
      </c>
      <c r="H238" s="288"/>
      <c r="I238" s="255">
        <f t="shared" ref="I238" si="56">ROUND(D238-E238+G238+F238,0)</f>
        <v>0</v>
      </c>
      <c r="J238" s="75"/>
      <c r="K238" s="48">
        <f t="shared" ref="K238" si="57">ROUND(SUM(A238),0)</f>
        <v>0</v>
      </c>
      <c r="M238" s="140" t="str">
        <f t="shared" ref="M238" si="58">CONCATENATE(B238,C238)</f>
        <v>6100/024Property - recoupment of depr</v>
      </c>
      <c r="N238" s="70"/>
      <c r="P238" s="71"/>
      <c r="Q238" s="51"/>
      <c r="R238" s="31"/>
    </row>
    <row r="239" spans="1:18" x14ac:dyDescent="0.2">
      <c r="A239" s="238"/>
      <c r="B239" s="90" t="s">
        <v>696</v>
      </c>
      <c r="C239" s="239" t="s">
        <v>989</v>
      </c>
      <c r="D239" s="282"/>
      <c r="E239" s="272"/>
      <c r="F239" s="79"/>
      <c r="G239" s="47">
        <f>SUMIF(JournalsA!D$14:D$920,TrialBalanceA!M239,JournalsA!J$14:J$920)+SUMIF(JournalsA!E$14:E$920,TrialBalanceA!M239,JournalsA!J$14:J$920)</f>
        <v>0</v>
      </c>
      <c r="H239" s="288"/>
      <c r="I239" s="255">
        <f t="shared" ref="I239:I243" si="59">ROUND(D239-E239+G239+F239,0)</f>
        <v>0</v>
      </c>
      <c r="J239" s="75"/>
      <c r="K239" s="48">
        <f t="shared" ref="K239:K243" si="60">ROUND(SUM(A239),0)</f>
        <v>0</v>
      </c>
      <c r="M239" s="140" t="str">
        <f t="shared" ref="M239:M243" si="61">CONCATENATE(B239,C239)</f>
        <v>6100/030INVESTMENT PROPERTY - COST</v>
      </c>
      <c r="N239" s="70"/>
      <c r="P239" s="71"/>
      <c r="Q239" s="51"/>
      <c r="R239" s="31"/>
    </row>
    <row r="240" spans="1:18" x14ac:dyDescent="0.2">
      <c r="A240" s="238"/>
      <c r="B240" s="90" t="s">
        <v>697</v>
      </c>
      <c r="C240" s="242" t="s">
        <v>990</v>
      </c>
      <c r="D240" s="282"/>
      <c r="E240" s="272"/>
      <c r="F240" s="79">
        <f>SUM(K240:K244)</f>
        <v>0</v>
      </c>
      <c r="G240" s="47">
        <f>SUMIF(JournalsA!D$14:D$920,TrialBalanceA!M240,JournalsA!J$14:J$920)+SUMIF(JournalsA!E$14:E$920,TrialBalanceA!M240,JournalsA!J$14:J$920)</f>
        <v>0</v>
      </c>
      <c r="H240" s="288"/>
      <c r="I240" s="255">
        <f t="shared" si="59"/>
        <v>0</v>
      </c>
      <c r="J240" s="75"/>
      <c r="K240" s="48">
        <f t="shared" si="60"/>
        <v>0</v>
      </c>
      <c r="M240" s="140" t="str">
        <f t="shared" si="61"/>
        <v>6100/031Investment property - cost b/fwd</v>
      </c>
      <c r="N240" s="70"/>
      <c r="P240" s="71"/>
      <c r="Q240" s="51"/>
      <c r="R240" s="31"/>
    </row>
    <row r="241" spans="1:18" x14ac:dyDescent="0.2">
      <c r="A241" s="238"/>
      <c r="B241" s="90" t="s">
        <v>698</v>
      </c>
      <c r="C241" s="242" t="s">
        <v>991</v>
      </c>
      <c r="D241" s="282"/>
      <c r="E241" s="272"/>
      <c r="F241" s="79"/>
      <c r="G241" s="47">
        <f>SUMIF(JournalsA!D$14:D$920,TrialBalanceA!M241,JournalsA!J$14:J$920)+SUMIF(JournalsA!E$14:E$920,TrialBalanceA!M241,JournalsA!J$14:J$920)</f>
        <v>0</v>
      </c>
      <c r="H241" s="288"/>
      <c r="I241" s="255">
        <f t="shared" si="59"/>
        <v>0</v>
      </c>
      <c r="J241" s="75"/>
      <c r="K241" s="48">
        <f t="shared" si="60"/>
        <v>0</v>
      </c>
      <c r="M241" s="140" t="str">
        <f t="shared" si="61"/>
        <v>6100/032Investment property - additions</v>
      </c>
      <c r="N241" s="70"/>
      <c r="P241" s="71"/>
      <c r="Q241" s="51"/>
      <c r="R241" s="31"/>
    </row>
    <row r="242" spans="1:18" x14ac:dyDescent="0.2">
      <c r="A242" s="238"/>
      <c r="B242" s="90" t="s">
        <v>699</v>
      </c>
      <c r="C242" s="242" t="s">
        <v>992</v>
      </c>
      <c r="D242" s="282"/>
      <c r="E242" s="272"/>
      <c r="F242" s="79"/>
      <c r="G242" s="47">
        <f>SUMIF(JournalsA!D$14:D$920,TrialBalanceA!M242,JournalsA!J$14:J$920)+SUMIF(JournalsA!E$14:E$920,TrialBalanceA!M242,JournalsA!J$14:J$920)</f>
        <v>0</v>
      </c>
      <c r="H242" s="288"/>
      <c r="I242" s="255">
        <f t="shared" si="59"/>
        <v>0</v>
      </c>
      <c r="J242" s="75"/>
      <c r="K242" s="48">
        <f t="shared" si="60"/>
        <v>0</v>
      </c>
      <c r="M242" s="140" t="str">
        <f t="shared" si="61"/>
        <v>6100/033Investment property - cost of sales</v>
      </c>
      <c r="N242" s="70"/>
      <c r="P242" s="71"/>
      <c r="Q242" s="51"/>
      <c r="R242" s="31"/>
    </row>
    <row r="243" spans="1:18" x14ac:dyDescent="0.2">
      <c r="A243" s="238"/>
      <c r="B243" s="90" t="s">
        <v>1064</v>
      </c>
      <c r="C243" s="242" t="s">
        <v>993</v>
      </c>
      <c r="D243" s="282"/>
      <c r="E243" s="272"/>
      <c r="F243" s="79"/>
      <c r="G243" s="47">
        <f>SUMIF(JournalsA!D$14:D$920,TrialBalanceA!M243,JournalsA!J$14:J$920)+SUMIF(JournalsA!E$14:E$920,TrialBalanceA!M243,JournalsA!J$14:J$920)</f>
        <v>0</v>
      </c>
      <c r="H243" s="288"/>
      <c r="I243" s="255">
        <f t="shared" si="59"/>
        <v>0</v>
      </c>
      <c r="J243" s="75"/>
      <c r="K243" s="48">
        <f t="shared" si="60"/>
        <v>0</v>
      </c>
      <c r="M243" s="140" t="str">
        <f t="shared" si="61"/>
        <v>6100/034Investment property - transfer from property</v>
      </c>
      <c r="N243" s="70"/>
      <c r="P243" s="71"/>
      <c r="Q243" s="51"/>
      <c r="R243" s="31"/>
    </row>
    <row r="244" spans="1:18" x14ac:dyDescent="0.2">
      <c r="A244" s="238"/>
      <c r="B244" s="90" t="s">
        <v>1083</v>
      </c>
      <c r="C244" s="242" t="s">
        <v>1084</v>
      </c>
      <c r="D244" s="282"/>
      <c r="E244" s="272"/>
      <c r="F244" s="79"/>
      <c r="G244" s="47">
        <f>SUMIF(JournalsA!D$14:D$920,TrialBalanceA!M244,JournalsA!J$14:J$920)+SUMIF(JournalsA!E$14:E$920,TrialBalanceA!M244,JournalsA!J$14:J$920)</f>
        <v>0</v>
      </c>
      <c r="H244" s="288"/>
      <c r="I244" s="255">
        <f t="shared" ref="I244" si="62">ROUND(D244-E244+G244+F244,0)</f>
        <v>0</v>
      </c>
      <c r="J244" s="75"/>
      <c r="K244" s="48">
        <f t="shared" ref="K244" si="63">ROUND(SUM(A244),0)</f>
        <v>0</v>
      </c>
      <c r="M244" s="140" t="str">
        <f t="shared" ref="M244" si="64">CONCATENATE(B244,C244)</f>
        <v>6100/035Investment property - transfer to property</v>
      </c>
      <c r="N244" s="70"/>
      <c r="P244" s="71"/>
      <c r="Q244" s="51"/>
      <c r="R244" s="31"/>
    </row>
    <row r="245" spans="1:18" x14ac:dyDescent="0.2">
      <c r="A245" s="238"/>
      <c r="B245" s="90" t="s">
        <v>1065</v>
      </c>
      <c r="C245" s="239" t="s">
        <v>1069</v>
      </c>
      <c r="D245" s="282"/>
      <c r="E245" s="272"/>
      <c r="F245" s="79"/>
      <c r="G245" s="47">
        <f>SUMIF(JournalsA!D$14:D$920,TrialBalanceA!M245,JournalsA!J$14:J$920)+SUMIF(JournalsA!E$14:E$920,TrialBalanceA!M245,JournalsA!J$14:J$920)</f>
        <v>0</v>
      </c>
      <c r="H245" s="288"/>
      <c r="I245" s="255">
        <f t="shared" ref="I245:I249" si="65">ROUND(D245-E245+G245+F245,0)</f>
        <v>0</v>
      </c>
      <c r="J245" s="75"/>
      <c r="K245" s="48">
        <f t="shared" ref="K245:K249" si="66">ROUND(SUM(A245),0)</f>
        <v>0</v>
      </c>
      <c r="M245" s="140" t="str">
        <f t="shared" ref="M245:M249" si="67">CONCATENATE(B245,C245)</f>
        <v>6100/040INVESTMENT PROPERTY - VALUATION</v>
      </c>
      <c r="N245" s="70"/>
      <c r="P245" s="71"/>
      <c r="Q245" s="51"/>
      <c r="R245" s="31"/>
    </row>
    <row r="246" spans="1:18" x14ac:dyDescent="0.2">
      <c r="A246" s="238"/>
      <c r="B246" s="90" t="s">
        <v>1066</v>
      </c>
      <c r="C246" s="242" t="s">
        <v>1070</v>
      </c>
      <c r="D246" s="282"/>
      <c r="E246" s="272"/>
      <c r="F246" s="79">
        <f>SUM(K246:K249)</f>
        <v>0</v>
      </c>
      <c r="G246" s="47">
        <f>SUMIF(JournalsA!D$14:D$920,TrialBalanceA!M246,JournalsA!J$14:J$920)+SUMIF(JournalsA!E$14:E$920,TrialBalanceA!M246,JournalsA!J$14:J$920)</f>
        <v>0</v>
      </c>
      <c r="H246" s="288"/>
      <c r="I246" s="255">
        <f t="shared" si="65"/>
        <v>0</v>
      </c>
      <c r="J246" s="75"/>
      <c r="K246" s="48">
        <f t="shared" si="66"/>
        <v>0</v>
      </c>
      <c r="M246" s="140" t="str">
        <f t="shared" si="67"/>
        <v>6100/041Investment property - valuation b/fwd</v>
      </c>
      <c r="N246" s="70"/>
      <c r="P246" s="71"/>
      <c r="Q246" s="51"/>
      <c r="R246" s="31"/>
    </row>
    <row r="247" spans="1:18" x14ac:dyDescent="0.2">
      <c r="A247" s="238"/>
      <c r="B247" s="90" t="s">
        <v>1067</v>
      </c>
      <c r="C247" s="242" t="s">
        <v>1071</v>
      </c>
      <c r="D247" s="282"/>
      <c r="E247" s="272"/>
      <c r="F247" s="79"/>
      <c r="G247" s="47">
        <f>SUMIF(JournalsA!D$14:D$920,TrialBalanceA!M247,JournalsA!J$14:J$920)+SUMIF(JournalsA!E$14:E$920,TrialBalanceA!M247,JournalsA!J$14:J$920)</f>
        <v>0</v>
      </c>
      <c r="H247" s="288"/>
      <c r="I247" s="255">
        <f t="shared" si="65"/>
        <v>0</v>
      </c>
      <c r="J247" s="75"/>
      <c r="K247" s="48">
        <f t="shared" si="66"/>
        <v>0</v>
      </c>
      <c r="M247" s="140" t="str">
        <f t="shared" si="67"/>
        <v>6100/042Investment property - valuation additions</v>
      </c>
      <c r="N247" s="70"/>
      <c r="P247" s="71"/>
      <c r="Q247" s="51"/>
      <c r="R247" s="31"/>
    </row>
    <row r="248" spans="1:18" x14ac:dyDescent="0.2">
      <c r="A248" s="238"/>
      <c r="B248" s="90" t="s">
        <v>1068</v>
      </c>
      <c r="C248" s="242" t="s">
        <v>1086</v>
      </c>
      <c r="D248" s="282"/>
      <c r="E248" s="272"/>
      <c r="F248" s="79"/>
      <c r="G248" s="47">
        <f>SUMIF(JournalsA!D$14:D$920,TrialBalanceA!M248,JournalsA!J$14:J$920)+SUMIF(JournalsA!E$14:E$920,TrialBalanceA!M248,JournalsA!J$14:J$920)</f>
        <v>0</v>
      </c>
      <c r="H248" s="288"/>
      <c r="I248" s="255">
        <f t="shared" ref="I248" si="68">ROUND(D248-E248+G248+F248,0)</f>
        <v>0</v>
      </c>
      <c r="J248" s="75"/>
      <c r="K248" s="48">
        <f t="shared" ref="K248" si="69">ROUND(SUM(A248),0)</f>
        <v>0</v>
      </c>
      <c r="M248" s="140" t="str">
        <f t="shared" ref="M248" si="70">CONCATENATE(B248,C248)</f>
        <v>6100/043Investment property - valuation reduction on sales</v>
      </c>
      <c r="N248" s="70"/>
      <c r="P248" s="71"/>
      <c r="Q248" s="51"/>
      <c r="R248" s="31"/>
    </row>
    <row r="249" spans="1:18" x14ac:dyDescent="0.2">
      <c r="A249" s="238"/>
      <c r="B249" s="90" t="s">
        <v>1087</v>
      </c>
      <c r="C249" s="242" t="s">
        <v>1088</v>
      </c>
      <c r="D249" s="282"/>
      <c r="E249" s="272"/>
      <c r="F249" s="79"/>
      <c r="G249" s="47">
        <f>SUMIF(JournalsA!D$14:D$920,TrialBalanceA!M249,JournalsA!J$14:J$920)+SUMIF(JournalsA!E$14:E$920,TrialBalanceA!M249,JournalsA!J$14:J$920)</f>
        <v>0</v>
      </c>
      <c r="H249" s="288"/>
      <c r="I249" s="255">
        <f t="shared" si="65"/>
        <v>0</v>
      </c>
      <c r="J249" s="75"/>
      <c r="K249" s="48">
        <f t="shared" si="66"/>
        <v>0</v>
      </c>
      <c r="M249" s="140" t="str">
        <f t="shared" si="67"/>
        <v>6100/044Investment property - valuation reduction on transfers</v>
      </c>
      <c r="N249" s="70"/>
      <c r="P249" s="71"/>
      <c r="Q249" s="51"/>
      <c r="R249" s="31"/>
    </row>
    <row r="250" spans="1:18" x14ac:dyDescent="0.2">
      <c r="A250" s="238"/>
      <c r="B250" s="54" t="s">
        <v>289</v>
      </c>
      <c r="C250" s="239" t="s">
        <v>775</v>
      </c>
      <c r="D250" s="283"/>
      <c r="E250" s="272"/>
      <c r="F250" s="79"/>
      <c r="G250" s="47">
        <f>SUMIF(JournalsA!D$14:D$920,TrialBalanceA!M250,JournalsA!J$14:J$920)+SUMIF(JournalsA!E$14:E$920,TrialBalanceA!M250,JournalsA!J$14:J$920)</f>
        <v>0</v>
      </c>
      <c r="H250" s="288"/>
      <c r="I250" s="255">
        <f t="shared" si="44"/>
        <v>0</v>
      </c>
      <c r="J250" s="75"/>
      <c r="K250" s="48">
        <f t="shared" si="45"/>
        <v>0</v>
      </c>
      <c r="M250" s="140" t="str">
        <f t="shared" si="46"/>
        <v>6150/000PLANT AND MACHINERY - COST</v>
      </c>
      <c r="N250" s="70"/>
      <c r="P250" s="71"/>
      <c r="Q250" s="51"/>
      <c r="R250" s="31"/>
    </row>
    <row r="251" spans="1:18" x14ac:dyDescent="0.2">
      <c r="A251" s="238"/>
      <c r="B251" s="54" t="s">
        <v>41</v>
      </c>
      <c r="C251" s="242" t="s">
        <v>776</v>
      </c>
      <c r="D251" s="282"/>
      <c r="E251" s="272"/>
      <c r="F251" s="79">
        <f>SUM(K251:K253)</f>
        <v>0</v>
      </c>
      <c r="G251" s="47">
        <f>SUMIF(JournalsA!D$14:D$920,TrialBalanceA!M251,JournalsA!J$14:J$920)+SUMIF(JournalsA!E$14:E$920,TrialBalanceA!M251,JournalsA!J$14:J$920)</f>
        <v>0</v>
      </c>
      <c r="H251" s="288"/>
      <c r="I251" s="255">
        <f t="shared" si="44"/>
        <v>0</v>
      </c>
      <c r="J251" s="75"/>
      <c r="K251" s="48">
        <f t="shared" si="45"/>
        <v>0</v>
      </c>
      <c r="M251" s="140" t="str">
        <f t="shared" si="46"/>
        <v>6150/001Plant and machinery - cost b/fwd</v>
      </c>
      <c r="N251" s="70"/>
      <c r="P251" s="71"/>
      <c r="Q251" s="51"/>
      <c r="R251" s="31"/>
    </row>
    <row r="252" spans="1:18" x14ac:dyDescent="0.2">
      <c r="A252" s="238"/>
      <c r="B252" s="54" t="s">
        <v>42</v>
      </c>
      <c r="C252" s="242" t="s">
        <v>777</v>
      </c>
      <c r="D252" s="282"/>
      <c r="E252" s="272"/>
      <c r="F252" s="79"/>
      <c r="G252" s="47">
        <f>SUMIF(JournalsA!D$14:D$920,TrialBalanceA!M252,JournalsA!J$14:J$920)+SUMIF(JournalsA!E$14:E$920,TrialBalanceA!M252,JournalsA!J$14:J$920)</f>
        <v>0</v>
      </c>
      <c r="H252" s="288"/>
      <c r="I252" s="255">
        <f t="shared" si="44"/>
        <v>0</v>
      </c>
      <c r="J252" s="75"/>
      <c r="K252" s="48">
        <f t="shared" si="45"/>
        <v>0</v>
      </c>
      <c r="M252" s="140" t="str">
        <f t="shared" si="46"/>
        <v>6150/002Plant and machinery - additions</v>
      </c>
      <c r="N252" s="70"/>
      <c r="P252" s="71"/>
      <c r="Q252" s="51"/>
      <c r="R252" s="31"/>
    </row>
    <row r="253" spans="1:18" x14ac:dyDescent="0.2">
      <c r="A253" s="238"/>
      <c r="B253" s="54" t="s">
        <v>43</v>
      </c>
      <c r="C253" s="242" t="s">
        <v>778</v>
      </c>
      <c r="D253" s="282"/>
      <c r="E253" s="272"/>
      <c r="F253" s="79"/>
      <c r="G253" s="47">
        <f>SUMIF(JournalsA!D$14:D$920,TrialBalanceA!M253,JournalsA!J$14:J$920)+SUMIF(JournalsA!E$14:E$920,TrialBalanceA!M253,JournalsA!J$14:J$920)</f>
        <v>0</v>
      </c>
      <c r="H253" s="288"/>
      <c r="I253" s="255">
        <f t="shared" ref="I253:I282" si="71">ROUND(D253-E253+G253+F253,0)</f>
        <v>0</v>
      </c>
      <c r="J253" s="75"/>
      <c r="K253" s="48">
        <f t="shared" si="45"/>
        <v>0</v>
      </c>
      <c r="M253" s="140" t="str">
        <f t="shared" si="46"/>
        <v>6150/003Plant and machinery - cost of sales</v>
      </c>
      <c r="N253" s="70"/>
      <c r="P253" s="71"/>
      <c r="Q253" s="51"/>
      <c r="R253" s="31"/>
    </row>
    <row r="254" spans="1:18" x14ac:dyDescent="0.2">
      <c r="A254" s="238"/>
      <c r="B254" s="54" t="s">
        <v>18</v>
      </c>
      <c r="C254" s="239" t="s">
        <v>779</v>
      </c>
      <c r="D254" s="283"/>
      <c r="E254" s="272"/>
      <c r="F254" s="79"/>
      <c r="G254" s="47">
        <f>SUMIF(JournalsA!D$14:D$920,TrialBalanceA!M254,JournalsA!J$14:J$920)+SUMIF(JournalsA!E$14:E$920,TrialBalanceA!M254,JournalsA!J$14:J$920)</f>
        <v>0</v>
      </c>
      <c r="H254" s="288"/>
      <c r="I254" s="255">
        <f t="shared" si="71"/>
        <v>0</v>
      </c>
      <c r="J254" s="75"/>
      <c r="K254" s="48">
        <f t="shared" si="45"/>
        <v>0</v>
      </c>
      <c r="M254" s="140" t="str">
        <f t="shared" si="46"/>
        <v>6150/020PLANT AND MACHINERY - ACC DEPR</v>
      </c>
      <c r="N254" s="70"/>
      <c r="P254" s="71"/>
      <c r="Q254" s="51"/>
      <c r="R254" s="31"/>
    </row>
    <row r="255" spans="1:18" x14ac:dyDescent="0.2">
      <c r="A255" s="238"/>
      <c r="B255" s="54" t="s">
        <v>19</v>
      </c>
      <c r="C255" s="242" t="s">
        <v>780</v>
      </c>
      <c r="D255" s="282"/>
      <c r="E255" s="272"/>
      <c r="F255" s="79">
        <f>SUM(K255:K257)</f>
        <v>0</v>
      </c>
      <c r="G255" s="47">
        <f>SUMIF(JournalsA!D$14:D$920,TrialBalanceA!M255,JournalsA!J$14:J$920)+SUMIF(JournalsA!E$14:E$920,TrialBalanceA!M255,JournalsA!J$14:J$920)</f>
        <v>0</v>
      </c>
      <c r="H255" s="288"/>
      <c r="I255" s="255">
        <f t="shared" si="71"/>
        <v>0</v>
      </c>
      <c r="J255" s="75"/>
      <c r="K255" s="48">
        <f t="shared" si="45"/>
        <v>0</v>
      </c>
      <c r="M255" s="140" t="str">
        <f t="shared" si="46"/>
        <v>6150/021Plant and machinery - acc depr b/fwd</v>
      </c>
      <c r="N255" s="70"/>
      <c r="P255" s="71"/>
      <c r="Q255" s="51"/>
      <c r="R255" s="31"/>
    </row>
    <row r="256" spans="1:18" x14ac:dyDescent="0.2">
      <c r="A256" s="238"/>
      <c r="B256" s="54" t="s">
        <v>35</v>
      </c>
      <c r="C256" s="242" t="s">
        <v>781</v>
      </c>
      <c r="D256" s="282"/>
      <c r="E256" s="272"/>
      <c r="F256" s="79"/>
      <c r="G256" s="47">
        <f>SUMIF(JournalsA!D$14:D$920,TrialBalanceA!M256,JournalsA!J$14:J$920)+SUMIF(JournalsA!E$14:E$920,TrialBalanceA!M256,JournalsA!J$14:J$920)</f>
        <v>0</v>
      </c>
      <c r="H256" s="288"/>
      <c r="I256" s="255">
        <f t="shared" si="71"/>
        <v>0</v>
      </c>
      <c r="J256" s="75"/>
      <c r="K256" s="48">
        <f t="shared" si="45"/>
        <v>0</v>
      </c>
      <c r="M256" s="140" t="str">
        <f t="shared" si="46"/>
        <v>6150/022Plant and machinery - depr this year</v>
      </c>
      <c r="N256" s="70"/>
      <c r="P256" s="71"/>
      <c r="Q256" s="51"/>
      <c r="R256" s="31"/>
    </row>
    <row r="257" spans="1:18" x14ac:dyDescent="0.2">
      <c r="A257" s="238"/>
      <c r="B257" s="54" t="s">
        <v>36</v>
      </c>
      <c r="C257" s="242" t="s">
        <v>782</v>
      </c>
      <c r="D257" s="282"/>
      <c r="E257" s="272"/>
      <c r="F257" s="79"/>
      <c r="G257" s="47">
        <f>SUMIF(JournalsA!D$14:D$920,TrialBalanceA!M257,JournalsA!J$14:J$920)+SUMIF(JournalsA!E$14:E$920,TrialBalanceA!M257,JournalsA!J$14:J$920)</f>
        <v>0</v>
      </c>
      <c r="H257" s="288"/>
      <c r="I257" s="255">
        <f t="shared" si="71"/>
        <v>0</v>
      </c>
      <c r="J257" s="75"/>
      <c r="K257" s="48">
        <f t="shared" si="45"/>
        <v>0</v>
      </c>
      <c r="M257" s="140" t="str">
        <f t="shared" si="46"/>
        <v>6150/023Plant and machinery - acc depr on sales</v>
      </c>
      <c r="N257" s="70"/>
      <c r="P257" s="71"/>
      <c r="Q257" s="51"/>
      <c r="R257" s="31"/>
    </row>
    <row r="258" spans="1:18" x14ac:dyDescent="0.2">
      <c r="A258" s="238"/>
      <c r="B258" s="54" t="s">
        <v>37</v>
      </c>
      <c r="C258" s="239" t="s">
        <v>38</v>
      </c>
      <c r="D258" s="283"/>
      <c r="E258" s="272"/>
      <c r="F258" s="79"/>
      <c r="G258" s="47">
        <f>SUMIF(JournalsA!D$14:D$920,TrialBalanceA!M258,JournalsA!J$14:J$920)+SUMIF(JournalsA!E$14:E$920,TrialBalanceA!M258,JournalsA!J$14:J$920)</f>
        <v>0</v>
      </c>
      <c r="H258" s="288"/>
      <c r="I258" s="255">
        <f t="shared" si="71"/>
        <v>0</v>
      </c>
      <c r="J258" s="75"/>
      <c r="K258" s="48">
        <f t="shared" si="45"/>
        <v>0</v>
      </c>
      <c r="M258" s="140" t="str">
        <f t="shared" si="46"/>
        <v>6200/000MOTOR VEHICLES - COST</v>
      </c>
      <c r="N258" s="70"/>
      <c r="P258" s="71"/>
      <c r="Q258" s="51"/>
      <c r="R258" s="31"/>
    </row>
    <row r="259" spans="1:18" x14ac:dyDescent="0.2">
      <c r="A259" s="238"/>
      <c r="B259" s="54" t="s">
        <v>39</v>
      </c>
      <c r="C259" s="242" t="s">
        <v>783</v>
      </c>
      <c r="D259" s="282"/>
      <c r="E259" s="272"/>
      <c r="F259" s="79">
        <f>SUM(K259:K261)</f>
        <v>0</v>
      </c>
      <c r="G259" s="47">
        <f>SUMIF(JournalsA!D$14:D$920,TrialBalanceA!M259,JournalsA!J$14:J$920)+SUMIF(JournalsA!E$14:E$920,TrialBalanceA!M259,JournalsA!J$14:J$920)</f>
        <v>0</v>
      </c>
      <c r="H259" s="288"/>
      <c r="I259" s="255">
        <f t="shared" si="71"/>
        <v>0</v>
      </c>
      <c r="J259" s="75"/>
      <c r="K259" s="48">
        <f t="shared" si="45"/>
        <v>0</v>
      </c>
      <c r="M259" s="140" t="str">
        <f t="shared" si="46"/>
        <v>6200/001Motor vehicles - cost b/fwd</v>
      </c>
      <c r="N259" s="70"/>
      <c r="P259" s="71"/>
      <c r="Q259" s="51"/>
      <c r="R259" s="31"/>
    </row>
    <row r="260" spans="1:18" x14ac:dyDescent="0.2">
      <c r="A260" s="238"/>
      <c r="B260" s="54" t="s">
        <v>40</v>
      </c>
      <c r="C260" s="242" t="s">
        <v>784</v>
      </c>
      <c r="D260" s="282"/>
      <c r="E260" s="272"/>
      <c r="F260" s="79"/>
      <c r="G260" s="47">
        <f>SUMIF(JournalsA!D$14:D$920,TrialBalanceA!M260,JournalsA!J$14:J$920)+SUMIF(JournalsA!E$14:E$920,TrialBalanceA!M260,JournalsA!J$14:J$920)</f>
        <v>0</v>
      </c>
      <c r="H260" s="288"/>
      <c r="I260" s="255">
        <f t="shared" si="71"/>
        <v>0</v>
      </c>
      <c r="J260" s="75"/>
      <c r="K260" s="48">
        <f t="shared" si="45"/>
        <v>0</v>
      </c>
      <c r="M260" s="140" t="str">
        <f t="shared" si="46"/>
        <v>6200/002Motor vehicles - additions</v>
      </c>
      <c r="N260" s="70"/>
      <c r="P260" s="71"/>
      <c r="Q260" s="51"/>
      <c r="R260" s="31"/>
    </row>
    <row r="261" spans="1:18" x14ac:dyDescent="0.2">
      <c r="A261" s="238"/>
      <c r="B261" s="54" t="s">
        <v>481</v>
      </c>
      <c r="C261" s="242" t="s">
        <v>785</v>
      </c>
      <c r="D261" s="282"/>
      <c r="E261" s="272"/>
      <c r="F261" s="79"/>
      <c r="G261" s="47">
        <f>SUMIF(JournalsA!D$14:D$920,TrialBalanceA!M261,JournalsA!J$14:J$920)+SUMIF(JournalsA!E$14:E$920,TrialBalanceA!M261,JournalsA!J$14:J$920)</f>
        <v>0</v>
      </c>
      <c r="H261" s="288"/>
      <c r="I261" s="255">
        <f t="shared" si="71"/>
        <v>0</v>
      </c>
      <c r="J261" s="75"/>
      <c r="K261" s="48">
        <f t="shared" si="45"/>
        <v>0</v>
      </c>
      <c r="M261" s="140" t="str">
        <f t="shared" si="46"/>
        <v>6200/003Motor vehicles - cost of sales</v>
      </c>
      <c r="N261" s="70"/>
      <c r="P261" s="71"/>
      <c r="Q261" s="51"/>
      <c r="R261" s="31"/>
    </row>
    <row r="262" spans="1:18" x14ac:dyDescent="0.2">
      <c r="A262" s="238"/>
      <c r="B262" s="54" t="s">
        <v>0</v>
      </c>
      <c r="C262" s="239" t="s">
        <v>1</v>
      </c>
      <c r="D262" s="283"/>
      <c r="E262" s="272"/>
      <c r="F262" s="79"/>
      <c r="G262" s="47">
        <f>SUMIF(JournalsA!D$14:D$920,TrialBalanceA!M262,JournalsA!J$14:J$920)+SUMIF(JournalsA!E$14:E$920,TrialBalanceA!M262,JournalsA!J$14:J$920)</f>
        <v>0</v>
      </c>
      <c r="H262" s="288"/>
      <c r="I262" s="255">
        <f t="shared" si="71"/>
        <v>0</v>
      </c>
      <c r="J262" s="75"/>
      <c r="K262" s="48">
        <f t="shared" si="45"/>
        <v>0</v>
      </c>
      <c r="M262" s="140" t="str">
        <f t="shared" si="46"/>
        <v>6200/020MOTOR VEHICLES - ACC DEPR</v>
      </c>
      <c r="N262" s="70"/>
      <c r="P262" s="71"/>
      <c r="Q262" s="51"/>
      <c r="R262" s="31"/>
    </row>
    <row r="263" spans="1:18" x14ac:dyDescent="0.2">
      <c r="A263" s="238"/>
      <c r="B263" s="54" t="s">
        <v>2</v>
      </c>
      <c r="C263" s="242" t="s">
        <v>786</v>
      </c>
      <c r="D263" s="282"/>
      <c r="E263" s="272"/>
      <c r="F263" s="79">
        <f>SUM(K263:K265)</f>
        <v>0</v>
      </c>
      <c r="G263" s="47">
        <f>SUMIF(JournalsA!D$14:D$920,TrialBalanceA!M263,JournalsA!J$14:J$920)+SUMIF(JournalsA!E$14:E$920,TrialBalanceA!M263,JournalsA!J$14:J$920)</f>
        <v>0</v>
      </c>
      <c r="H263" s="288"/>
      <c r="I263" s="255">
        <f t="shared" si="71"/>
        <v>0</v>
      </c>
      <c r="J263" s="75"/>
      <c r="K263" s="48">
        <f t="shared" si="45"/>
        <v>0</v>
      </c>
      <c r="M263" s="140" t="str">
        <f t="shared" si="46"/>
        <v>6200/021Motor vehicles - acc depr b/fwd</v>
      </c>
      <c r="N263" s="70"/>
      <c r="P263" s="71"/>
      <c r="Q263" s="51"/>
      <c r="R263" s="31"/>
    </row>
    <row r="264" spans="1:18" x14ac:dyDescent="0.2">
      <c r="A264" s="238"/>
      <c r="B264" s="54" t="s">
        <v>3</v>
      </c>
      <c r="C264" s="242" t="s">
        <v>787</v>
      </c>
      <c r="D264" s="282"/>
      <c r="E264" s="272"/>
      <c r="F264" s="79"/>
      <c r="G264" s="47">
        <f>SUMIF(JournalsA!D$14:D$920,TrialBalanceA!M264,JournalsA!J$14:J$920)+SUMIF(JournalsA!E$14:E$920,TrialBalanceA!M264,JournalsA!J$14:J$920)</f>
        <v>0</v>
      </c>
      <c r="H264" s="288"/>
      <c r="I264" s="255">
        <f t="shared" si="71"/>
        <v>0</v>
      </c>
      <c r="J264" s="75"/>
      <c r="K264" s="48">
        <f t="shared" si="45"/>
        <v>0</v>
      </c>
      <c r="M264" s="140" t="str">
        <f t="shared" si="46"/>
        <v>6200/022Motor vehicles - depr this year</v>
      </c>
      <c r="N264" s="70"/>
      <c r="P264" s="71"/>
      <c r="Q264" s="51"/>
      <c r="R264" s="31"/>
    </row>
    <row r="265" spans="1:18" x14ac:dyDescent="0.2">
      <c r="A265" s="238"/>
      <c r="B265" s="54" t="s">
        <v>4</v>
      </c>
      <c r="C265" s="242" t="s">
        <v>788</v>
      </c>
      <c r="D265" s="282"/>
      <c r="E265" s="272"/>
      <c r="F265" s="79"/>
      <c r="G265" s="47">
        <f>SUMIF(JournalsA!D$14:D$920,TrialBalanceA!M265,JournalsA!J$14:J$920)+SUMIF(JournalsA!E$14:E$920,TrialBalanceA!M265,JournalsA!J$14:J$920)</f>
        <v>0</v>
      </c>
      <c r="H265" s="288"/>
      <c r="I265" s="255">
        <f t="shared" si="71"/>
        <v>0</v>
      </c>
      <c r="J265" s="75"/>
      <c r="K265" s="48">
        <f t="shared" si="45"/>
        <v>0</v>
      </c>
      <c r="M265" s="140" t="str">
        <f t="shared" si="46"/>
        <v>6200/023Motor vehicles - acc depr on sales</v>
      </c>
      <c r="N265" s="70"/>
      <c r="P265" s="71"/>
      <c r="Q265" s="51"/>
      <c r="R265" s="31"/>
    </row>
    <row r="266" spans="1:18" x14ac:dyDescent="0.2">
      <c r="A266" s="238"/>
      <c r="B266" s="54" t="s">
        <v>5</v>
      </c>
      <c r="C266" s="239" t="s">
        <v>121</v>
      </c>
      <c r="D266" s="283"/>
      <c r="E266" s="272"/>
      <c r="F266" s="79"/>
      <c r="G266" s="47">
        <f>SUMIF(JournalsA!D$14:D$920,TrialBalanceA!M266,JournalsA!J$14:J$920)+SUMIF(JournalsA!E$14:E$920,TrialBalanceA!M266,JournalsA!J$14:J$920)</f>
        <v>0</v>
      </c>
      <c r="H266" s="288"/>
      <c r="I266" s="255">
        <f t="shared" si="71"/>
        <v>0</v>
      </c>
      <c r="J266" s="75"/>
      <c r="K266" s="48">
        <f t="shared" si="45"/>
        <v>0</v>
      </c>
      <c r="M266" s="140" t="str">
        <f t="shared" si="46"/>
        <v>6250/000ELECTRONIC EQUIPMENT - COST</v>
      </c>
      <c r="N266" s="70"/>
      <c r="P266" s="71"/>
      <c r="Q266" s="51"/>
      <c r="R266" s="31"/>
    </row>
    <row r="267" spans="1:18" x14ac:dyDescent="0.2">
      <c r="A267" s="238"/>
      <c r="B267" s="54" t="s">
        <v>6</v>
      </c>
      <c r="C267" s="242" t="s">
        <v>789</v>
      </c>
      <c r="D267" s="282"/>
      <c r="E267" s="272"/>
      <c r="F267" s="79">
        <f>SUM(K267:K269)</f>
        <v>0</v>
      </c>
      <c r="G267" s="47">
        <f>SUMIF(JournalsA!D$14:D$920,TrialBalanceA!M267,JournalsA!J$14:J$920)+SUMIF(JournalsA!E$14:E$920,TrialBalanceA!M267,JournalsA!J$14:J$920)</f>
        <v>0</v>
      </c>
      <c r="H267" s="288"/>
      <c r="I267" s="255">
        <f t="shared" si="71"/>
        <v>0</v>
      </c>
      <c r="J267" s="75"/>
      <c r="K267" s="48">
        <f t="shared" si="45"/>
        <v>0</v>
      </c>
      <c r="M267" s="140" t="str">
        <f t="shared" si="46"/>
        <v>6250/001Electronic equipment - cost b/fwd</v>
      </c>
      <c r="N267" s="70"/>
      <c r="P267" s="71"/>
      <c r="Q267" s="51"/>
      <c r="R267" s="31"/>
    </row>
    <row r="268" spans="1:18" x14ac:dyDescent="0.2">
      <c r="A268" s="238"/>
      <c r="B268" s="54" t="s">
        <v>7</v>
      </c>
      <c r="C268" s="242" t="s">
        <v>790</v>
      </c>
      <c r="D268" s="282"/>
      <c r="E268" s="272"/>
      <c r="F268" s="79"/>
      <c r="G268" s="47">
        <f>SUMIF(JournalsA!D$14:D$920,TrialBalanceA!M268,JournalsA!J$14:J$920)+SUMIF(JournalsA!E$14:E$920,TrialBalanceA!M268,JournalsA!J$14:J$920)</f>
        <v>0</v>
      </c>
      <c r="H268" s="288"/>
      <c r="I268" s="255">
        <f t="shared" si="71"/>
        <v>0</v>
      </c>
      <c r="J268" s="75"/>
      <c r="K268" s="48">
        <f t="shared" si="45"/>
        <v>0</v>
      </c>
      <c r="M268" s="140" t="str">
        <f t="shared" si="46"/>
        <v>6250/002Electronic equipment - additions</v>
      </c>
      <c r="N268" s="70"/>
      <c r="P268" s="71"/>
      <c r="Q268" s="51"/>
      <c r="R268" s="31"/>
    </row>
    <row r="269" spans="1:18" x14ac:dyDescent="0.2">
      <c r="A269" s="238"/>
      <c r="B269" s="54" t="s">
        <v>8</v>
      </c>
      <c r="C269" s="242" t="s">
        <v>791</v>
      </c>
      <c r="D269" s="282"/>
      <c r="E269" s="272"/>
      <c r="F269" s="79"/>
      <c r="G269" s="47">
        <f>SUMIF(JournalsA!D$14:D$920,TrialBalanceA!M269,JournalsA!J$14:J$920)+SUMIF(JournalsA!E$14:E$920,TrialBalanceA!M269,JournalsA!J$14:J$920)</f>
        <v>0</v>
      </c>
      <c r="H269" s="288"/>
      <c r="I269" s="255">
        <f t="shared" si="71"/>
        <v>0</v>
      </c>
      <c r="J269" s="75"/>
      <c r="K269" s="48">
        <f t="shared" si="45"/>
        <v>0</v>
      </c>
      <c r="M269" s="140" t="str">
        <f t="shared" si="46"/>
        <v>6250/003Electronic equipment - cost of sales</v>
      </c>
      <c r="N269" s="70"/>
      <c r="P269" s="71"/>
      <c r="Q269" s="51"/>
      <c r="R269" s="31"/>
    </row>
    <row r="270" spans="1:18" x14ac:dyDescent="0.2">
      <c r="A270" s="238"/>
      <c r="B270" s="54" t="s">
        <v>9</v>
      </c>
      <c r="C270" s="239" t="s">
        <v>122</v>
      </c>
      <c r="D270" s="283"/>
      <c r="E270" s="272"/>
      <c r="F270" s="79"/>
      <c r="G270" s="47">
        <f>SUMIF(JournalsA!D$14:D$920,TrialBalanceA!M270,JournalsA!J$14:J$920)+SUMIF(JournalsA!E$14:E$920,TrialBalanceA!M270,JournalsA!J$14:J$920)</f>
        <v>0</v>
      </c>
      <c r="H270" s="288"/>
      <c r="I270" s="255">
        <f t="shared" si="71"/>
        <v>0</v>
      </c>
      <c r="J270" s="75"/>
      <c r="K270" s="48">
        <f t="shared" si="45"/>
        <v>0</v>
      </c>
      <c r="M270" s="140" t="str">
        <f t="shared" si="46"/>
        <v>6250/020ELECTRONIC EQUIPMENT - ACC DEPR</v>
      </c>
      <c r="N270" s="70"/>
      <c r="P270" s="71"/>
      <c r="Q270" s="51"/>
      <c r="R270" s="31"/>
    </row>
    <row r="271" spans="1:18" x14ac:dyDescent="0.2">
      <c r="A271" s="238"/>
      <c r="B271" s="54" t="s">
        <v>10</v>
      </c>
      <c r="C271" s="242" t="s">
        <v>792</v>
      </c>
      <c r="D271" s="282"/>
      <c r="E271" s="272"/>
      <c r="F271" s="79">
        <f>SUM(K271:K273)</f>
        <v>0</v>
      </c>
      <c r="G271" s="47">
        <f>SUMIF(JournalsA!D$14:D$920,TrialBalanceA!M271,JournalsA!J$14:J$920)+SUMIF(JournalsA!E$14:E$920,TrialBalanceA!M271,JournalsA!J$14:J$920)</f>
        <v>0</v>
      </c>
      <c r="H271" s="288"/>
      <c r="I271" s="255">
        <f t="shared" si="71"/>
        <v>0</v>
      </c>
      <c r="J271" s="75"/>
      <c r="K271" s="48">
        <f t="shared" si="45"/>
        <v>0</v>
      </c>
      <c r="M271" s="140" t="str">
        <f t="shared" si="46"/>
        <v>6250/021Electronic equipment - acc depr b/fwd</v>
      </c>
      <c r="N271" s="70"/>
      <c r="P271" s="71"/>
      <c r="Q271" s="51"/>
      <c r="R271" s="31"/>
    </row>
    <row r="272" spans="1:18" x14ac:dyDescent="0.2">
      <c r="A272" s="238"/>
      <c r="B272" s="54" t="s">
        <v>11</v>
      </c>
      <c r="C272" s="242" t="s">
        <v>793</v>
      </c>
      <c r="D272" s="282"/>
      <c r="E272" s="272"/>
      <c r="F272" s="79"/>
      <c r="G272" s="47">
        <f>SUMIF(JournalsA!D$14:D$920,TrialBalanceA!M272,JournalsA!J$14:J$920)+SUMIF(JournalsA!E$14:E$920,TrialBalanceA!M272,JournalsA!J$14:J$920)</f>
        <v>0</v>
      </c>
      <c r="H272" s="288"/>
      <c r="I272" s="255">
        <f t="shared" si="71"/>
        <v>0</v>
      </c>
      <c r="J272" s="75"/>
      <c r="K272" s="48">
        <f t="shared" si="45"/>
        <v>0</v>
      </c>
      <c r="M272" s="140" t="str">
        <f t="shared" si="46"/>
        <v>6250/022Electronic equipment - depr this year</v>
      </c>
      <c r="N272" s="70"/>
      <c r="P272" s="71"/>
      <c r="Q272" s="51"/>
      <c r="R272" s="31"/>
    </row>
    <row r="273" spans="1:18" x14ac:dyDescent="0.2">
      <c r="A273" s="238"/>
      <c r="B273" s="54" t="s">
        <v>12</v>
      </c>
      <c r="C273" s="242" t="s">
        <v>794</v>
      </c>
      <c r="D273" s="282"/>
      <c r="E273" s="272"/>
      <c r="F273" s="79"/>
      <c r="G273" s="47">
        <f>SUMIF(JournalsA!D$14:D$920,TrialBalanceA!M273,JournalsA!J$14:J$920)+SUMIF(JournalsA!E$14:E$920,TrialBalanceA!M273,JournalsA!J$14:J$920)</f>
        <v>0</v>
      </c>
      <c r="H273" s="288"/>
      <c r="I273" s="255">
        <f t="shared" si="71"/>
        <v>0</v>
      </c>
      <c r="J273" s="75"/>
      <c r="K273" s="48">
        <f t="shared" si="45"/>
        <v>0</v>
      </c>
      <c r="M273" s="140" t="str">
        <f t="shared" si="46"/>
        <v>6250/023Electronic equipment - acc depr on sales</v>
      </c>
      <c r="N273" s="70"/>
      <c r="P273" s="71"/>
      <c r="Q273" s="51"/>
      <c r="R273" s="31"/>
    </row>
    <row r="274" spans="1:18" x14ac:dyDescent="0.2">
      <c r="A274" s="238"/>
      <c r="B274" s="54" t="s">
        <v>16</v>
      </c>
      <c r="C274" s="239" t="s">
        <v>795</v>
      </c>
      <c r="D274" s="283"/>
      <c r="E274" s="272"/>
      <c r="F274" s="79"/>
      <c r="G274" s="47">
        <f>SUMIF(JournalsA!D$14:D$920,TrialBalanceA!M274,JournalsA!J$14:J$920)+SUMIF(JournalsA!E$14:E$920,TrialBalanceA!M274,JournalsA!J$14:J$920)</f>
        <v>0</v>
      </c>
      <c r="H274" s="288"/>
      <c r="I274" s="255">
        <f t="shared" si="71"/>
        <v>0</v>
      </c>
      <c r="J274" s="75"/>
      <c r="K274" s="48">
        <f t="shared" si="45"/>
        <v>0</v>
      </c>
      <c r="M274" s="140" t="str">
        <f t="shared" si="46"/>
        <v>6350/000FURNITURE AND FITTINGS - COST</v>
      </c>
      <c r="N274" s="70"/>
      <c r="P274" s="71"/>
      <c r="Q274" s="51"/>
      <c r="R274" s="31"/>
    </row>
    <row r="275" spans="1:18" x14ac:dyDescent="0.2">
      <c r="A275" s="238"/>
      <c r="B275" s="54" t="s">
        <v>17</v>
      </c>
      <c r="C275" s="242" t="s">
        <v>796</v>
      </c>
      <c r="D275" s="282"/>
      <c r="E275" s="272"/>
      <c r="F275" s="79">
        <f>SUM(K275:K277)</f>
        <v>0</v>
      </c>
      <c r="G275" s="47">
        <f>SUMIF(JournalsA!D$14:D$920,TrialBalanceA!M275,JournalsA!J$14:J$920)+SUMIF(JournalsA!E$14:E$920,TrialBalanceA!M275,JournalsA!J$14:J$920)</f>
        <v>0</v>
      </c>
      <c r="H275" s="288"/>
      <c r="I275" s="255">
        <f t="shared" si="71"/>
        <v>0</v>
      </c>
      <c r="J275" s="75"/>
      <c r="K275" s="48">
        <f t="shared" si="45"/>
        <v>0</v>
      </c>
      <c r="M275" s="140" t="str">
        <f t="shared" si="46"/>
        <v>6350/001Furniture and fittings - cost b/fwd</v>
      </c>
      <c r="N275" s="70"/>
      <c r="P275" s="71"/>
      <c r="Q275" s="51"/>
      <c r="R275" s="31"/>
    </row>
    <row r="276" spans="1:18" x14ac:dyDescent="0.2">
      <c r="A276" s="238"/>
      <c r="B276" s="54" t="s">
        <v>425</v>
      </c>
      <c r="C276" s="242" t="s">
        <v>797</v>
      </c>
      <c r="D276" s="282"/>
      <c r="E276" s="272"/>
      <c r="F276" s="79"/>
      <c r="G276" s="47">
        <f>SUMIF(JournalsA!D$14:D$920,TrialBalanceA!M276,JournalsA!J$14:J$920)+SUMIF(JournalsA!E$14:E$920,TrialBalanceA!M276,JournalsA!J$14:J$920)</f>
        <v>0</v>
      </c>
      <c r="H276" s="288"/>
      <c r="I276" s="255">
        <f t="shared" si="71"/>
        <v>0</v>
      </c>
      <c r="J276" s="75"/>
      <c r="K276" s="48">
        <f t="shared" si="45"/>
        <v>0</v>
      </c>
      <c r="M276" s="140" t="str">
        <f t="shared" si="46"/>
        <v>6350/002Furniture and fittings - additions</v>
      </c>
      <c r="N276" s="70"/>
      <c r="P276" s="71"/>
      <c r="Q276" s="51"/>
      <c r="R276" s="31"/>
    </row>
    <row r="277" spans="1:18" x14ac:dyDescent="0.2">
      <c r="A277" s="238"/>
      <c r="B277" s="54" t="s">
        <v>441</v>
      </c>
      <c r="C277" s="242" t="s">
        <v>798</v>
      </c>
      <c r="D277" s="282"/>
      <c r="E277" s="272"/>
      <c r="F277" s="79"/>
      <c r="G277" s="47">
        <f>SUMIF(JournalsA!D$14:D$920,TrialBalanceA!M277,JournalsA!J$14:J$920)+SUMIF(JournalsA!E$14:E$920,TrialBalanceA!M277,JournalsA!J$14:J$920)</f>
        <v>0</v>
      </c>
      <c r="H277" s="288"/>
      <c r="I277" s="255">
        <f t="shared" si="71"/>
        <v>0</v>
      </c>
      <c r="J277" s="75"/>
      <c r="K277" s="48">
        <f t="shared" si="45"/>
        <v>0</v>
      </c>
      <c r="M277" s="140" t="str">
        <f t="shared" si="46"/>
        <v>6350/003Furniture and fittings - cost of sales</v>
      </c>
      <c r="N277" s="70"/>
      <c r="P277" s="71"/>
      <c r="Q277" s="51"/>
      <c r="R277" s="31"/>
    </row>
    <row r="278" spans="1:18" x14ac:dyDescent="0.2">
      <c r="A278" s="238"/>
      <c r="B278" s="54" t="s">
        <v>272</v>
      </c>
      <c r="C278" s="239" t="s">
        <v>799</v>
      </c>
      <c r="D278" s="283"/>
      <c r="E278" s="272"/>
      <c r="F278" s="79"/>
      <c r="G278" s="47">
        <f>SUMIF(JournalsA!D$14:D$920,TrialBalanceA!M278,JournalsA!J$14:J$920)+SUMIF(JournalsA!E$14:E$920,TrialBalanceA!M278,JournalsA!J$14:J$920)</f>
        <v>0</v>
      </c>
      <c r="H278" s="288"/>
      <c r="I278" s="255">
        <f t="shared" si="71"/>
        <v>0</v>
      </c>
      <c r="J278" s="75"/>
      <c r="K278" s="48">
        <f t="shared" si="45"/>
        <v>0</v>
      </c>
      <c r="M278" s="140" t="str">
        <f t="shared" si="46"/>
        <v>6350/020FURNITURE AND FITTINGS - ACC DEPR</v>
      </c>
      <c r="N278" s="70"/>
      <c r="P278" s="71"/>
      <c r="Q278" s="51"/>
      <c r="R278" s="31"/>
    </row>
    <row r="279" spans="1:18" x14ac:dyDescent="0.2">
      <c r="A279" s="238"/>
      <c r="B279" s="54" t="s">
        <v>153</v>
      </c>
      <c r="C279" s="242" t="s">
        <v>800</v>
      </c>
      <c r="D279" s="282"/>
      <c r="E279" s="272"/>
      <c r="F279" s="79">
        <f>SUM(K279:K281)</f>
        <v>0</v>
      </c>
      <c r="G279" s="47">
        <f>SUMIF(JournalsA!D$14:D$920,TrialBalanceA!M279,JournalsA!J$14:J$920)+SUMIF(JournalsA!E$14:E$920,TrialBalanceA!M279,JournalsA!J$14:J$920)</f>
        <v>0</v>
      </c>
      <c r="H279" s="288"/>
      <c r="I279" s="255">
        <f t="shared" si="71"/>
        <v>0</v>
      </c>
      <c r="J279" s="75"/>
      <c r="K279" s="48">
        <f t="shared" si="45"/>
        <v>0</v>
      </c>
      <c r="M279" s="140" t="str">
        <f t="shared" si="46"/>
        <v>6350/021Furniture and fittings - acc depr b/fwd</v>
      </c>
      <c r="N279" s="70"/>
      <c r="P279" s="71"/>
      <c r="Q279" s="51"/>
      <c r="R279" s="31"/>
    </row>
    <row r="280" spans="1:18" x14ac:dyDescent="0.2">
      <c r="A280" s="238"/>
      <c r="B280" s="54" t="s">
        <v>154</v>
      </c>
      <c r="C280" s="242" t="s">
        <v>801</v>
      </c>
      <c r="D280" s="282"/>
      <c r="E280" s="272"/>
      <c r="F280" s="79"/>
      <c r="G280" s="47">
        <f>SUMIF(JournalsA!D$14:D$920,TrialBalanceA!M280,JournalsA!J$14:J$920)+SUMIF(JournalsA!E$14:E$920,TrialBalanceA!M280,JournalsA!J$14:J$920)</f>
        <v>0</v>
      </c>
      <c r="H280" s="288"/>
      <c r="I280" s="255">
        <f t="shared" si="71"/>
        <v>0</v>
      </c>
      <c r="J280" s="75"/>
      <c r="K280" s="48">
        <f t="shared" si="45"/>
        <v>0</v>
      </c>
      <c r="M280" s="140" t="str">
        <f t="shared" si="46"/>
        <v>6350/022Furniture and fittings - depr this year</v>
      </c>
      <c r="N280" s="70"/>
      <c r="P280" s="71"/>
      <c r="Q280" s="51"/>
      <c r="R280" s="31"/>
    </row>
    <row r="281" spans="1:18" x14ac:dyDescent="0.2">
      <c r="A281" s="238"/>
      <c r="B281" s="54" t="s">
        <v>244</v>
      </c>
      <c r="C281" s="242" t="s">
        <v>802</v>
      </c>
      <c r="D281" s="282"/>
      <c r="E281" s="272"/>
      <c r="F281" s="79"/>
      <c r="G281" s="47">
        <f>SUMIF(JournalsA!D$14:D$920,TrialBalanceA!M281,JournalsA!J$14:J$920)+SUMIF(JournalsA!E$14:E$920,TrialBalanceA!M281,JournalsA!J$14:J$920)</f>
        <v>0</v>
      </c>
      <c r="H281" s="288"/>
      <c r="I281" s="255">
        <f t="shared" si="71"/>
        <v>0</v>
      </c>
      <c r="J281" s="75"/>
      <c r="K281" s="48">
        <f t="shared" si="45"/>
        <v>0</v>
      </c>
      <c r="M281" s="140" t="str">
        <f t="shared" si="46"/>
        <v>6350/023Furniture and fittings - acc depr on sales</v>
      </c>
      <c r="N281" s="70"/>
      <c r="P281" s="71"/>
      <c r="Q281" s="51"/>
      <c r="R281" s="31"/>
    </row>
    <row r="282" spans="1:18" x14ac:dyDescent="0.2">
      <c r="A282" s="238"/>
      <c r="B282" s="54" t="s">
        <v>463</v>
      </c>
      <c r="C282" s="239" t="s">
        <v>45</v>
      </c>
      <c r="D282" s="283"/>
      <c r="E282" s="272"/>
      <c r="F282" s="79"/>
      <c r="G282" s="47">
        <f>SUMIF(JournalsA!D$14:D$920,TrialBalanceA!M282,JournalsA!J$14:J$920)+SUMIF(JournalsA!E$14:E$920,TrialBalanceA!M282,JournalsA!J$14:J$920)</f>
        <v>0</v>
      </c>
      <c r="H282" s="288"/>
      <c r="I282" s="255">
        <f t="shared" si="71"/>
        <v>0</v>
      </c>
      <c r="J282" s="75"/>
      <c r="K282" s="48">
        <f t="shared" si="45"/>
        <v>0</v>
      </c>
      <c r="M282" s="140" t="str">
        <f t="shared" si="46"/>
        <v>7000/000INTANGIBLE ASSETS</v>
      </c>
      <c r="N282" s="70"/>
      <c r="P282" s="71"/>
      <c r="Q282" s="51"/>
      <c r="R282" s="31"/>
    </row>
    <row r="283" spans="1:18" x14ac:dyDescent="0.2">
      <c r="A283" s="238"/>
      <c r="B283" s="90" t="s">
        <v>1021</v>
      </c>
      <c r="C283" s="239" t="s">
        <v>1022</v>
      </c>
      <c r="D283" s="283"/>
      <c r="E283" s="272"/>
      <c r="F283" s="79"/>
      <c r="G283" s="47">
        <f>SUMIF(JournalsA!D$14:D$920,TrialBalanceA!M283,JournalsA!J$14:J$920)+SUMIF(JournalsA!E$14:E$920,TrialBalanceA!M283,JournalsA!J$14:J$920)</f>
        <v>0</v>
      </c>
      <c r="H283" s="288"/>
      <c r="I283" s="255">
        <f t="shared" ref="I283:I300" si="72">ROUND(D283-E283+G283+F283,0)</f>
        <v>0</v>
      </c>
      <c r="J283" s="75"/>
      <c r="K283" s="48">
        <f t="shared" ref="K283:K300" si="73">ROUND(SUM(A283),0)</f>
        <v>0</v>
      </c>
      <c r="M283" s="140" t="str">
        <f t="shared" ref="M283:M300" si="74">CONCATENATE(B283,C283)</f>
        <v>7000/001GOODWILL - COST</v>
      </c>
      <c r="N283" s="70"/>
      <c r="P283" s="71"/>
      <c r="Q283" s="51"/>
      <c r="R283" s="31"/>
    </row>
    <row r="284" spans="1:18" x14ac:dyDescent="0.2">
      <c r="A284" s="238"/>
      <c r="B284" s="90" t="s">
        <v>1023</v>
      </c>
      <c r="C284" s="242" t="s">
        <v>1024</v>
      </c>
      <c r="D284" s="283"/>
      <c r="E284" s="272"/>
      <c r="F284" s="79">
        <f>SUM(K284:K285)</f>
        <v>0</v>
      </c>
      <c r="G284" s="47">
        <f>SUMIF(JournalsA!D$14:D$920,TrialBalanceA!M284,JournalsA!J$14:J$920)+SUMIF(JournalsA!E$14:E$920,TrialBalanceA!M284,JournalsA!J$14:J$920)</f>
        <v>0</v>
      </c>
      <c r="H284" s="288"/>
      <c r="I284" s="255">
        <f t="shared" si="72"/>
        <v>0</v>
      </c>
      <c r="J284" s="75"/>
      <c r="K284" s="48">
        <f t="shared" si="73"/>
        <v>0</v>
      </c>
      <c r="M284" s="140" t="str">
        <f t="shared" si="74"/>
        <v>7000/002Goodwill - cost b/fwd</v>
      </c>
      <c r="N284" s="70"/>
      <c r="P284" s="71"/>
      <c r="Q284" s="51"/>
      <c r="R284" s="31"/>
    </row>
    <row r="285" spans="1:18" x14ac:dyDescent="0.2">
      <c r="A285" s="238"/>
      <c r="B285" s="90" t="s">
        <v>1025</v>
      </c>
      <c r="C285" s="242" t="s">
        <v>1026</v>
      </c>
      <c r="D285" s="283"/>
      <c r="E285" s="272"/>
      <c r="F285" s="79"/>
      <c r="G285" s="47">
        <f>SUMIF(JournalsA!D$14:D$920,TrialBalanceA!M285,JournalsA!J$14:J$920)+SUMIF(JournalsA!E$14:E$920,TrialBalanceA!M285,JournalsA!J$14:J$920)</f>
        <v>0</v>
      </c>
      <c r="H285" s="288"/>
      <c r="I285" s="255">
        <f t="shared" si="72"/>
        <v>0</v>
      </c>
      <c r="J285" s="75"/>
      <c r="K285" s="48">
        <f t="shared" si="73"/>
        <v>0</v>
      </c>
      <c r="M285" s="140" t="str">
        <f t="shared" si="74"/>
        <v>7000/003Goodwill - additions</v>
      </c>
      <c r="N285" s="70"/>
      <c r="P285" s="71"/>
      <c r="Q285" s="51"/>
      <c r="R285" s="31"/>
    </row>
    <row r="286" spans="1:18" x14ac:dyDescent="0.2">
      <c r="A286" s="238"/>
      <c r="B286" s="90" t="s">
        <v>1027</v>
      </c>
      <c r="C286" s="239" t="s">
        <v>1028</v>
      </c>
      <c r="D286" s="283"/>
      <c r="E286" s="272"/>
      <c r="F286" s="79"/>
      <c r="G286" s="47">
        <f>SUMIF(JournalsA!D$14:D$920,TrialBalanceA!M286,JournalsA!J$14:J$920)+SUMIF(JournalsA!E$14:E$920,TrialBalanceA!M286,JournalsA!J$14:J$920)</f>
        <v>0</v>
      </c>
      <c r="H286" s="288"/>
      <c r="I286" s="255">
        <f t="shared" si="72"/>
        <v>0</v>
      </c>
      <c r="J286" s="75"/>
      <c r="K286" s="48">
        <f t="shared" si="73"/>
        <v>0</v>
      </c>
      <c r="M286" s="140" t="str">
        <f t="shared" si="74"/>
        <v>7000/005GOODWILL - ACC AMORTISATION</v>
      </c>
      <c r="N286" s="70"/>
      <c r="P286" s="71"/>
      <c r="Q286" s="51"/>
      <c r="R286" s="31"/>
    </row>
    <row r="287" spans="1:18" x14ac:dyDescent="0.2">
      <c r="A287" s="238"/>
      <c r="B287" s="90" t="s">
        <v>1029</v>
      </c>
      <c r="C287" s="242" t="s">
        <v>1030</v>
      </c>
      <c r="D287" s="283"/>
      <c r="E287" s="272"/>
      <c r="F287" s="79">
        <f>SUM(K287:K288)</f>
        <v>0</v>
      </c>
      <c r="G287" s="47">
        <f>SUMIF(JournalsA!D$14:D$920,TrialBalanceA!M287,JournalsA!J$14:J$920)+SUMIF(JournalsA!E$14:E$920,TrialBalanceA!M287,JournalsA!J$14:J$920)</f>
        <v>0</v>
      </c>
      <c r="H287" s="288"/>
      <c r="I287" s="255">
        <f t="shared" si="72"/>
        <v>0</v>
      </c>
      <c r="J287" s="75"/>
      <c r="K287" s="48">
        <f t="shared" si="73"/>
        <v>0</v>
      </c>
      <c r="M287" s="140" t="str">
        <f t="shared" si="74"/>
        <v>7000/006Goodwill - acc amortisation b/fwd</v>
      </c>
      <c r="N287" s="70"/>
      <c r="P287" s="71"/>
      <c r="Q287" s="51"/>
      <c r="R287" s="31"/>
    </row>
    <row r="288" spans="1:18" x14ac:dyDescent="0.2">
      <c r="A288" s="238"/>
      <c r="B288" s="90" t="s">
        <v>1031</v>
      </c>
      <c r="C288" s="242" t="s">
        <v>1032</v>
      </c>
      <c r="D288" s="283"/>
      <c r="E288" s="272"/>
      <c r="F288" s="79"/>
      <c r="G288" s="47">
        <f>SUMIF(JournalsA!D$14:D$920,TrialBalanceA!M288,JournalsA!J$14:J$920)+SUMIF(JournalsA!E$14:E$920,TrialBalanceA!M288,JournalsA!J$14:J$920)</f>
        <v>0</v>
      </c>
      <c r="H288" s="288"/>
      <c r="I288" s="255">
        <f t="shared" si="72"/>
        <v>0</v>
      </c>
      <c r="J288" s="75"/>
      <c r="K288" s="48">
        <f t="shared" si="73"/>
        <v>0</v>
      </c>
      <c r="M288" s="140" t="str">
        <f t="shared" si="74"/>
        <v>7000/007Goodwill - amortisation this year</v>
      </c>
      <c r="N288" s="70"/>
      <c r="P288" s="71"/>
      <c r="Q288" s="51"/>
      <c r="R288" s="31"/>
    </row>
    <row r="289" spans="1:18" x14ac:dyDescent="0.2">
      <c r="A289" s="238"/>
      <c r="B289" s="90" t="s">
        <v>464</v>
      </c>
      <c r="C289" s="239" t="s">
        <v>1033</v>
      </c>
      <c r="D289" s="283"/>
      <c r="E289" s="272"/>
      <c r="F289" s="79"/>
      <c r="G289" s="47">
        <f>SUMIF(JournalsA!D$14:D$920,TrialBalanceA!M289,JournalsA!J$14:J$920)+SUMIF(JournalsA!E$14:E$920,TrialBalanceA!M289,JournalsA!J$14:J$920)</f>
        <v>0</v>
      </c>
      <c r="H289" s="288"/>
      <c r="I289" s="255">
        <f t="shared" si="72"/>
        <v>0</v>
      </c>
      <c r="J289" s="75"/>
      <c r="K289" s="48">
        <f t="shared" si="73"/>
        <v>0</v>
      </c>
      <c r="M289" s="140" t="str">
        <f t="shared" si="74"/>
        <v>7000/010GOODWILL - IMPAIRMENT</v>
      </c>
      <c r="N289" s="70"/>
      <c r="P289" s="71"/>
      <c r="Q289" s="51"/>
      <c r="R289" s="31"/>
    </row>
    <row r="290" spans="1:18" x14ac:dyDescent="0.2">
      <c r="A290" s="238"/>
      <c r="B290" s="90" t="s">
        <v>653</v>
      </c>
      <c r="C290" s="242" t="s">
        <v>1034</v>
      </c>
      <c r="D290" s="283"/>
      <c r="E290" s="272"/>
      <c r="F290" s="79">
        <f>SUM(K290:K291)</f>
        <v>0</v>
      </c>
      <c r="G290" s="47">
        <f>SUMIF(JournalsA!D$14:D$920,TrialBalanceA!M290,JournalsA!J$14:J$920)+SUMIF(JournalsA!E$14:E$920,TrialBalanceA!M290,JournalsA!J$14:J$920)</f>
        <v>0</v>
      </c>
      <c r="H290" s="288"/>
      <c r="I290" s="255">
        <f t="shared" si="72"/>
        <v>0</v>
      </c>
      <c r="J290" s="75"/>
      <c r="K290" s="48">
        <f t="shared" si="73"/>
        <v>0</v>
      </c>
      <c r="M290" s="140" t="str">
        <f t="shared" si="74"/>
        <v>7000/011Goodwill - impairment loss b/fwd</v>
      </c>
      <c r="N290" s="70"/>
      <c r="P290" s="71"/>
      <c r="Q290" s="51"/>
      <c r="R290" s="31"/>
    </row>
    <row r="291" spans="1:18" x14ac:dyDescent="0.2">
      <c r="A291" s="238"/>
      <c r="B291" s="90" t="s">
        <v>1035</v>
      </c>
      <c r="C291" s="242" t="s">
        <v>1036</v>
      </c>
      <c r="D291" s="283"/>
      <c r="E291" s="272"/>
      <c r="F291" s="79"/>
      <c r="G291" s="47">
        <f>SUMIF(JournalsA!D$14:D$920,TrialBalanceA!M291,JournalsA!J$14:J$920)+SUMIF(JournalsA!E$14:E$920,TrialBalanceA!M291,JournalsA!J$14:J$920)</f>
        <v>0</v>
      </c>
      <c r="H291" s="288"/>
      <c r="I291" s="255">
        <f t="shared" si="72"/>
        <v>0</v>
      </c>
      <c r="J291" s="75"/>
      <c r="K291" s="48">
        <f t="shared" si="73"/>
        <v>0</v>
      </c>
      <c r="M291" s="140" t="str">
        <f t="shared" si="74"/>
        <v>7000/012Goodwill - impairment loss this year</v>
      </c>
      <c r="N291" s="70"/>
      <c r="P291" s="71"/>
      <c r="Q291" s="51"/>
      <c r="R291" s="31"/>
    </row>
    <row r="292" spans="1:18" x14ac:dyDescent="0.2">
      <c r="A292" s="238"/>
      <c r="B292" s="90" t="s">
        <v>1037</v>
      </c>
      <c r="C292" s="239" t="s">
        <v>1038</v>
      </c>
      <c r="D292" s="283"/>
      <c r="E292" s="272"/>
      <c r="F292" s="79"/>
      <c r="G292" s="47">
        <f>SUMIF(JournalsA!D$14:D$920,TrialBalanceA!M292,JournalsA!J$14:J$920)+SUMIF(JournalsA!E$14:E$920,TrialBalanceA!M292,JournalsA!J$14:J$920)</f>
        <v>0</v>
      </c>
      <c r="H292" s="288"/>
      <c r="I292" s="255">
        <f t="shared" si="72"/>
        <v>0</v>
      </c>
      <c r="J292" s="75"/>
      <c r="K292" s="48">
        <f t="shared" si="73"/>
        <v>0</v>
      </c>
      <c r="M292" s="140" t="str">
        <f t="shared" si="74"/>
        <v>7000/021PREPAID LEASE AGREEMENT - COST</v>
      </c>
      <c r="N292" s="70"/>
      <c r="P292" s="71"/>
      <c r="Q292" s="51"/>
      <c r="R292" s="31"/>
    </row>
    <row r="293" spans="1:18" x14ac:dyDescent="0.2">
      <c r="A293" s="238"/>
      <c r="B293" s="90" t="s">
        <v>1039</v>
      </c>
      <c r="C293" s="242" t="s">
        <v>1040</v>
      </c>
      <c r="D293" s="283"/>
      <c r="E293" s="272"/>
      <c r="F293" s="79">
        <f>SUM(K293:K294)</f>
        <v>0</v>
      </c>
      <c r="G293" s="47">
        <f>SUMIF(JournalsA!D$14:D$920,TrialBalanceA!M293,JournalsA!J$14:J$920)+SUMIF(JournalsA!E$14:E$920,TrialBalanceA!M293,JournalsA!J$14:J$920)</f>
        <v>0</v>
      </c>
      <c r="H293" s="288"/>
      <c r="I293" s="255">
        <f t="shared" si="72"/>
        <v>0</v>
      </c>
      <c r="J293" s="75"/>
      <c r="K293" s="48">
        <f t="shared" si="73"/>
        <v>0</v>
      </c>
      <c r="M293" s="140" t="str">
        <f t="shared" si="74"/>
        <v>7000/022Prepaid lease agreement - cost b/fwd</v>
      </c>
      <c r="N293" s="70"/>
      <c r="P293" s="71"/>
      <c r="Q293" s="51"/>
      <c r="R293" s="31"/>
    </row>
    <row r="294" spans="1:18" x14ac:dyDescent="0.2">
      <c r="A294" s="238"/>
      <c r="B294" s="90" t="s">
        <v>1041</v>
      </c>
      <c r="C294" s="242" t="s">
        <v>1042</v>
      </c>
      <c r="D294" s="283"/>
      <c r="E294" s="272"/>
      <c r="F294" s="79"/>
      <c r="G294" s="47">
        <f>SUMIF(JournalsA!D$14:D$920,TrialBalanceA!M294,JournalsA!J$14:J$920)+SUMIF(JournalsA!E$14:E$920,TrialBalanceA!M294,JournalsA!J$14:J$920)</f>
        <v>0</v>
      </c>
      <c r="H294" s="288"/>
      <c r="I294" s="255">
        <f t="shared" si="72"/>
        <v>0</v>
      </c>
      <c r="J294" s="75"/>
      <c r="K294" s="48">
        <f t="shared" si="73"/>
        <v>0</v>
      </c>
      <c r="M294" s="140" t="str">
        <f t="shared" si="74"/>
        <v>7000/023Prepaid lease agreement - additions</v>
      </c>
      <c r="N294" s="70"/>
      <c r="P294" s="71"/>
      <c r="Q294" s="51"/>
      <c r="R294" s="31"/>
    </row>
    <row r="295" spans="1:18" x14ac:dyDescent="0.2">
      <c r="A295" s="238"/>
      <c r="B295" s="90" t="s">
        <v>465</v>
      </c>
      <c r="C295" s="239" t="s">
        <v>1043</v>
      </c>
      <c r="D295" s="283"/>
      <c r="E295" s="272"/>
      <c r="F295" s="79"/>
      <c r="G295" s="47">
        <f>SUMIF(JournalsA!D$14:D$920,TrialBalanceA!M295,JournalsA!J$14:J$920)+SUMIF(JournalsA!E$14:E$920,TrialBalanceA!M295,JournalsA!J$14:J$920)</f>
        <v>0</v>
      </c>
      <c r="H295" s="288"/>
      <c r="I295" s="255">
        <f t="shared" si="72"/>
        <v>0</v>
      </c>
      <c r="J295" s="75"/>
      <c r="K295" s="48">
        <f t="shared" si="73"/>
        <v>0</v>
      </c>
      <c r="M295" s="140" t="str">
        <f t="shared" si="74"/>
        <v>7000/025PREPAID LEASE AGREEMENT - ACC AMORTISATION</v>
      </c>
      <c r="N295" s="70"/>
      <c r="P295" s="71"/>
      <c r="Q295" s="51"/>
      <c r="R295" s="31"/>
    </row>
    <row r="296" spans="1:18" x14ac:dyDescent="0.2">
      <c r="A296" s="238"/>
      <c r="B296" s="90" t="s">
        <v>1044</v>
      </c>
      <c r="C296" s="242" t="s">
        <v>1045</v>
      </c>
      <c r="D296" s="283"/>
      <c r="E296" s="272"/>
      <c r="F296" s="79">
        <f>SUM(K296:K297)</f>
        <v>0</v>
      </c>
      <c r="G296" s="47">
        <f>SUMIF(JournalsA!D$14:D$920,TrialBalanceA!M296,JournalsA!J$14:J$920)+SUMIF(JournalsA!E$14:E$920,TrialBalanceA!M296,JournalsA!J$14:J$920)</f>
        <v>0</v>
      </c>
      <c r="H296" s="288"/>
      <c r="I296" s="255">
        <f t="shared" si="72"/>
        <v>0</v>
      </c>
      <c r="J296" s="75"/>
      <c r="K296" s="48">
        <f t="shared" si="73"/>
        <v>0</v>
      </c>
      <c r="M296" s="140" t="str">
        <f t="shared" si="74"/>
        <v>7000/026Prepaid lease agreement - acc amortisation b/fwd</v>
      </c>
      <c r="N296" s="70"/>
      <c r="P296" s="71"/>
      <c r="Q296" s="51"/>
      <c r="R296" s="31"/>
    </row>
    <row r="297" spans="1:18" x14ac:dyDescent="0.2">
      <c r="A297" s="238"/>
      <c r="B297" s="90" t="s">
        <v>1046</v>
      </c>
      <c r="C297" s="242" t="s">
        <v>1047</v>
      </c>
      <c r="D297" s="283"/>
      <c r="E297" s="272"/>
      <c r="F297" s="79"/>
      <c r="G297" s="47">
        <f>SUMIF(JournalsA!D$14:D$920,TrialBalanceA!M297,JournalsA!J$14:J$920)+SUMIF(JournalsA!E$14:E$920,TrialBalanceA!M297,JournalsA!J$14:J$920)</f>
        <v>0</v>
      </c>
      <c r="H297" s="288"/>
      <c r="I297" s="255">
        <f t="shared" si="72"/>
        <v>0</v>
      </c>
      <c r="J297" s="75"/>
      <c r="K297" s="48">
        <f t="shared" si="73"/>
        <v>0</v>
      </c>
      <c r="M297" s="140" t="str">
        <f t="shared" si="74"/>
        <v>7000/027Prepaid lease agreement - amortisation this year</v>
      </c>
      <c r="N297" s="70"/>
      <c r="P297" s="71"/>
      <c r="Q297" s="51"/>
      <c r="R297" s="31"/>
    </row>
    <row r="298" spans="1:18" x14ac:dyDescent="0.2">
      <c r="A298" s="238"/>
      <c r="B298" s="90" t="s">
        <v>1048</v>
      </c>
      <c r="C298" s="239" t="s">
        <v>1049</v>
      </c>
      <c r="D298" s="283"/>
      <c r="E298" s="272"/>
      <c r="F298" s="79"/>
      <c r="G298" s="47">
        <f>SUMIF(JournalsA!D$14:D$920,TrialBalanceA!M298,JournalsA!J$14:J$920)+SUMIF(JournalsA!E$14:E$920,TrialBalanceA!M298,JournalsA!J$14:J$920)</f>
        <v>0</v>
      </c>
      <c r="H298" s="288"/>
      <c r="I298" s="255">
        <f t="shared" si="72"/>
        <v>0</v>
      </c>
      <c r="J298" s="75"/>
      <c r="K298" s="48">
        <f t="shared" si="73"/>
        <v>0</v>
      </c>
      <c r="M298" s="140" t="str">
        <f t="shared" si="74"/>
        <v>7000/030PREPAID LEASE AGREEMENT - IMPAIRMENT</v>
      </c>
      <c r="N298" s="70"/>
      <c r="P298" s="71"/>
      <c r="Q298" s="51"/>
      <c r="R298" s="31"/>
    </row>
    <row r="299" spans="1:18" x14ac:dyDescent="0.2">
      <c r="A299" s="238"/>
      <c r="B299" s="90" t="s">
        <v>1050</v>
      </c>
      <c r="C299" s="242" t="s">
        <v>1051</v>
      </c>
      <c r="D299" s="283"/>
      <c r="E299" s="272"/>
      <c r="F299" s="79">
        <f>SUM(K299:K300)</f>
        <v>0</v>
      </c>
      <c r="G299" s="47">
        <f>SUMIF(JournalsA!D$14:D$920,TrialBalanceA!M299,JournalsA!J$14:J$920)+SUMIF(JournalsA!E$14:E$920,TrialBalanceA!M299,JournalsA!J$14:J$920)</f>
        <v>0</v>
      </c>
      <c r="H299" s="288"/>
      <c r="I299" s="255">
        <f t="shared" si="72"/>
        <v>0</v>
      </c>
      <c r="J299" s="75"/>
      <c r="K299" s="48">
        <f t="shared" si="73"/>
        <v>0</v>
      </c>
      <c r="M299" s="140" t="str">
        <f t="shared" si="74"/>
        <v>7000/031Prepaid lease agreement - impairment loss b/fwd</v>
      </c>
      <c r="N299" s="70"/>
      <c r="P299" s="71"/>
      <c r="Q299" s="51"/>
      <c r="R299" s="31"/>
    </row>
    <row r="300" spans="1:18" x14ac:dyDescent="0.2">
      <c r="A300" s="238"/>
      <c r="B300" s="90" t="s">
        <v>1052</v>
      </c>
      <c r="C300" s="242" t="s">
        <v>1053</v>
      </c>
      <c r="D300" s="283"/>
      <c r="E300" s="272"/>
      <c r="F300" s="79"/>
      <c r="G300" s="47">
        <f>SUMIF(JournalsA!D$14:D$920,TrialBalanceA!M300,JournalsA!J$14:J$920)+SUMIF(JournalsA!E$14:E$920,TrialBalanceA!M300,JournalsA!J$14:J$920)</f>
        <v>0</v>
      </c>
      <c r="H300" s="288"/>
      <c r="I300" s="255">
        <f t="shared" si="72"/>
        <v>0</v>
      </c>
      <c r="J300" s="75"/>
      <c r="K300" s="48">
        <f t="shared" si="73"/>
        <v>0</v>
      </c>
      <c r="M300" s="140" t="str">
        <f t="shared" si="74"/>
        <v>7000/032Prepaid lease agreement - impairment loss this year</v>
      </c>
      <c r="N300" s="70"/>
      <c r="P300" s="71"/>
      <c r="Q300" s="51"/>
      <c r="R300" s="31"/>
    </row>
    <row r="301" spans="1:18" x14ac:dyDescent="0.2">
      <c r="A301" s="238"/>
      <c r="B301" s="54" t="s">
        <v>466</v>
      </c>
      <c r="C301" s="239" t="s">
        <v>171</v>
      </c>
      <c r="D301" s="283"/>
      <c r="E301" s="272"/>
      <c r="F301" s="79"/>
      <c r="G301" s="47">
        <f>SUMIF(JournalsA!D$14:D$920,TrialBalanceA!M301,JournalsA!J$14:J$920)+SUMIF(JournalsA!E$14:E$920,TrialBalanceA!M301,JournalsA!J$14:J$920)</f>
        <v>0</v>
      </c>
      <c r="H301" s="288"/>
      <c r="I301" s="255">
        <f t="shared" ref="I301:I315" si="75">ROUND(D301-E301+G301+F301,0)</f>
        <v>0</v>
      </c>
      <c r="J301" s="75"/>
      <c r="K301" s="48">
        <f t="shared" ref="K301:K315" si="76">ROUND(SUM(A301),0)</f>
        <v>0</v>
      </c>
      <c r="M301" s="140" t="str">
        <f t="shared" ref="M301:M368" si="77">CONCATENATE(B301,C301)</f>
        <v>7100/000INVESTMENTS</v>
      </c>
      <c r="N301" s="70"/>
      <c r="P301" s="71"/>
      <c r="Q301" s="51"/>
      <c r="R301" s="31"/>
    </row>
    <row r="302" spans="1:18" x14ac:dyDescent="0.2">
      <c r="A302" s="238"/>
      <c r="B302" s="90" t="s">
        <v>917</v>
      </c>
      <c r="C302" s="242" t="s">
        <v>918</v>
      </c>
      <c r="D302" s="283"/>
      <c r="E302" s="272"/>
      <c r="F302" s="79"/>
      <c r="G302" s="47">
        <f>SUMIF(JournalsA!D$14:D$920,TrialBalanceA!M302,JournalsA!J$14:J$920)+SUMIF(JournalsA!E$14:E$920,TrialBalanceA!M302,JournalsA!J$14:J$920)</f>
        <v>0</v>
      </c>
      <c r="H302" s="288"/>
      <c r="I302" s="255">
        <f t="shared" ref="I302:I305" si="78">ROUND(D302-E302+G302+F302,0)</f>
        <v>0</v>
      </c>
      <c r="J302" s="75"/>
      <c r="K302" s="48">
        <f t="shared" ref="K302:K305" si="79">ROUND(SUM(A302),0)</f>
        <v>0</v>
      </c>
      <c r="M302" s="140" t="str">
        <f t="shared" ref="M302:M305" si="80">CONCATENATE(B302,C302)</f>
        <v>7100/050INVESTMENTS IN ASSOCIATES</v>
      </c>
      <c r="N302" s="70"/>
      <c r="P302" s="71"/>
      <c r="Q302" s="51"/>
      <c r="R302" s="31"/>
    </row>
    <row r="303" spans="1:18" x14ac:dyDescent="0.2">
      <c r="A303" s="238"/>
      <c r="B303" s="90" t="s">
        <v>919</v>
      </c>
      <c r="C303" s="276" t="str">
        <f>TrialBalance!C303</f>
        <v>100 Shares in ABC Company (Pty) Ltd - 100% interest</v>
      </c>
      <c r="D303" s="250"/>
      <c r="E303" s="251"/>
      <c r="F303" s="79">
        <f>K303</f>
        <v>0</v>
      </c>
      <c r="G303" s="47">
        <f>SUMIF(JournalsA!D$14:D$920,TrialBalanceA!M303,JournalsA!J$14:J$920)+SUMIF(JournalsA!E$14:E$920,TrialBalanceA!M303,JournalsA!J$14:J$920)</f>
        <v>0</v>
      </c>
      <c r="H303" s="288"/>
      <c r="I303" s="255">
        <f t="shared" si="78"/>
        <v>0</v>
      </c>
      <c r="J303" s="75"/>
      <c r="K303" s="48">
        <f t="shared" si="79"/>
        <v>0</v>
      </c>
      <c r="M303" s="140" t="str">
        <f t="shared" si="80"/>
        <v>7100/051100 Shares in ABC Company (Pty) Ltd - 100% interest</v>
      </c>
      <c r="N303" s="70"/>
      <c r="P303" s="71"/>
      <c r="Q303" s="51"/>
      <c r="R303" s="31"/>
    </row>
    <row r="304" spans="1:18" x14ac:dyDescent="0.2">
      <c r="A304" s="238"/>
      <c r="B304" s="90" t="s">
        <v>921</v>
      </c>
      <c r="C304" s="276">
        <f>TrialBalance!C304</f>
        <v>0</v>
      </c>
      <c r="D304" s="250"/>
      <c r="E304" s="251"/>
      <c r="F304" s="79">
        <f>K304</f>
        <v>0</v>
      </c>
      <c r="G304" s="47">
        <f>SUMIF(JournalsA!D$14:D$920,TrialBalanceA!M304,JournalsA!J$14:J$920)+SUMIF(JournalsA!E$14:E$920,TrialBalanceA!M304,JournalsA!J$14:J$920)</f>
        <v>0</v>
      </c>
      <c r="H304" s="288"/>
      <c r="I304" s="255">
        <f t="shared" si="78"/>
        <v>0</v>
      </c>
      <c r="J304" s="75"/>
      <c r="K304" s="48">
        <f t="shared" si="79"/>
        <v>0</v>
      </c>
      <c r="M304" s="140" t="str">
        <f t="shared" si="80"/>
        <v>7100/0520</v>
      </c>
      <c r="N304" s="70"/>
      <c r="P304" s="71"/>
      <c r="Q304" s="51"/>
      <c r="R304" s="31"/>
    </row>
    <row r="305" spans="1:18" x14ac:dyDescent="0.2">
      <c r="A305" s="238"/>
      <c r="B305" s="90" t="s">
        <v>922</v>
      </c>
      <c r="C305" s="276">
        <f>TrialBalance!C305</f>
        <v>0</v>
      </c>
      <c r="D305" s="250"/>
      <c r="E305" s="251"/>
      <c r="F305" s="79">
        <f>K305</f>
        <v>0</v>
      </c>
      <c r="G305" s="47">
        <f>SUMIF(JournalsA!D$14:D$920,TrialBalanceA!M305,JournalsA!J$14:J$920)+SUMIF(JournalsA!E$14:E$920,TrialBalanceA!M305,JournalsA!J$14:J$920)</f>
        <v>0</v>
      </c>
      <c r="H305" s="288"/>
      <c r="I305" s="255">
        <f t="shared" si="78"/>
        <v>0</v>
      </c>
      <c r="J305" s="75"/>
      <c r="K305" s="48">
        <f t="shared" si="79"/>
        <v>0</v>
      </c>
      <c r="M305" s="140" t="str">
        <f t="shared" si="80"/>
        <v>7100/0530</v>
      </c>
      <c r="N305" s="70"/>
      <c r="P305" s="71"/>
      <c r="Q305" s="51"/>
      <c r="R305" s="31"/>
    </row>
    <row r="306" spans="1:18" x14ac:dyDescent="0.2">
      <c r="A306" s="238"/>
      <c r="B306" s="54" t="s">
        <v>467</v>
      </c>
      <c r="C306" s="240" t="s">
        <v>468</v>
      </c>
      <c r="D306" s="282"/>
      <c r="E306" s="272"/>
      <c r="F306" s="79"/>
      <c r="G306" s="47">
        <f>SUMIF(JournalsA!D$14:D$920,TrialBalanceA!M306,JournalsA!J$14:J$920)+SUMIF(JournalsA!E$14:E$920,TrialBalanceA!M306,JournalsA!J$14:J$920)</f>
        <v>0</v>
      </c>
      <c r="H306" s="288"/>
      <c r="I306" s="255">
        <f t="shared" si="75"/>
        <v>0</v>
      </c>
      <c r="J306" s="75"/>
      <c r="K306" s="48">
        <f t="shared" si="76"/>
        <v>0</v>
      </c>
      <c r="M306" s="140" t="str">
        <f t="shared" si="77"/>
        <v>7100/100LISTED INVESTMENTS</v>
      </c>
      <c r="N306" s="70"/>
      <c r="P306" s="71"/>
      <c r="Q306" s="51"/>
      <c r="R306" s="31"/>
    </row>
    <row r="307" spans="1:18" x14ac:dyDescent="0.2">
      <c r="A307" s="238"/>
      <c r="B307" s="54" t="s">
        <v>469</v>
      </c>
      <c r="C307" s="276">
        <f>TrialBalance!C307</f>
        <v>0</v>
      </c>
      <c r="D307" s="282"/>
      <c r="E307" s="272"/>
      <c r="F307" s="79">
        <f>K307</f>
        <v>0</v>
      </c>
      <c r="G307" s="47">
        <f>SUMIF(JournalsA!D$14:D$920,TrialBalanceA!M307,JournalsA!J$14:J$920)+SUMIF(JournalsA!E$14:E$920,TrialBalanceA!M307,JournalsA!J$14:J$920)</f>
        <v>0</v>
      </c>
      <c r="H307" s="288"/>
      <c r="I307" s="255">
        <f t="shared" si="75"/>
        <v>0</v>
      </c>
      <c r="J307" s="75"/>
      <c r="K307" s="48">
        <f t="shared" si="76"/>
        <v>0</v>
      </c>
      <c r="M307" s="140" t="str">
        <f t="shared" si="77"/>
        <v>7100/1010</v>
      </c>
      <c r="N307" s="70"/>
      <c r="P307" s="71"/>
      <c r="Q307" s="51"/>
      <c r="R307" s="31"/>
    </row>
    <row r="308" spans="1:18" x14ac:dyDescent="0.2">
      <c r="A308" s="238"/>
      <c r="B308" s="54" t="s">
        <v>470</v>
      </c>
      <c r="C308" s="276">
        <f>TrialBalance!C308</f>
        <v>0</v>
      </c>
      <c r="D308" s="282"/>
      <c r="E308" s="272"/>
      <c r="F308" s="79">
        <f t="shared" ref="F308:F376" si="81">K308</f>
        <v>0</v>
      </c>
      <c r="G308" s="47">
        <f>SUMIF(JournalsA!D$14:D$920,TrialBalanceA!M308,JournalsA!J$14:J$920)+SUMIF(JournalsA!E$14:E$920,TrialBalanceA!M308,JournalsA!J$14:J$920)</f>
        <v>0</v>
      </c>
      <c r="H308" s="288"/>
      <c r="I308" s="255">
        <f t="shared" si="75"/>
        <v>0</v>
      </c>
      <c r="J308" s="75"/>
      <c r="K308" s="48">
        <f t="shared" si="76"/>
        <v>0</v>
      </c>
      <c r="M308" s="140" t="str">
        <f t="shared" si="77"/>
        <v>7100/1020</v>
      </c>
      <c r="N308" s="70"/>
      <c r="P308" s="71"/>
      <c r="Q308" s="51"/>
      <c r="R308" s="31"/>
    </row>
    <row r="309" spans="1:18" x14ac:dyDescent="0.2">
      <c r="A309" s="238"/>
      <c r="B309" s="54" t="s">
        <v>471</v>
      </c>
      <c r="C309" s="276">
        <f>TrialBalance!C309</f>
        <v>0</v>
      </c>
      <c r="D309" s="282"/>
      <c r="E309" s="272"/>
      <c r="F309" s="79">
        <f t="shared" si="81"/>
        <v>0</v>
      </c>
      <c r="G309" s="47">
        <f>SUMIF(JournalsA!D$14:D$920,TrialBalanceA!M309,JournalsA!J$14:J$920)+SUMIF(JournalsA!E$14:E$920,TrialBalanceA!M309,JournalsA!J$14:J$920)</f>
        <v>0</v>
      </c>
      <c r="H309" s="288"/>
      <c r="I309" s="255">
        <f t="shared" si="75"/>
        <v>0</v>
      </c>
      <c r="J309" s="75"/>
      <c r="K309" s="48">
        <f t="shared" si="76"/>
        <v>0</v>
      </c>
      <c r="M309" s="140" t="str">
        <f t="shared" si="77"/>
        <v>7100/1030</v>
      </c>
      <c r="N309" s="70"/>
      <c r="P309" s="71"/>
      <c r="Q309" s="51"/>
      <c r="R309" s="31"/>
    </row>
    <row r="310" spans="1:18" x14ac:dyDescent="0.2">
      <c r="A310" s="238"/>
      <c r="B310" s="54" t="s">
        <v>472</v>
      </c>
      <c r="C310" s="276">
        <f>TrialBalance!C310</f>
        <v>0</v>
      </c>
      <c r="D310" s="282"/>
      <c r="E310" s="272"/>
      <c r="F310" s="79">
        <f t="shared" si="81"/>
        <v>0</v>
      </c>
      <c r="G310" s="47">
        <f>SUMIF(JournalsA!D$14:D$920,TrialBalanceA!M310,JournalsA!J$14:J$920)+SUMIF(JournalsA!E$14:E$920,TrialBalanceA!M310,JournalsA!J$14:J$920)</f>
        <v>0</v>
      </c>
      <c r="H310" s="288"/>
      <c r="I310" s="255">
        <f t="shared" si="75"/>
        <v>0</v>
      </c>
      <c r="J310" s="75"/>
      <c r="K310" s="48">
        <f t="shared" si="76"/>
        <v>0</v>
      </c>
      <c r="M310" s="140" t="str">
        <f t="shared" si="77"/>
        <v>7100/1040</v>
      </c>
      <c r="N310" s="70"/>
      <c r="P310" s="71"/>
      <c r="Q310" s="51"/>
      <c r="R310" s="31"/>
    </row>
    <row r="311" spans="1:18" x14ac:dyDescent="0.2">
      <c r="A311" s="238"/>
      <c r="B311" s="54" t="s">
        <v>473</v>
      </c>
      <c r="C311" s="276">
        <f>TrialBalance!C311</f>
        <v>0</v>
      </c>
      <c r="D311" s="282"/>
      <c r="E311" s="272"/>
      <c r="F311" s="79">
        <f t="shared" si="81"/>
        <v>0</v>
      </c>
      <c r="G311" s="47">
        <f>SUMIF(JournalsA!D$14:D$920,TrialBalanceA!M311,JournalsA!J$14:J$920)+SUMIF(JournalsA!E$14:E$920,TrialBalanceA!M311,JournalsA!J$14:J$920)</f>
        <v>0</v>
      </c>
      <c r="H311" s="288"/>
      <c r="I311" s="255">
        <f t="shared" si="75"/>
        <v>0</v>
      </c>
      <c r="J311" s="75"/>
      <c r="K311" s="48">
        <f t="shared" si="76"/>
        <v>0</v>
      </c>
      <c r="M311" s="140" t="str">
        <f t="shared" si="77"/>
        <v>7100/1050</v>
      </c>
      <c r="N311" s="70"/>
      <c r="P311" s="71"/>
      <c r="Q311" s="51"/>
      <c r="R311" s="31"/>
    </row>
    <row r="312" spans="1:18" x14ac:dyDescent="0.2">
      <c r="A312" s="238"/>
      <c r="B312" s="54" t="s">
        <v>474</v>
      </c>
      <c r="C312" s="239" t="s">
        <v>373</v>
      </c>
      <c r="D312" s="284"/>
      <c r="E312" s="272"/>
      <c r="F312" s="79"/>
      <c r="G312" s="47">
        <f>SUMIF(JournalsA!D$14:D$920,TrialBalanceA!M312,JournalsA!J$14:J$920)+SUMIF(JournalsA!E$14:E$920,TrialBalanceA!M312,JournalsA!J$14:J$920)</f>
        <v>0</v>
      </c>
      <c r="H312" s="288"/>
      <c r="I312" s="255">
        <f t="shared" si="75"/>
        <v>0</v>
      </c>
      <c r="J312" s="75"/>
      <c r="K312" s="48">
        <f t="shared" si="76"/>
        <v>0</v>
      </c>
      <c r="M312" s="140" t="str">
        <f t="shared" si="77"/>
        <v>7100/200OTHER INVESTMENTS</v>
      </c>
      <c r="N312" s="70"/>
      <c r="P312" s="71"/>
      <c r="Q312" s="51"/>
      <c r="R312" s="31"/>
    </row>
    <row r="313" spans="1:18" x14ac:dyDescent="0.2">
      <c r="A313" s="238"/>
      <c r="B313" s="54" t="s">
        <v>475</v>
      </c>
      <c r="C313" s="276">
        <f>TrialBalance!C313</f>
        <v>0</v>
      </c>
      <c r="D313" s="284"/>
      <c r="E313" s="272"/>
      <c r="F313" s="79">
        <f t="shared" si="81"/>
        <v>0</v>
      </c>
      <c r="G313" s="47">
        <f>SUMIF(JournalsA!D$14:D$920,TrialBalanceA!M313,JournalsA!J$14:J$920)+SUMIF(JournalsA!E$14:E$920,TrialBalanceA!M313,JournalsA!J$14:J$920)</f>
        <v>0</v>
      </c>
      <c r="H313" s="288"/>
      <c r="I313" s="255">
        <f t="shared" si="75"/>
        <v>0</v>
      </c>
      <c r="J313" s="75"/>
      <c r="K313" s="48">
        <f t="shared" si="76"/>
        <v>0</v>
      </c>
      <c r="M313" s="140" t="str">
        <f t="shared" si="77"/>
        <v>7100/2010</v>
      </c>
      <c r="N313" s="70"/>
      <c r="P313" s="71"/>
      <c r="Q313" s="51"/>
      <c r="R313" s="31"/>
    </row>
    <row r="314" spans="1:18" x14ac:dyDescent="0.2">
      <c r="A314" s="238"/>
      <c r="B314" s="54" t="s">
        <v>476</v>
      </c>
      <c r="C314" s="276">
        <f>TrialBalance!C314</f>
        <v>0</v>
      </c>
      <c r="D314" s="284"/>
      <c r="E314" s="272"/>
      <c r="F314" s="79">
        <f t="shared" si="81"/>
        <v>0</v>
      </c>
      <c r="G314" s="47">
        <f>SUMIF(JournalsA!D$14:D$920,TrialBalanceA!M314,JournalsA!J$14:J$920)+SUMIF(JournalsA!E$14:E$920,TrialBalanceA!M314,JournalsA!J$14:J$920)</f>
        <v>0</v>
      </c>
      <c r="H314" s="288"/>
      <c r="I314" s="255">
        <f t="shared" si="75"/>
        <v>0</v>
      </c>
      <c r="J314" s="75"/>
      <c r="K314" s="48">
        <f t="shared" si="76"/>
        <v>0</v>
      </c>
      <c r="M314" s="140" t="str">
        <f t="shared" si="77"/>
        <v>7100/2020</v>
      </c>
      <c r="N314" s="70"/>
      <c r="P314" s="71"/>
      <c r="Q314" s="51"/>
      <c r="R314" s="31"/>
    </row>
    <row r="315" spans="1:18" x14ac:dyDescent="0.2">
      <c r="A315" s="238"/>
      <c r="B315" s="54" t="s">
        <v>477</v>
      </c>
      <c r="C315" s="276">
        <f>TrialBalance!C315</f>
        <v>0</v>
      </c>
      <c r="D315" s="282"/>
      <c r="E315" s="272"/>
      <c r="F315" s="79">
        <f t="shared" si="81"/>
        <v>0</v>
      </c>
      <c r="G315" s="47">
        <f>SUMIF(JournalsA!D$14:D$920,TrialBalanceA!M315,JournalsA!J$14:J$920)+SUMIF(JournalsA!E$14:E$920,TrialBalanceA!M315,JournalsA!J$14:J$920)</f>
        <v>0</v>
      </c>
      <c r="H315" s="288"/>
      <c r="I315" s="255">
        <f t="shared" si="75"/>
        <v>0</v>
      </c>
      <c r="J315" s="75"/>
      <c r="K315" s="48">
        <f t="shared" si="76"/>
        <v>0</v>
      </c>
      <c r="M315" s="140" t="str">
        <f t="shared" si="77"/>
        <v>7100/2030</v>
      </c>
      <c r="N315" s="70"/>
      <c r="P315" s="71"/>
      <c r="Q315" s="51"/>
      <c r="R315" s="31"/>
    </row>
    <row r="316" spans="1:18" x14ac:dyDescent="0.2">
      <c r="A316" s="238"/>
      <c r="B316" s="54" t="s">
        <v>478</v>
      </c>
      <c r="C316" s="276">
        <f>TrialBalance!C316</f>
        <v>0</v>
      </c>
      <c r="D316" s="282"/>
      <c r="E316" s="272"/>
      <c r="F316" s="79">
        <f t="shared" si="81"/>
        <v>0</v>
      </c>
      <c r="G316" s="47">
        <f>SUMIF(JournalsA!D$14:D$920,TrialBalanceA!M316,JournalsA!J$14:J$920)+SUMIF(JournalsA!E$14:E$920,TrialBalanceA!M316,JournalsA!J$14:J$920)</f>
        <v>0</v>
      </c>
      <c r="H316" s="288"/>
      <c r="I316" s="255">
        <f t="shared" ref="I316:I367" si="82">ROUND(D316-E316+G316+F316,0)</f>
        <v>0</v>
      </c>
      <c r="J316" s="75"/>
      <c r="K316" s="48">
        <f t="shared" ref="K316:K367" si="83">ROUND(SUM(A316),0)</f>
        <v>0</v>
      </c>
      <c r="M316" s="140" t="str">
        <f t="shared" si="77"/>
        <v>7100/2040</v>
      </c>
      <c r="N316" s="70"/>
      <c r="P316" s="71"/>
      <c r="Q316" s="51"/>
      <c r="R316" s="31"/>
    </row>
    <row r="317" spans="1:18" x14ac:dyDescent="0.2">
      <c r="A317" s="238"/>
      <c r="B317" s="54" t="s">
        <v>155</v>
      </c>
      <c r="C317" s="276">
        <f>TrialBalance!C317</f>
        <v>0</v>
      </c>
      <c r="D317" s="282"/>
      <c r="E317" s="272"/>
      <c r="F317" s="79">
        <f t="shared" si="81"/>
        <v>0</v>
      </c>
      <c r="G317" s="47">
        <f>SUMIF(JournalsA!D$14:D$920,TrialBalanceA!M317,JournalsA!J$14:J$920)+SUMIF(JournalsA!E$14:E$920,TrialBalanceA!M317,JournalsA!J$14:J$920)</f>
        <v>0</v>
      </c>
      <c r="H317" s="288"/>
      <c r="I317" s="255">
        <f t="shared" si="82"/>
        <v>0</v>
      </c>
      <c r="J317" s="75"/>
      <c r="K317" s="48">
        <f t="shared" si="83"/>
        <v>0</v>
      </c>
      <c r="M317" s="140" t="str">
        <f t="shared" si="77"/>
        <v>7100/2050</v>
      </c>
      <c r="N317" s="70"/>
      <c r="P317" s="71"/>
      <c r="Q317" s="51"/>
      <c r="R317" s="31"/>
    </row>
    <row r="318" spans="1:18" x14ac:dyDescent="0.2">
      <c r="A318" s="238"/>
      <c r="B318" s="54" t="s">
        <v>156</v>
      </c>
      <c r="C318" s="242" t="s">
        <v>734</v>
      </c>
      <c r="D318" s="282"/>
      <c r="E318" s="272"/>
      <c r="F318" s="79"/>
      <c r="G318" s="47">
        <f>SUMIF(JournalsA!D$14:D$920,TrialBalanceA!M318,JournalsA!J$14:J$920)+SUMIF(JournalsA!E$14:E$920,TrialBalanceA!M318,JournalsA!J$14:J$920)</f>
        <v>0</v>
      </c>
      <c r="H318" s="288"/>
      <c r="I318" s="255">
        <f t="shared" si="82"/>
        <v>0</v>
      </c>
      <c r="J318" s="75"/>
      <c r="K318" s="48">
        <f t="shared" si="83"/>
        <v>0</v>
      </c>
      <c r="M318" s="140" t="str">
        <f t="shared" si="77"/>
        <v>7450/000CONNECTED ENTITIES LOANS</v>
      </c>
      <c r="N318" s="70"/>
      <c r="P318" s="71"/>
      <c r="Q318" s="51"/>
      <c r="R318" s="31"/>
    </row>
    <row r="319" spans="1:18" x14ac:dyDescent="0.2">
      <c r="A319" s="238"/>
      <c r="B319" s="54" t="s">
        <v>156</v>
      </c>
      <c r="C319" s="242" t="s">
        <v>679</v>
      </c>
      <c r="D319" s="282"/>
      <c r="E319" s="272"/>
      <c r="F319" s="79"/>
      <c r="G319" s="47">
        <f>SUMIF(JournalsA!D$14:D$920,TrialBalanceA!M319,JournalsA!J$14:J$920)+SUMIF(JournalsA!E$14:E$920,TrialBalanceA!M319,JournalsA!J$14:J$920)</f>
        <v>0</v>
      </c>
      <c r="H319" s="288"/>
      <c r="I319" s="255">
        <f t="shared" ref="I319" si="84">ROUND(D319-E319+G319+F319,0)</f>
        <v>0</v>
      </c>
      <c r="J319" s="75"/>
      <c r="K319" s="48">
        <f t="shared" ref="K319" si="85">ROUND(SUM(A319),0)</f>
        <v>0</v>
      </c>
      <c r="M319" s="140" t="str">
        <f t="shared" ref="M319" si="86">CONCATENATE(B319,C319)</f>
        <v>7450/000Interest bearing</v>
      </c>
      <c r="N319" s="70"/>
      <c r="P319" s="71"/>
      <c r="Q319" s="51"/>
      <c r="R319" s="31"/>
    </row>
    <row r="320" spans="1:18" x14ac:dyDescent="0.2">
      <c r="A320" s="238"/>
      <c r="B320" s="54" t="s">
        <v>157</v>
      </c>
      <c r="C320" s="276">
        <f>TrialBalance!C320</f>
        <v>0</v>
      </c>
      <c r="D320" s="284"/>
      <c r="E320" s="272"/>
      <c r="F320" s="79">
        <f t="shared" si="81"/>
        <v>0</v>
      </c>
      <c r="G320" s="47">
        <f>SUMIF(JournalsA!D$14:D$920,TrialBalanceA!M320,JournalsA!J$14:J$920)+SUMIF(JournalsA!E$14:E$920,TrialBalanceA!M320,JournalsA!J$14:J$920)</f>
        <v>0</v>
      </c>
      <c r="H320" s="288"/>
      <c r="I320" s="255">
        <f t="shared" si="82"/>
        <v>0</v>
      </c>
      <c r="J320" s="75"/>
      <c r="K320" s="48">
        <f t="shared" si="83"/>
        <v>0</v>
      </c>
      <c r="M320" s="140" t="str">
        <f t="shared" si="77"/>
        <v>7450/0010</v>
      </c>
      <c r="N320" s="70"/>
      <c r="P320" s="71"/>
      <c r="Q320" s="51"/>
      <c r="R320" s="31"/>
    </row>
    <row r="321" spans="1:18" x14ac:dyDescent="0.2">
      <c r="A321" s="238"/>
      <c r="B321" s="54" t="s">
        <v>158</v>
      </c>
      <c r="C321" s="276">
        <f>TrialBalance!C321</f>
        <v>0</v>
      </c>
      <c r="D321" s="284"/>
      <c r="E321" s="272"/>
      <c r="F321" s="79">
        <f t="shared" ref="F321:F322" si="87">K321</f>
        <v>0</v>
      </c>
      <c r="G321" s="47">
        <f>SUMIF(JournalsA!D$14:D$920,TrialBalanceA!M321,JournalsA!J$14:J$920)+SUMIF(JournalsA!E$14:E$920,TrialBalanceA!M321,JournalsA!J$14:J$920)</f>
        <v>0</v>
      </c>
      <c r="H321" s="288"/>
      <c r="I321" s="255">
        <f t="shared" ref="I321:I322" si="88">ROUND(D321-E321+G321+F321,0)</f>
        <v>0</v>
      </c>
      <c r="J321" s="75"/>
      <c r="K321" s="48">
        <f t="shared" ref="K321:K322" si="89">ROUND(SUM(A321),0)</f>
        <v>0</v>
      </c>
      <c r="M321" s="140" t="str">
        <f t="shared" ref="M321:M322" si="90">CONCATENATE(B321,C321)</f>
        <v>7450/0020</v>
      </c>
      <c r="N321" s="70"/>
      <c r="P321" s="71"/>
      <c r="Q321" s="51"/>
      <c r="R321" s="31"/>
    </row>
    <row r="322" spans="1:18" x14ac:dyDescent="0.2">
      <c r="A322" s="238"/>
      <c r="B322" s="90" t="s">
        <v>159</v>
      </c>
      <c r="C322" s="276">
        <f>TrialBalance!C322</f>
        <v>0</v>
      </c>
      <c r="D322" s="284"/>
      <c r="E322" s="272"/>
      <c r="F322" s="79">
        <f t="shared" si="87"/>
        <v>0</v>
      </c>
      <c r="G322" s="47">
        <f>SUMIF(JournalsA!D$14:D$920,TrialBalanceA!M322,JournalsA!J$14:J$920)+SUMIF(JournalsA!E$14:E$920,TrialBalanceA!M322,JournalsA!J$14:J$920)</f>
        <v>0</v>
      </c>
      <c r="H322" s="288"/>
      <c r="I322" s="255">
        <f t="shared" si="88"/>
        <v>0</v>
      </c>
      <c r="J322" s="75"/>
      <c r="K322" s="48">
        <f t="shared" si="89"/>
        <v>0</v>
      </c>
      <c r="M322" s="140" t="str">
        <f t="shared" si="90"/>
        <v>7450/0030</v>
      </c>
      <c r="N322" s="70"/>
      <c r="P322" s="71"/>
      <c r="Q322" s="51"/>
      <c r="R322" s="31"/>
    </row>
    <row r="323" spans="1:18" x14ac:dyDescent="0.2">
      <c r="A323" s="238"/>
      <c r="B323" s="90" t="s">
        <v>424</v>
      </c>
      <c r="C323" s="276">
        <f>TrialBalance!C323</f>
        <v>0</v>
      </c>
      <c r="D323" s="284"/>
      <c r="E323" s="272"/>
      <c r="F323" s="79">
        <f t="shared" ref="F323:F328" si="91">K323</f>
        <v>0</v>
      </c>
      <c r="G323" s="47">
        <f>SUMIF(JournalsA!D$14:D$920,TrialBalanceA!M323,JournalsA!J$14:J$920)+SUMIF(JournalsA!E$14:E$920,TrialBalanceA!M323,JournalsA!J$14:J$920)</f>
        <v>0</v>
      </c>
      <c r="H323" s="288"/>
      <c r="I323" s="255">
        <f t="shared" ref="I323:I328" si="92">ROUND(D323-E323+G323+F323,0)</f>
        <v>0</v>
      </c>
      <c r="J323" s="75"/>
      <c r="K323" s="48">
        <f t="shared" ref="K323:K328" si="93">ROUND(SUM(A323),0)</f>
        <v>0</v>
      </c>
      <c r="M323" s="140" t="str">
        <f t="shared" ref="M323:M328" si="94">CONCATENATE(B323,C323)</f>
        <v>7450/0040</v>
      </c>
      <c r="N323" s="70"/>
      <c r="P323" s="71"/>
      <c r="Q323" s="51"/>
      <c r="R323" s="31"/>
    </row>
    <row r="324" spans="1:18" x14ac:dyDescent="0.2">
      <c r="A324" s="238"/>
      <c r="B324" s="90" t="s">
        <v>290</v>
      </c>
      <c r="C324" s="276">
        <f>TrialBalance!C324</f>
        <v>0</v>
      </c>
      <c r="D324" s="284"/>
      <c r="E324" s="272"/>
      <c r="F324" s="79">
        <f t="shared" si="91"/>
        <v>0</v>
      </c>
      <c r="G324" s="47">
        <f>SUMIF(JournalsA!D$14:D$920,TrialBalanceA!M324,JournalsA!J$14:J$920)+SUMIF(JournalsA!E$14:E$920,TrialBalanceA!M324,JournalsA!J$14:J$920)</f>
        <v>0</v>
      </c>
      <c r="H324" s="288"/>
      <c r="I324" s="255">
        <f t="shared" si="92"/>
        <v>0</v>
      </c>
      <c r="J324" s="75"/>
      <c r="K324" s="48">
        <f t="shared" si="93"/>
        <v>0</v>
      </c>
      <c r="M324" s="140" t="str">
        <f t="shared" si="94"/>
        <v>7450/0050</v>
      </c>
      <c r="N324" s="70"/>
      <c r="P324" s="71"/>
      <c r="Q324" s="51"/>
      <c r="R324" s="31"/>
    </row>
    <row r="325" spans="1:18" x14ac:dyDescent="0.2">
      <c r="A325" s="238"/>
      <c r="B325" s="90" t="s">
        <v>755</v>
      </c>
      <c r="C325" s="276">
        <f>TrialBalance!C325</f>
        <v>0</v>
      </c>
      <c r="D325" s="284"/>
      <c r="E325" s="272"/>
      <c r="F325" s="79">
        <f t="shared" si="91"/>
        <v>0</v>
      </c>
      <c r="G325" s="47">
        <f>SUMIF(JournalsA!D$14:D$920,TrialBalanceA!M325,JournalsA!J$14:J$920)+SUMIF(JournalsA!E$14:E$920,TrialBalanceA!M325,JournalsA!J$14:J$920)</f>
        <v>0</v>
      </c>
      <c r="H325" s="288"/>
      <c r="I325" s="255">
        <f t="shared" si="92"/>
        <v>0</v>
      </c>
      <c r="J325" s="75"/>
      <c r="K325" s="48">
        <f t="shared" si="93"/>
        <v>0</v>
      </c>
      <c r="M325" s="140" t="str">
        <f t="shared" si="94"/>
        <v>7450/0060</v>
      </c>
      <c r="N325" s="70"/>
      <c r="P325" s="71"/>
      <c r="Q325" s="51"/>
      <c r="R325" s="31"/>
    </row>
    <row r="326" spans="1:18" x14ac:dyDescent="0.2">
      <c r="A326" s="238"/>
      <c r="B326" s="90" t="s">
        <v>845</v>
      </c>
      <c r="C326" s="276">
        <f>TrialBalance!C326</f>
        <v>0</v>
      </c>
      <c r="D326" s="284"/>
      <c r="E326" s="272"/>
      <c r="F326" s="79">
        <f t="shared" si="91"/>
        <v>0</v>
      </c>
      <c r="G326" s="47">
        <f>SUMIF(JournalsA!D$14:D$920,TrialBalanceA!M326,JournalsA!J$14:J$920)+SUMIF(JournalsA!E$14:E$920,TrialBalanceA!M326,JournalsA!J$14:J$920)</f>
        <v>0</v>
      </c>
      <c r="H326" s="288"/>
      <c r="I326" s="255">
        <f t="shared" si="92"/>
        <v>0</v>
      </c>
      <c r="J326" s="75"/>
      <c r="K326" s="48">
        <f t="shared" si="93"/>
        <v>0</v>
      </c>
      <c r="M326" s="140" t="str">
        <f t="shared" si="94"/>
        <v>7450/0070</v>
      </c>
      <c r="N326" s="70"/>
      <c r="P326" s="71"/>
      <c r="Q326" s="51"/>
      <c r="R326" s="31"/>
    </row>
    <row r="327" spans="1:18" x14ac:dyDescent="0.2">
      <c r="A327" s="238"/>
      <c r="B327" s="90" t="s">
        <v>846</v>
      </c>
      <c r="C327" s="276">
        <f>TrialBalance!C327</f>
        <v>0</v>
      </c>
      <c r="D327" s="284"/>
      <c r="E327" s="272"/>
      <c r="F327" s="79">
        <f t="shared" si="91"/>
        <v>0</v>
      </c>
      <c r="G327" s="47">
        <f>SUMIF(JournalsA!D$14:D$920,TrialBalanceA!M327,JournalsA!J$14:J$920)+SUMIF(JournalsA!E$14:E$920,TrialBalanceA!M327,JournalsA!J$14:J$920)</f>
        <v>0</v>
      </c>
      <c r="H327" s="288"/>
      <c r="I327" s="255">
        <f t="shared" si="92"/>
        <v>0</v>
      </c>
      <c r="J327" s="75"/>
      <c r="K327" s="48">
        <f t="shared" si="93"/>
        <v>0</v>
      </c>
      <c r="M327" s="140" t="str">
        <f t="shared" si="94"/>
        <v>7450/0080</v>
      </c>
      <c r="N327" s="70"/>
      <c r="P327" s="71"/>
      <c r="Q327" s="51"/>
      <c r="R327" s="31"/>
    </row>
    <row r="328" spans="1:18" x14ac:dyDescent="0.2">
      <c r="A328" s="238"/>
      <c r="B328" s="90" t="s">
        <v>847</v>
      </c>
      <c r="C328" s="276">
        <f>TrialBalance!C328</f>
        <v>0</v>
      </c>
      <c r="D328" s="284"/>
      <c r="E328" s="272"/>
      <c r="F328" s="79">
        <f t="shared" si="91"/>
        <v>0</v>
      </c>
      <c r="G328" s="47">
        <f>SUMIF(JournalsA!D$14:D$920,TrialBalanceA!M328,JournalsA!J$14:J$920)+SUMIF(JournalsA!E$14:E$920,TrialBalanceA!M328,JournalsA!J$14:J$920)</f>
        <v>0</v>
      </c>
      <c r="H328" s="288"/>
      <c r="I328" s="255">
        <f t="shared" si="92"/>
        <v>0</v>
      </c>
      <c r="J328" s="75"/>
      <c r="K328" s="48">
        <f t="shared" si="93"/>
        <v>0</v>
      </c>
      <c r="M328" s="140" t="str">
        <f t="shared" si="94"/>
        <v>7450/0090</v>
      </c>
      <c r="N328" s="70"/>
      <c r="P328" s="71"/>
      <c r="Q328" s="51"/>
      <c r="R328" s="31"/>
    </row>
    <row r="329" spans="1:18" x14ac:dyDescent="0.2">
      <c r="A329" s="238"/>
      <c r="B329" s="90" t="s">
        <v>848</v>
      </c>
      <c r="C329" s="276">
        <f>TrialBalance!C329</f>
        <v>0</v>
      </c>
      <c r="D329" s="282"/>
      <c r="E329" s="272"/>
      <c r="F329" s="79">
        <f t="shared" si="81"/>
        <v>0</v>
      </c>
      <c r="G329" s="47">
        <f>SUMIF(JournalsA!D$14:D$920,TrialBalanceA!M329,JournalsA!J$14:J$920)+SUMIF(JournalsA!E$14:E$920,TrialBalanceA!M329,JournalsA!J$14:J$920)</f>
        <v>0</v>
      </c>
      <c r="H329" s="288"/>
      <c r="I329" s="255">
        <f t="shared" si="82"/>
        <v>0</v>
      </c>
      <c r="J329" s="75"/>
      <c r="K329" s="48">
        <f t="shared" si="83"/>
        <v>0</v>
      </c>
      <c r="M329" s="140" t="str">
        <f t="shared" si="77"/>
        <v>7450/0100</v>
      </c>
      <c r="N329" s="70"/>
      <c r="P329" s="71"/>
      <c r="Q329" s="51"/>
      <c r="R329" s="31"/>
    </row>
    <row r="330" spans="1:18" x14ac:dyDescent="0.2">
      <c r="A330" s="238"/>
      <c r="B330" s="90" t="s">
        <v>849</v>
      </c>
      <c r="C330" s="242" t="s">
        <v>678</v>
      </c>
      <c r="D330" s="282"/>
      <c r="E330" s="272"/>
      <c r="F330" s="79"/>
      <c r="G330" s="47">
        <f>SUMIF(JournalsA!D$14:D$920,TrialBalanceA!M330,JournalsA!J$14:J$920)+SUMIF(JournalsA!E$14:E$920,TrialBalanceA!M330,JournalsA!J$14:J$920)</f>
        <v>0</v>
      </c>
      <c r="H330" s="288"/>
      <c r="I330" s="255">
        <f t="shared" ref="I330" si="95">ROUND(D330-E330+G330+F330,0)</f>
        <v>0</v>
      </c>
      <c r="J330" s="75"/>
      <c r="K330" s="48">
        <f t="shared" ref="K330" si="96">ROUND(SUM(A330),0)</f>
        <v>0</v>
      </c>
      <c r="M330" s="140" t="str">
        <f t="shared" ref="M330" si="97">CONCATENATE(B330,C330)</f>
        <v>7455/000Interest free</v>
      </c>
      <c r="N330" s="70"/>
      <c r="P330" s="71"/>
      <c r="Q330" s="51"/>
      <c r="R330" s="31"/>
    </row>
    <row r="331" spans="1:18" x14ac:dyDescent="0.2">
      <c r="A331" s="238"/>
      <c r="B331" s="90" t="s">
        <v>850</v>
      </c>
      <c r="C331" s="276">
        <f>TrialBalance!C331</f>
        <v>0</v>
      </c>
      <c r="D331" s="282"/>
      <c r="E331" s="272"/>
      <c r="F331" s="79">
        <f t="shared" si="81"/>
        <v>0</v>
      </c>
      <c r="G331" s="47">
        <f>SUMIF(JournalsA!D$14:D$920,TrialBalanceA!M331,JournalsA!J$14:J$920)+SUMIF(JournalsA!E$14:E$920,TrialBalanceA!M331,JournalsA!J$14:J$920)</f>
        <v>0</v>
      </c>
      <c r="H331" s="288"/>
      <c r="I331" s="255">
        <f t="shared" si="82"/>
        <v>0</v>
      </c>
      <c r="J331" s="75"/>
      <c r="K331" s="48">
        <f t="shared" si="83"/>
        <v>0</v>
      </c>
      <c r="M331" s="140" t="str">
        <f t="shared" si="77"/>
        <v>7455/0010</v>
      </c>
      <c r="N331" s="70"/>
      <c r="P331" s="71"/>
      <c r="Q331" s="51"/>
      <c r="R331" s="31"/>
    </row>
    <row r="332" spans="1:18" x14ac:dyDescent="0.2">
      <c r="A332" s="238"/>
      <c r="B332" s="90" t="s">
        <v>851</v>
      </c>
      <c r="C332" s="276">
        <f>TrialBalance!C332</f>
        <v>0</v>
      </c>
      <c r="D332" s="282"/>
      <c r="E332" s="272"/>
      <c r="F332" s="79">
        <f t="shared" ref="F332" si="98">K332</f>
        <v>0</v>
      </c>
      <c r="G332" s="47">
        <f>SUMIF(JournalsA!D$14:D$920,TrialBalanceA!M332,JournalsA!J$14:J$920)+SUMIF(JournalsA!E$14:E$920,TrialBalanceA!M332,JournalsA!J$14:J$920)</f>
        <v>0</v>
      </c>
      <c r="H332" s="288"/>
      <c r="I332" s="255">
        <f t="shared" ref="I332" si="99">ROUND(D332-E332+G332+F332,0)</f>
        <v>0</v>
      </c>
      <c r="J332" s="75"/>
      <c r="K332" s="48">
        <f t="shared" ref="K332" si="100">ROUND(SUM(A332),0)</f>
        <v>0</v>
      </c>
      <c r="M332" s="140" t="str">
        <f t="shared" ref="M332" si="101">CONCATENATE(B332,C332)</f>
        <v>7455/0020</v>
      </c>
      <c r="N332" s="70"/>
      <c r="P332" s="71"/>
      <c r="Q332" s="51"/>
      <c r="R332" s="31"/>
    </row>
    <row r="333" spans="1:18" x14ac:dyDescent="0.2">
      <c r="A333" s="238"/>
      <c r="B333" s="90" t="s">
        <v>852</v>
      </c>
      <c r="C333" s="276">
        <f>TrialBalance!C333</f>
        <v>0</v>
      </c>
      <c r="D333" s="282"/>
      <c r="E333" s="272"/>
      <c r="F333" s="79">
        <f t="shared" si="81"/>
        <v>0</v>
      </c>
      <c r="G333" s="47">
        <f>SUMIF(JournalsA!D$14:D$920,TrialBalanceA!M333,JournalsA!J$14:J$920)+SUMIF(JournalsA!E$14:E$920,TrialBalanceA!M333,JournalsA!J$14:J$920)</f>
        <v>0</v>
      </c>
      <c r="H333" s="288"/>
      <c r="I333" s="255">
        <f t="shared" si="82"/>
        <v>0</v>
      </c>
      <c r="J333" s="75"/>
      <c r="K333" s="48">
        <f t="shared" si="83"/>
        <v>0</v>
      </c>
      <c r="M333" s="140" t="str">
        <f t="shared" si="77"/>
        <v>7455/0030</v>
      </c>
      <c r="N333" s="70"/>
      <c r="P333" s="71"/>
      <c r="Q333" s="51"/>
      <c r="R333" s="31"/>
    </row>
    <row r="334" spans="1:18" x14ac:dyDescent="0.2">
      <c r="A334" s="238"/>
      <c r="B334" s="90" t="s">
        <v>853</v>
      </c>
      <c r="C334" s="276">
        <f>TrialBalance!C334</f>
        <v>0</v>
      </c>
      <c r="D334" s="282"/>
      <c r="E334" s="272"/>
      <c r="F334" s="79">
        <f t="shared" ref="F334:F339" si="102">K334</f>
        <v>0</v>
      </c>
      <c r="G334" s="47">
        <f>SUMIF(JournalsA!D$14:D$920,TrialBalanceA!M334,JournalsA!J$14:J$920)+SUMIF(JournalsA!E$14:E$920,TrialBalanceA!M334,JournalsA!J$14:J$920)</f>
        <v>0</v>
      </c>
      <c r="H334" s="288"/>
      <c r="I334" s="255">
        <f t="shared" ref="I334:I339" si="103">ROUND(D334-E334+G334+F334,0)</f>
        <v>0</v>
      </c>
      <c r="J334" s="75"/>
      <c r="K334" s="48">
        <f t="shared" ref="K334:K339" si="104">ROUND(SUM(A334),0)</f>
        <v>0</v>
      </c>
      <c r="M334" s="140" t="str">
        <f t="shared" ref="M334:M339" si="105">CONCATENATE(B334,C334)</f>
        <v>7455/0040</v>
      </c>
      <c r="N334" s="70"/>
      <c r="P334" s="71"/>
      <c r="Q334" s="51"/>
      <c r="R334" s="31"/>
    </row>
    <row r="335" spans="1:18" x14ac:dyDescent="0.2">
      <c r="A335" s="238"/>
      <c r="B335" s="90" t="s">
        <v>854</v>
      </c>
      <c r="C335" s="276">
        <f>TrialBalance!C335</f>
        <v>0</v>
      </c>
      <c r="D335" s="282"/>
      <c r="E335" s="272"/>
      <c r="F335" s="79">
        <f t="shared" si="102"/>
        <v>0</v>
      </c>
      <c r="G335" s="47">
        <f>SUMIF(JournalsA!D$14:D$920,TrialBalanceA!M335,JournalsA!J$14:J$920)+SUMIF(JournalsA!E$14:E$920,TrialBalanceA!M335,JournalsA!J$14:J$920)</f>
        <v>0</v>
      </c>
      <c r="H335" s="288"/>
      <c r="I335" s="255">
        <f t="shared" si="103"/>
        <v>0</v>
      </c>
      <c r="J335" s="75"/>
      <c r="K335" s="48">
        <f t="shared" si="104"/>
        <v>0</v>
      </c>
      <c r="M335" s="140" t="str">
        <f t="shared" si="105"/>
        <v>7455/0050</v>
      </c>
      <c r="N335" s="70"/>
      <c r="P335" s="71"/>
      <c r="Q335" s="51"/>
      <c r="R335" s="31"/>
    </row>
    <row r="336" spans="1:18" x14ac:dyDescent="0.2">
      <c r="A336" s="238"/>
      <c r="B336" s="90" t="s">
        <v>855</v>
      </c>
      <c r="C336" s="276">
        <f>TrialBalance!C336</f>
        <v>0</v>
      </c>
      <c r="D336" s="282"/>
      <c r="E336" s="272"/>
      <c r="F336" s="79">
        <f t="shared" si="102"/>
        <v>0</v>
      </c>
      <c r="G336" s="47">
        <f>SUMIF(JournalsA!D$14:D$920,TrialBalanceA!M336,JournalsA!J$14:J$920)+SUMIF(JournalsA!E$14:E$920,TrialBalanceA!M336,JournalsA!J$14:J$920)</f>
        <v>0</v>
      </c>
      <c r="H336" s="288"/>
      <c r="I336" s="255">
        <f t="shared" si="103"/>
        <v>0</v>
      </c>
      <c r="J336" s="75"/>
      <c r="K336" s="48">
        <f t="shared" si="104"/>
        <v>0</v>
      </c>
      <c r="M336" s="140" t="str">
        <f t="shared" si="105"/>
        <v>7455/0060</v>
      </c>
      <c r="N336" s="70"/>
      <c r="P336" s="71"/>
      <c r="Q336" s="51"/>
      <c r="R336" s="31"/>
    </row>
    <row r="337" spans="1:18" x14ac:dyDescent="0.2">
      <c r="A337" s="238"/>
      <c r="B337" s="90" t="s">
        <v>856</v>
      </c>
      <c r="C337" s="276">
        <f>TrialBalance!C337</f>
        <v>0</v>
      </c>
      <c r="D337" s="282"/>
      <c r="E337" s="272"/>
      <c r="F337" s="79">
        <f t="shared" si="102"/>
        <v>0</v>
      </c>
      <c r="G337" s="47">
        <f>SUMIF(JournalsA!D$14:D$920,TrialBalanceA!M337,JournalsA!J$14:J$920)+SUMIF(JournalsA!E$14:E$920,TrialBalanceA!M337,JournalsA!J$14:J$920)</f>
        <v>0</v>
      </c>
      <c r="H337" s="288"/>
      <c r="I337" s="255">
        <f t="shared" si="103"/>
        <v>0</v>
      </c>
      <c r="J337" s="75"/>
      <c r="K337" s="48">
        <f t="shared" si="104"/>
        <v>0</v>
      </c>
      <c r="M337" s="140" t="str">
        <f t="shared" si="105"/>
        <v>7455/0070</v>
      </c>
      <c r="N337" s="70"/>
      <c r="P337" s="71"/>
      <c r="Q337" s="51"/>
      <c r="R337" s="31"/>
    </row>
    <row r="338" spans="1:18" x14ac:dyDescent="0.2">
      <c r="A338" s="238"/>
      <c r="B338" s="90" t="s">
        <v>857</v>
      </c>
      <c r="C338" s="276">
        <f>TrialBalance!C338</f>
        <v>0</v>
      </c>
      <c r="D338" s="282"/>
      <c r="E338" s="272"/>
      <c r="F338" s="79">
        <f t="shared" si="102"/>
        <v>0</v>
      </c>
      <c r="G338" s="47">
        <f>SUMIF(JournalsA!D$14:D$920,TrialBalanceA!M338,JournalsA!J$14:J$920)+SUMIF(JournalsA!E$14:E$920,TrialBalanceA!M338,JournalsA!J$14:J$920)</f>
        <v>0</v>
      </c>
      <c r="H338" s="288"/>
      <c r="I338" s="255">
        <f t="shared" si="103"/>
        <v>0</v>
      </c>
      <c r="J338" s="75"/>
      <c r="K338" s="48">
        <f t="shared" si="104"/>
        <v>0</v>
      </c>
      <c r="M338" s="140" t="str">
        <f t="shared" si="105"/>
        <v>7455/0080</v>
      </c>
      <c r="N338" s="70"/>
      <c r="P338" s="71"/>
      <c r="Q338" s="51"/>
      <c r="R338" s="31"/>
    </row>
    <row r="339" spans="1:18" x14ac:dyDescent="0.2">
      <c r="A339" s="238"/>
      <c r="B339" s="90" t="s">
        <v>858</v>
      </c>
      <c r="C339" s="276">
        <f>TrialBalance!C339</f>
        <v>0</v>
      </c>
      <c r="D339" s="282"/>
      <c r="E339" s="272"/>
      <c r="F339" s="79">
        <f t="shared" si="102"/>
        <v>0</v>
      </c>
      <c r="G339" s="47">
        <f>SUMIF(JournalsA!D$14:D$920,TrialBalanceA!M339,JournalsA!J$14:J$920)+SUMIF(JournalsA!E$14:E$920,TrialBalanceA!M339,JournalsA!J$14:J$920)</f>
        <v>0</v>
      </c>
      <c r="H339" s="288"/>
      <c r="I339" s="255">
        <f t="shared" si="103"/>
        <v>0</v>
      </c>
      <c r="J339" s="75"/>
      <c r="K339" s="48">
        <f t="shared" si="104"/>
        <v>0</v>
      </c>
      <c r="M339" s="140" t="str">
        <f t="shared" si="105"/>
        <v>7455/0090</v>
      </c>
      <c r="N339" s="70"/>
      <c r="P339" s="71"/>
      <c r="Q339" s="51"/>
      <c r="R339" s="31"/>
    </row>
    <row r="340" spans="1:18" x14ac:dyDescent="0.2">
      <c r="A340" s="238"/>
      <c r="B340" s="90" t="s">
        <v>859</v>
      </c>
      <c r="C340" s="276">
        <f>TrialBalance!C340</f>
        <v>0</v>
      </c>
      <c r="D340" s="282"/>
      <c r="E340" s="272"/>
      <c r="F340" s="79">
        <f t="shared" si="81"/>
        <v>0</v>
      </c>
      <c r="G340" s="47">
        <f>SUMIF(JournalsA!D$14:D$920,TrialBalanceA!M340,JournalsA!J$14:J$920)+SUMIF(JournalsA!E$14:E$920,TrialBalanceA!M340,JournalsA!J$14:J$920)</f>
        <v>0</v>
      </c>
      <c r="H340" s="288"/>
      <c r="I340" s="255">
        <f t="shared" si="82"/>
        <v>0</v>
      </c>
      <c r="J340" s="75"/>
      <c r="K340" s="48">
        <f t="shared" si="83"/>
        <v>0</v>
      </c>
      <c r="M340" s="140" t="str">
        <f t="shared" si="77"/>
        <v>7455/0100</v>
      </c>
      <c r="N340" s="70"/>
      <c r="P340" s="71"/>
      <c r="Q340" s="51"/>
      <c r="R340" s="31"/>
    </row>
    <row r="341" spans="1:18" x14ac:dyDescent="0.2">
      <c r="A341" s="238"/>
      <c r="B341" s="54" t="s">
        <v>291</v>
      </c>
      <c r="C341" s="241" t="s">
        <v>722</v>
      </c>
      <c r="D341" s="272"/>
      <c r="E341" s="272"/>
      <c r="F341" s="79"/>
      <c r="G341" s="47">
        <f>SUMIF(JournalsA!D$14:D$920,TrialBalanceA!M341,JournalsA!J$14:J$920)+SUMIF(JournalsA!E$14:E$920,TrialBalanceA!M341,JournalsA!J$14:J$920)</f>
        <v>0</v>
      </c>
      <c r="H341" s="288"/>
      <c r="I341" s="255">
        <f t="shared" si="82"/>
        <v>0</v>
      </c>
      <c r="J341" s="75"/>
      <c r="K341" s="48">
        <f t="shared" si="83"/>
        <v>0</v>
      </c>
      <c r="M341" s="140" t="str">
        <f t="shared" si="77"/>
        <v>7460/000OTHER NON - CURRENT RECEIVABLES</v>
      </c>
      <c r="N341" s="70"/>
      <c r="P341" s="71"/>
      <c r="Q341" s="51"/>
      <c r="R341" s="31"/>
    </row>
    <row r="342" spans="1:18" x14ac:dyDescent="0.2">
      <c r="A342" s="238"/>
      <c r="B342" s="54" t="s">
        <v>291</v>
      </c>
      <c r="C342" s="241" t="s">
        <v>679</v>
      </c>
      <c r="D342" s="272"/>
      <c r="E342" s="272"/>
      <c r="F342" s="79"/>
      <c r="G342" s="47">
        <f>SUMIF(JournalsA!D$14:D$920,TrialBalanceA!M342,JournalsA!J$14:J$920)+SUMIF(JournalsA!E$14:E$920,TrialBalanceA!M342,JournalsA!J$14:J$920)</f>
        <v>0</v>
      </c>
      <c r="H342" s="288"/>
      <c r="I342" s="255">
        <f t="shared" ref="I342" si="106">ROUND(D342-E342+G342+F342,0)</f>
        <v>0</v>
      </c>
      <c r="J342" s="75"/>
      <c r="K342" s="48">
        <f t="shared" ref="K342" si="107">ROUND(SUM(A342),0)</f>
        <v>0</v>
      </c>
      <c r="M342" s="140" t="str">
        <f t="shared" ref="M342" si="108">CONCATENATE(B342,C342)</f>
        <v>7460/000Interest bearing</v>
      </c>
      <c r="N342" s="70"/>
      <c r="P342" s="71"/>
      <c r="Q342" s="51"/>
      <c r="R342" s="31"/>
    </row>
    <row r="343" spans="1:18" x14ac:dyDescent="0.2">
      <c r="A343" s="238"/>
      <c r="B343" s="54" t="s">
        <v>293</v>
      </c>
      <c r="C343" s="276">
        <f>TrialBalance!C343</f>
        <v>0</v>
      </c>
      <c r="D343" s="284"/>
      <c r="E343" s="284"/>
      <c r="F343" s="79">
        <f t="shared" si="81"/>
        <v>0</v>
      </c>
      <c r="G343" s="47">
        <f>SUMIF(JournalsA!D$14:D$920,TrialBalanceA!M343,JournalsA!J$14:J$920)+SUMIF(JournalsA!E$14:E$920,TrialBalanceA!M343,JournalsA!J$14:J$920)</f>
        <v>0</v>
      </c>
      <c r="H343" s="288"/>
      <c r="I343" s="255">
        <f t="shared" si="82"/>
        <v>0</v>
      </c>
      <c r="J343" s="75"/>
      <c r="K343" s="48">
        <f t="shared" si="83"/>
        <v>0</v>
      </c>
      <c r="M343" s="140" t="str">
        <f t="shared" si="77"/>
        <v>7460/0010</v>
      </c>
      <c r="N343" s="70"/>
      <c r="P343" s="71"/>
      <c r="Q343" s="51"/>
      <c r="R343" s="31"/>
    </row>
    <row r="344" spans="1:18" x14ac:dyDescent="0.2">
      <c r="A344" s="238"/>
      <c r="B344" s="54" t="s">
        <v>294</v>
      </c>
      <c r="C344" s="276">
        <f>TrialBalance!C344</f>
        <v>0</v>
      </c>
      <c r="D344" s="284"/>
      <c r="E344" s="284"/>
      <c r="F344" s="79">
        <f t="shared" ref="F344" si="109">K344</f>
        <v>0</v>
      </c>
      <c r="G344" s="47">
        <f>SUMIF(JournalsA!D$14:D$920,TrialBalanceA!M344,JournalsA!J$14:J$920)+SUMIF(JournalsA!E$14:E$920,TrialBalanceA!M344,JournalsA!J$14:J$920)</f>
        <v>0</v>
      </c>
      <c r="H344" s="288"/>
      <c r="I344" s="255">
        <f t="shared" ref="I344" si="110">ROUND(D344-E344+G344+F344,0)</f>
        <v>0</v>
      </c>
      <c r="J344" s="75"/>
      <c r="K344" s="48">
        <f t="shared" ref="K344" si="111">ROUND(SUM(A344),0)</f>
        <v>0</v>
      </c>
      <c r="M344" s="140" t="str">
        <f t="shared" ref="M344" si="112">CONCATENATE(B344,C344)</f>
        <v>7460/0020</v>
      </c>
      <c r="N344" s="70"/>
      <c r="P344" s="71"/>
      <c r="Q344" s="51"/>
      <c r="R344" s="31"/>
    </row>
    <row r="345" spans="1:18" x14ac:dyDescent="0.2">
      <c r="A345" s="238"/>
      <c r="B345" s="54" t="s">
        <v>295</v>
      </c>
      <c r="C345" s="276">
        <f>TrialBalance!C345</f>
        <v>0</v>
      </c>
      <c r="D345" s="282"/>
      <c r="E345" s="272"/>
      <c r="F345" s="79">
        <f t="shared" si="81"/>
        <v>0</v>
      </c>
      <c r="G345" s="47">
        <f>SUMIF(JournalsA!D$14:D$920,TrialBalanceA!M345,JournalsA!J$14:J$920)+SUMIF(JournalsA!E$14:E$920,TrialBalanceA!M345,JournalsA!J$14:J$920)</f>
        <v>0</v>
      </c>
      <c r="H345" s="288"/>
      <c r="I345" s="255">
        <f t="shared" si="82"/>
        <v>0</v>
      </c>
      <c r="J345" s="75"/>
      <c r="K345" s="48">
        <f t="shared" si="83"/>
        <v>0</v>
      </c>
      <c r="M345" s="140" t="str">
        <f t="shared" si="77"/>
        <v>7460/0030</v>
      </c>
      <c r="N345" s="70"/>
      <c r="P345" s="71"/>
      <c r="Q345" s="51"/>
      <c r="R345" s="31"/>
    </row>
    <row r="346" spans="1:18" x14ac:dyDescent="0.2">
      <c r="A346" s="238"/>
      <c r="B346" s="90" t="s">
        <v>640</v>
      </c>
      <c r="C346" s="276">
        <f>TrialBalance!C346</f>
        <v>0</v>
      </c>
      <c r="D346" s="282"/>
      <c r="E346" s="272"/>
      <c r="F346" s="79">
        <f t="shared" si="81"/>
        <v>0</v>
      </c>
      <c r="G346" s="47">
        <f>SUMIF(JournalsA!D$14:D$920,TrialBalanceA!M346,JournalsA!J$14:J$920)+SUMIF(JournalsA!E$14:E$920,TrialBalanceA!M346,JournalsA!J$14:J$920)</f>
        <v>0</v>
      </c>
      <c r="H346" s="288"/>
      <c r="I346" s="255">
        <f t="shared" si="82"/>
        <v>0</v>
      </c>
      <c r="J346" s="75"/>
      <c r="K346" s="48">
        <f t="shared" si="83"/>
        <v>0</v>
      </c>
      <c r="M346" s="140" t="str">
        <f t="shared" si="77"/>
        <v>7460/0040</v>
      </c>
      <c r="N346" s="70"/>
      <c r="P346" s="71"/>
      <c r="Q346" s="51"/>
      <c r="R346" s="31"/>
    </row>
    <row r="347" spans="1:18" x14ac:dyDescent="0.2">
      <c r="A347" s="238"/>
      <c r="B347" s="54" t="s">
        <v>291</v>
      </c>
      <c r="C347" s="242" t="s">
        <v>678</v>
      </c>
      <c r="D347" s="282"/>
      <c r="E347" s="272"/>
      <c r="F347" s="79"/>
      <c r="G347" s="47">
        <f>SUMIF(JournalsA!D$14:D$920,TrialBalanceA!M347,JournalsA!J$14:J$920)+SUMIF(JournalsA!E$14:E$920,TrialBalanceA!M347,JournalsA!J$14:J$920)</f>
        <v>0</v>
      </c>
      <c r="H347" s="288"/>
      <c r="I347" s="255">
        <f t="shared" ref="I347" si="113">ROUND(D347-E347+G347+F347,0)</f>
        <v>0</v>
      </c>
      <c r="J347" s="75"/>
      <c r="K347" s="48">
        <f t="shared" ref="K347" si="114">ROUND(SUM(A347),0)</f>
        <v>0</v>
      </c>
      <c r="M347" s="140" t="str">
        <f t="shared" ref="M347" si="115">CONCATENATE(B347,C347)</f>
        <v>7460/000Interest free</v>
      </c>
      <c r="N347" s="70"/>
      <c r="P347" s="71"/>
      <c r="Q347" s="51"/>
      <c r="R347" s="31"/>
    </row>
    <row r="348" spans="1:18" x14ac:dyDescent="0.2">
      <c r="A348" s="238"/>
      <c r="B348" s="90" t="s">
        <v>640</v>
      </c>
      <c r="C348" s="276">
        <f>TrialBalance!C348</f>
        <v>0</v>
      </c>
      <c r="D348" s="282"/>
      <c r="E348" s="272"/>
      <c r="F348" s="79">
        <f t="shared" si="81"/>
        <v>0</v>
      </c>
      <c r="G348" s="47">
        <f>SUMIF(JournalsA!D$14:D$920,TrialBalanceA!M348,JournalsA!J$14:J$920)+SUMIF(JournalsA!E$14:E$920,TrialBalanceA!M348,JournalsA!J$14:J$920)</f>
        <v>0</v>
      </c>
      <c r="H348" s="288"/>
      <c r="I348" s="255">
        <f t="shared" si="82"/>
        <v>0</v>
      </c>
      <c r="J348" s="75"/>
      <c r="K348" s="48">
        <f t="shared" si="83"/>
        <v>0</v>
      </c>
      <c r="M348" s="140" t="str">
        <f t="shared" si="77"/>
        <v>7460/0040</v>
      </c>
      <c r="N348" s="70"/>
      <c r="P348" s="71"/>
      <c r="Q348" s="51"/>
      <c r="R348" s="31"/>
    </row>
    <row r="349" spans="1:18" x14ac:dyDescent="0.2">
      <c r="A349" s="238"/>
      <c r="B349" s="90" t="s">
        <v>641</v>
      </c>
      <c r="C349" s="276">
        <f>TrialBalance!C349</f>
        <v>0</v>
      </c>
      <c r="D349" s="282"/>
      <c r="E349" s="272"/>
      <c r="F349" s="79">
        <f t="shared" si="81"/>
        <v>0</v>
      </c>
      <c r="G349" s="47">
        <f>SUMIF(JournalsA!D$14:D$920,TrialBalanceA!M349,JournalsA!J$14:J$920)+SUMIF(JournalsA!E$14:E$920,TrialBalanceA!M349,JournalsA!J$14:J$920)</f>
        <v>0</v>
      </c>
      <c r="H349" s="288"/>
      <c r="I349" s="255">
        <f t="shared" si="82"/>
        <v>0</v>
      </c>
      <c r="J349" s="75"/>
      <c r="K349" s="48">
        <f t="shared" si="83"/>
        <v>0</v>
      </c>
      <c r="M349" s="140" t="str">
        <f t="shared" si="77"/>
        <v>7460/0050</v>
      </c>
      <c r="N349" s="70"/>
      <c r="P349" s="71"/>
      <c r="Q349" s="51"/>
      <c r="R349" s="31"/>
    </row>
    <row r="350" spans="1:18" x14ac:dyDescent="0.2">
      <c r="A350" s="238"/>
      <c r="B350" s="90" t="s">
        <v>296</v>
      </c>
      <c r="C350" s="276">
        <f>TrialBalance!C350</f>
        <v>0</v>
      </c>
      <c r="D350" s="282"/>
      <c r="E350" s="272"/>
      <c r="F350" s="79">
        <f>K350</f>
        <v>0</v>
      </c>
      <c r="G350" s="47">
        <f>SUMIF(JournalsA!D$14:D$920,TrialBalanceA!M350,JournalsA!J$14:J$920)+SUMIF(JournalsA!E$14:E$920,TrialBalanceA!M350,JournalsA!J$14:J$920)</f>
        <v>0</v>
      </c>
      <c r="H350" s="288"/>
      <c r="I350" s="255">
        <f t="shared" si="82"/>
        <v>0</v>
      </c>
      <c r="J350" s="75"/>
      <c r="K350" s="48">
        <f t="shared" si="83"/>
        <v>0</v>
      </c>
      <c r="M350" s="140" t="str">
        <f t="shared" si="77"/>
        <v>7460/0060</v>
      </c>
      <c r="N350" s="70"/>
      <c r="P350" s="71"/>
      <c r="Q350" s="51"/>
      <c r="R350" s="31"/>
    </row>
    <row r="351" spans="1:18" x14ac:dyDescent="0.2">
      <c r="A351" s="238"/>
      <c r="B351" s="90" t="s">
        <v>297</v>
      </c>
      <c r="C351" s="276">
        <f>TrialBalance!C351</f>
        <v>0</v>
      </c>
      <c r="D351" s="282"/>
      <c r="E351" s="272"/>
      <c r="F351" s="79">
        <f>K351</f>
        <v>0</v>
      </c>
      <c r="G351" s="47">
        <f>SUMIF(JournalsA!D$14:D$920,TrialBalanceA!M351,JournalsA!J$14:J$920)+SUMIF(JournalsA!E$14:E$920,TrialBalanceA!M351,JournalsA!J$14:J$920)</f>
        <v>0</v>
      </c>
      <c r="H351" s="288"/>
      <c r="I351" s="255">
        <f t="shared" si="82"/>
        <v>0</v>
      </c>
      <c r="J351" s="75"/>
      <c r="K351" s="48">
        <f t="shared" si="83"/>
        <v>0</v>
      </c>
      <c r="M351" s="140" t="str">
        <f t="shared" si="77"/>
        <v>7460/0070</v>
      </c>
      <c r="N351" s="70"/>
      <c r="P351" s="71"/>
      <c r="Q351" s="51"/>
      <c r="R351" s="31"/>
    </row>
    <row r="352" spans="1:18" x14ac:dyDescent="0.2">
      <c r="A352" s="238"/>
      <c r="B352" s="90" t="s">
        <v>513</v>
      </c>
      <c r="C352" s="276">
        <f>TrialBalance!C352</f>
        <v>0</v>
      </c>
      <c r="D352" s="282"/>
      <c r="E352" s="272"/>
      <c r="F352" s="79">
        <f>K352</f>
        <v>0</v>
      </c>
      <c r="G352" s="47">
        <f>SUMIF(JournalsA!D$14:D$920,TrialBalanceA!M352,JournalsA!J$14:J$920)+SUMIF(JournalsA!E$14:E$920,TrialBalanceA!M352,JournalsA!J$14:J$920)</f>
        <v>0</v>
      </c>
      <c r="H352" s="288"/>
      <c r="I352" s="255">
        <f t="shared" si="82"/>
        <v>0</v>
      </c>
      <c r="J352" s="75"/>
      <c r="K352" s="48">
        <f t="shared" si="83"/>
        <v>0</v>
      </c>
      <c r="M352" s="140" t="str">
        <f t="shared" si="77"/>
        <v>7460/0080</v>
      </c>
      <c r="N352" s="70"/>
      <c r="P352" s="71"/>
      <c r="Q352" s="51"/>
      <c r="R352" s="31"/>
    </row>
    <row r="353" spans="1:18" x14ac:dyDescent="0.2">
      <c r="A353" s="238"/>
      <c r="B353" s="54" t="s">
        <v>417</v>
      </c>
      <c r="C353" s="239" t="s">
        <v>46</v>
      </c>
      <c r="D353" s="283"/>
      <c r="E353" s="272"/>
      <c r="F353" s="79"/>
      <c r="G353" s="47">
        <f>SUMIF(JournalsA!D$14:D$920,TrialBalanceA!M353,JournalsA!J$14:J$920)+SUMIF(JournalsA!E$14:E$920,TrialBalanceA!M353,JournalsA!J$14:J$920)</f>
        <v>0</v>
      </c>
      <c r="H353" s="288"/>
      <c r="I353" s="255">
        <f t="shared" si="82"/>
        <v>0</v>
      </c>
      <c r="J353" s="75"/>
      <c r="K353" s="48">
        <f t="shared" si="83"/>
        <v>0</v>
      </c>
      <c r="M353" s="140" t="str">
        <f t="shared" si="77"/>
        <v>7500/000INVENTORY</v>
      </c>
      <c r="N353" s="70"/>
      <c r="P353" s="71"/>
      <c r="Q353" s="51"/>
      <c r="R353" s="31"/>
    </row>
    <row r="354" spans="1:18" x14ac:dyDescent="0.2">
      <c r="A354" s="238"/>
      <c r="B354" s="54" t="s">
        <v>418</v>
      </c>
      <c r="C354" s="240" t="s">
        <v>419</v>
      </c>
      <c r="D354" s="282"/>
      <c r="E354" s="272"/>
      <c r="F354" s="79">
        <f t="shared" si="81"/>
        <v>0</v>
      </c>
      <c r="G354" s="47">
        <f>SUMIF(JournalsA!D$14:D$920,TrialBalanceA!M354,JournalsA!J$14:J$920)+SUMIF(JournalsA!E$14:E$920,TrialBalanceA!M354,JournalsA!J$14:J$920)</f>
        <v>0</v>
      </c>
      <c r="H354" s="288"/>
      <c r="I354" s="255">
        <f t="shared" si="82"/>
        <v>0</v>
      </c>
      <c r="J354" s="75"/>
      <c r="K354" s="48">
        <f t="shared" si="83"/>
        <v>0</v>
      </c>
      <c r="M354" s="140" t="str">
        <f t="shared" si="77"/>
        <v>7500/001Raw materials</v>
      </c>
      <c r="N354" s="70"/>
      <c r="P354" s="71"/>
      <c r="Q354" s="51"/>
      <c r="R354" s="31"/>
    </row>
    <row r="355" spans="1:18" x14ac:dyDescent="0.2">
      <c r="A355" s="238"/>
      <c r="B355" s="54" t="s">
        <v>21</v>
      </c>
      <c r="C355" s="240" t="s">
        <v>22</v>
      </c>
      <c r="D355" s="282"/>
      <c r="E355" s="272"/>
      <c r="F355" s="79">
        <f t="shared" si="81"/>
        <v>0</v>
      </c>
      <c r="G355" s="47">
        <f>SUMIF(JournalsA!D$14:D$920,TrialBalanceA!M355,JournalsA!J$14:J$920)+SUMIF(JournalsA!E$14:E$920,TrialBalanceA!M355,JournalsA!J$14:J$920)</f>
        <v>0</v>
      </c>
      <c r="H355" s="288"/>
      <c r="I355" s="255">
        <f t="shared" si="82"/>
        <v>0</v>
      </c>
      <c r="J355" s="75"/>
      <c r="K355" s="48">
        <f t="shared" si="83"/>
        <v>0</v>
      </c>
      <c r="M355" s="140" t="str">
        <f t="shared" si="77"/>
        <v>7500/002Work in progress</v>
      </c>
      <c r="N355" s="70"/>
      <c r="P355" s="71"/>
      <c r="Q355" s="51"/>
      <c r="R355" s="31"/>
    </row>
    <row r="356" spans="1:18" x14ac:dyDescent="0.2">
      <c r="A356" s="238"/>
      <c r="B356" s="54" t="s">
        <v>23</v>
      </c>
      <c r="C356" s="240" t="s">
        <v>24</v>
      </c>
      <c r="D356" s="282"/>
      <c r="E356" s="272"/>
      <c r="F356" s="79">
        <f t="shared" si="81"/>
        <v>0</v>
      </c>
      <c r="G356" s="47">
        <f>SUMIF(JournalsA!D$14:D$920,TrialBalanceA!M356,JournalsA!J$14:J$920)+SUMIF(JournalsA!E$14:E$920,TrialBalanceA!M356,JournalsA!J$14:J$920)</f>
        <v>0</v>
      </c>
      <c r="H356" s="288"/>
      <c r="I356" s="255">
        <f t="shared" si="82"/>
        <v>0</v>
      </c>
      <c r="J356" s="75"/>
      <c r="K356" s="48">
        <f t="shared" si="83"/>
        <v>0</v>
      </c>
      <c r="M356" s="140" t="str">
        <f t="shared" si="77"/>
        <v>7500/003Finished goods</v>
      </c>
      <c r="N356" s="70"/>
      <c r="P356" s="71"/>
      <c r="Q356" s="51"/>
      <c r="R356" s="31"/>
    </row>
    <row r="357" spans="1:18" x14ac:dyDescent="0.2">
      <c r="A357" s="238"/>
      <c r="B357" s="54" t="s">
        <v>27</v>
      </c>
      <c r="C357" s="240" t="s">
        <v>28</v>
      </c>
      <c r="D357" s="282"/>
      <c r="E357" s="272"/>
      <c r="F357" s="79">
        <f t="shared" si="81"/>
        <v>0</v>
      </c>
      <c r="G357" s="47">
        <f>SUMIF(JournalsA!D$14:D$920,TrialBalanceA!M357,JournalsA!J$14:J$920)+SUMIF(JournalsA!E$14:E$920,TrialBalanceA!M357,JournalsA!J$14:J$920)</f>
        <v>0</v>
      </c>
      <c r="H357" s="288"/>
      <c r="I357" s="255">
        <f t="shared" si="82"/>
        <v>0</v>
      </c>
      <c r="J357" s="75"/>
      <c r="K357" s="48">
        <f t="shared" si="83"/>
        <v>0</v>
      </c>
      <c r="M357" s="140" t="str">
        <f t="shared" si="77"/>
        <v>7500/004Trading stock</v>
      </c>
      <c r="N357" s="70"/>
      <c r="P357" s="71"/>
      <c r="Q357" s="51"/>
      <c r="R357" s="31"/>
    </row>
    <row r="358" spans="1:18" x14ac:dyDescent="0.2">
      <c r="A358" s="238"/>
      <c r="B358" s="54" t="s">
        <v>30</v>
      </c>
      <c r="C358" s="239" t="s">
        <v>31</v>
      </c>
      <c r="D358" s="283"/>
      <c r="E358" s="272"/>
      <c r="F358" s="79"/>
      <c r="G358" s="47">
        <f>SUMIF(JournalsA!D$14:D$920,TrialBalanceA!M358,JournalsA!J$14:J$920)+SUMIF(JournalsA!E$14:E$920,TrialBalanceA!M358,JournalsA!J$14:J$920)</f>
        <v>0</v>
      </c>
      <c r="H358" s="288"/>
      <c r="I358" s="255">
        <f t="shared" si="82"/>
        <v>0</v>
      </c>
      <c r="J358" s="75"/>
      <c r="K358" s="48">
        <f t="shared" si="83"/>
        <v>0</v>
      </c>
      <c r="M358" s="140" t="str">
        <f t="shared" si="77"/>
        <v>8000/000DEBTORS</v>
      </c>
      <c r="N358" s="70"/>
      <c r="P358" s="71"/>
      <c r="Q358" s="51"/>
      <c r="R358" s="31"/>
    </row>
    <row r="359" spans="1:18" x14ac:dyDescent="0.2">
      <c r="A359" s="238"/>
      <c r="B359" s="54" t="s">
        <v>32</v>
      </c>
      <c r="C359" s="240" t="s">
        <v>33</v>
      </c>
      <c r="D359" s="282"/>
      <c r="E359" s="272"/>
      <c r="F359" s="79">
        <f t="shared" si="81"/>
        <v>0</v>
      </c>
      <c r="G359" s="47">
        <f>SUMIF(JournalsA!D$14:D$920,TrialBalanceA!M359,JournalsA!J$14:J$920)+SUMIF(JournalsA!E$14:E$920,TrialBalanceA!M359,JournalsA!J$14:J$920)</f>
        <v>0</v>
      </c>
      <c r="H359" s="288"/>
      <c r="I359" s="255">
        <f t="shared" si="82"/>
        <v>0</v>
      </c>
      <c r="J359" s="75"/>
      <c r="K359" s="48">
        <f t="shared" si="83"/>
        <v>0</v>
      </c>
      <c r="M359" s="140" t="str">
        <f t="shared" si="77"/>
        <v>8010/000Trade debtors</v>
      </c>
      <c r="N359" s="70"/>
      <c r="P359" s="71"/>
      <c r="Q359" s="51"/>
      <c r="R359" s="31"/>
    </row>
    <row r="360" spans="1:18" x14ac:dyDescent="0.2">
      <c r="A360" s="238"/>
      <c r="B360" s="90" t="s">
        <v>34</v>
      </c>
      <c r="C360" s="242" t="s">
        <v>589</v>
      </c>
      <c r="D360" s="282"/>
      <c r="E360" s="272"/>
      <c r="F360" s="79">
        <f t="shared" si="81"/>
        <v>0</v>
      </c>
      <c r="G360" s="47">
        <f>SUMIF(JournalsA!D$14:D$920,TrialBalanceA!M360,JournalsA!J$14:J$920)+SUMIF(JournalsA!E$14:E$920,TrialBalanceA!M360,JournalsA!J$14:J$920)</f>
        <v>0</v>
      </c>
      <c r="H360" s="288"/>
      <c r="I360" s="255">
        <f t="shared" si="82"/>
        <v>0</v>
      </c>
      <c r="J360" s="75"/>
      <c r="K360" s="48">
        <f t="shared" si="83"/>
        <v>0</v>
      </c>
      <c r="M360" s="140" t="str">
        <f t="shared" si="77"/>
        <v>8020/000Less: Provision for doubtful debts</v>
      </c>
      <c r="N360" s="70"/>
      <c r="P360" s="71"/>
      <c r="Q360" s="51"/>
      <c r="R360" s="31"/>
    </row>
    <row r="361" spans="1:18" x14ac:dyDescent="0.2">
      <c r="A361" s="238"/>
      <c r="B361" s="90" t="s">
        <v>591</v>
      </c>
      <c r="C361" s="240" t="s">
        <v>332</v>
      </c>
      <c r="D361" s="282"/>
      <c r="E361" s="272"/>
      <c r="F361" s="79">
        <f t="shared" si="81"/>
        <v>0</v>
      </c>
      <c r="G361" s="47">
        <f>SUMIF(JournalsA!D$14:D$920,TrialBalanceA!M361,JournalsA!J$14:J$920)+SUMIF(JournalsA!E$14:E$920,TrialBalanceA!M361,JournalsA!J$14:J$920)</f>
        <v>0</v>
      </c>
      <c r="H361" s="288"/>
      <c r="I361" s="255">
        <f t="shared" si="82"/>
        <v>0</v>
      </c>
      <c r="J361" s="75"/>
      <c r="K361" s="48">
        <f t="shared" si="83"/>
        <v>0</v>
      </c>
      <c r="M361" s="140" t="str">
        <f t="shared" si="77"/>
        <v>8030/000Service deposits</v>
      </c>
      <c r="N361" s="70"/>
      <c r="P361" s="71"/>
      <c r="Q361" s="51"/>
      <c r="R361" s="31"/>
    </row>
    <row r="362" spans="1:18" x14ac:dyDescent="0.2">
      <c r="A362" s="238"/>
      <c r="B362" s="54" t="s">
        <v>479</v>
      </c>
      <c r="C362" s="242" t="s">
        <v>803</v>
      </c>
      <c r="D362" s="282"/>
      <c r="E362" s="272"/>
      <c r="F362" s="79">
        <f t="shared" si="81"/>
        <v>0</v>
      </c>
      <c r="G362" s="47">
        <f>SUMIF(JournalsA!D$14:D$920,TrialBalanceA!M362,JournalsA!J$14:J$920)+SUMIF(JournalsA!E$14:E$920,TrialBalanceA!M362,JournalsA!J$14:J$920)</f>
        <v>0</v>
      </c>
      <c r="H362" s="288"/>
      <c r="I362" s="255">
        <f t="shared" si="82"/>
        <v>0</v>
      </c>
      <c r="J362" s="75"/>
      <c r="K362" s="48">
        <f t="shared" si="83"/>
        <v>0</v>
      </c>
      <c r="M362" s="140" t="str">
        <f t="shared" si="77"/>
        <v>8200/000Sundry customers</v>
      </c>
      <c r="N362" s="70"/>
      <c r="P362" s="71"/>
      <c r="Q362" s="51"/>
      <c r="R362" s="31"/>
    </row>
    <row r="363" spans="1:18" x14ac:dyDescent="0.2">
      <c r="A363" s="238"/>
      <c r="B363" s="54" t="s">
        <v>480</v>
      </c>
      <c r="C363" s="240" t="s">
        <v>376</v>
      </c>
      <c r="D363" s="282"/>
      <c r="E363" s="272"/>
      <c r="F363" s="79">
        <f t="shared" si="81"/>
        <v>0</v>
      </c>
      <c r="G363" s="47">
        <f>SUMIF(JournalsA!D$14:D$920,TrialBalanceA!M363,JournalsA!J$14:J$920)+SUMIF(JournalsA!E$14:E$920,TrialBalanceA!M363,JournalsA!J$14:J$920)</f>
        <v>0</v>
      </c>
      <c r="H363" s="288"/>
      <c r="I363" s="255">
        <f t="shared" si="82"/>
        <v>0</v>
      </c>
      <c r="J363" s="75"/>
      <c r="K363" s="48">
        <f t="shared" si="83"/>
        <v>0</v>
      </c>
      <c r="M363" s="140" t="str">
        <f t="shared" si="77"/>
        <v>8200/010Prepayments</v>
      </c>
      <c r="N363" s="70"/>
      <c r="P363" s="71"/>
      <c r="Q363" s="51"/>
      <c r="R363" s="31"/>
    </row>
    <row r="364" spans="1:18" x14ac:dyDescent="0.2">
      <c r="A364" s="238"/>
      <c r="B364" s="54" t="s">
        <v>237</v>
      </c>
      <c r="C364" s="241" t="s">
        <v>564</v>
      </c>
      <c r="D364" s="272"/>
      <c r="E364" s="272"/>
      <c r="F364" s="79">
        <f t="shared" si="81"/>
        <v>0</v>
      </c>
      <c r="G364" s="47">
        <f>SUMIF(JournalsA!D$14:D$920,TrialBalanceA!M364,JournalsA!J$14:J$920)+SUMIF(JournalsA!E$14:E$920,TrialBalanceA!M364,JournalsA!J$14:J$920)</f>
        <v>0</v>
      </c>
      <c r="H364" s="288"/>
      <c r="I364" s="255">
        <f t="shared" si="82"/>
        <v>0</v>
      </c>
      <c r="J364" s="75"/>
      <c r="K364" s="48">
        <f t="shared" si="83"/>
        <v>0</v>
      </c>
      <c r="M364" s="140" t="str">
        <f t="shared" si="77"/>
        <v>8200/020Staff loans</v>
      </c>
      <c r="N364" s="70"/>
      <c r="P364" s="71"/>
      <c r="Q364" s="51"/>
      <c r="R364" s="31"/>
    </row>
    <row r="365" spans="1:18" x14ac:dyDescent="0.2">
      <c r="A365" s="238"/>
      <c r="B365" s="54" t="s">
        <v>238</v>
      </c>
      <c r="C365" s="244" t="s">
        <v>125</v>
      </c>
      <c r="D365" s="270"/>
      <c r="E365" s="272"/>
      <c r="F365" s="79"/>
      <c r="G365" s="47">
        <f>SUMIF(JournalsA!D$14:D$920,TrialBalanceA!M365,JournalsA!J$14:J$920)+SUMIF(JournalsA!E$14:E$920,TrialBalanceA!M365,JournalsA!J$14:J$920)</f>
        <v>0</v>
      </c>
      <c r="H365" s="288"/>
      <c r="I365" s="255">
        <f t="shared" si="82"/>
        <v>0</v>
      </c>
      <c r="J365" s="75"/>
      <c r="K365" s="48">
        <f t="shared" si="83"/>
        <v>0</v>
      </c>
      <c r="M365" s="140" t="str">
        <f t="shared" si="77"/>
        <v>8400/000BANK ACCOUNTS</v>
      </c>
      <c r="N365" s="70"/>
      <c r="P365" s="71"/>
      <c r="Q365" s="51"/>
      <c r="R365" s="31"/>
    </row>
    <row r="366" spans="1:18" x14ac:dyDescent="0.2">
      <c r="A366" s="238"/>
      <c r="B366" s="54" t="s">
        <v>239</v>
      </c>
      <c r="C366" s="276">
        <f>TrialBalance!C366</f>
        <v>0</v>
      </c>
      <c r="D366" s="281"/>
      <c r="E366" s="272"/>
      <c r="F366" s="79">
        <f t="shared" si="81"/>
        <v>0</v>
      </c>
      <c r="G366" s="47">
        <f>SUMIF(JournalsA!D$14:D$920,TrialBalanceA!M366,JournalsA!J$14:J$920)+SUMIF(JournalsA!E$14:E$920,TrialBalanceA!M366,JournalsA!J$14:J$920)</f>
        <v>0</v>
      </c>
      <c r="H366" s="288"/>
      <c r="I366" s="255">
        <f t="shared" si="82"/>
        <v>0</v>
      </c>
      <c r="J366" s="75"/>
      <c r="K366" s="48">
        <f t="shared" si="83"/>
        <v>0</v>
      </c>
      <c r="M366" s="140" t="str">
        <f t="shared" si="77"/>
        <v>8410/0000</v>
      </c>
      <c r="N366" s="70"/>
      <c r="P366" s="71"/>
      <c r="Q366" s="51"/>
      <c r="R366" s="31"/>
    </row>
    <row r="367" spans="1:18" x14ac:dyDescent="0.2">
      <c r="A367" s="238"/>
      <c r="B367" s="54" t="s">
        <v>240</v>
      </c>
      <c r="C367" s="276">
        <f>TrialBalance!C367</f>
        <v>0</v>
      </c>
      <c r="D367" s="281"/>
      <c r="E367" s="281"/>
      <c r="F367" s="79">
        <f t="shared" si="81"/>
        <v>0</v>
      </c>
      <c r="G367" s="47">
        <f>SUMIF(JournalsA!D$14:D$920,TrialBalanceA!M367,JournalsA!J$14:J$920)+SUMIF(JournalsA!E$14:E$920,TrialBalanceA!M367,JournalsA!J$14:J$920)</f>
        <v>0</v>
      </c>
      <c r="H367" s="288"/>
      <c r="I367" s="255">
        <f t="shared" si="82"/>
        <v>0</v>
      </c>
      <c r="J367" s="75"/>
      <c r="K367" s="48">
        <f t="shared" si="83"/>
        <v>0</v>
      </c>
      <c r="M367" s="140" t="str">
        <f t="shared" si="77"/>
        <v>8420/0000</v>
      </c>
      <c r="N367" s="70"/>
      <c r="P367" s="71"/>
      <c r="Q367" s="51"/>
      <c r="R367" s="31"/>
    </row>
    <row r="368" spans="1:18" x14ac:dyDescent="0.2">
      <c r="A368" s="238"/>
      <c r="B368" s="54" t="s">
        <v>241</v>
      </c>
      <c r="C368" s="276">
        <f>TrialBalance!C368</f>
        <v>0</v>
      </c>
      <c r="D368" s="272"/>
      <c r="E368" s="272"/>
      <c r="F368" s="79">
        <f t="shared" si="81"/>
        <v>0</v>
      </c>
      <c r="G368" s="47">
        <f>SUMIF(JournalsA!D$14:D$920,TrialBalanceA!M368,JournalsA!J$14:J$920)+SUMIF(JournalsA!E$14:E$920,TrialBalanceA!M368,JournalsA!J$14:J$920)</f>
        <v>0</v>
      </c>
      <c r="H368" s="288"/>
      <c r="I368" s="255">
        <f t="shared" ref="I368:I400" si="116">ROUND(D368-E368+G368+F368,0)</f>
        <v>0</v>
      </c>
      <c r="J368" s="75"/>
      <c r="K368" s="48">
        <f t="shared" ref="K368:K400" si="117">ROUND(SUM(A368),0)</f>
        <v>0</v>
      </c>
      <c r="M368" s="140" t="str">
        <f t="shared" si="77"/>
        <v>8430/0000</v>
      </c>
      <c r="N368" s="70"/>
      <c r="P368" s="71"/>
      <c r="Q368" s="51"/>
      <c r="R368" s="31"/>
    </row>
    <row r="369" spans="1:18" x14ac:dyDescent="0.2">
      <c r="A369" s="238"/>
      <c r="B369" s="54" t="s">
        <v>242</v>
      </c>
      <c r="C369" s="276">
        <f>TrialBalance!C369</f>
        <v>0</v>
      </c>
      <c r="D369" s="282"/>
      <c r="E369" s="272"/>
      <c r="F369" s="79">
        <f t="shared" si="81"/>
        <v>0</v>
      </c>
      <c r="G369" s="47">
        <f>SUMIF(JournalsA!D$14:D$920,TrialBalanceA!M369,JournalsA!J$14:J$920)+SUMIF(JournalsA!E$14:E$920,TrialBalanceA!M369,JournalsA!J$14:J$920)</f>
        <v>0</v>
      </c>
      <c r="H369" s="288"/>
      <c r="I369" s="255">
        <f t="shared" si="116"/>
        <v>0</v>
      </c>
      <c r="J369" s="75"/>
      <c r="K369" s="48">
        <f t="shared" si="117"/>
        <v>0</v>
      </c>
      <c r="M369" s="140" t="str">
        <f t="shared" ref="M369:M400" si="118">CONCATENATE(B369,C369)</f>
        <v>8440/0000</v>
      </c>
      <c r="N369" s="70"/>
      <c r="P369" s="71"/>
      <c r="Q369" s="51"/>
      <c r="R369" s="31"/>
    </row>
    <row r="370" spans="1:18" x14ac:dyDescent="0.2">
      <c r="A370" s="238"/>
      <c r="B370" s="54" t="s">
        <v>243</v>
      </c>
      <c r="C370" s="276">
        <f>TrialBalance!C370</f>
        <v>0</v>
      </c>
      <c r="D370" s="282"/>
      <c r="E370" s="272"/>
      <c r="F370" s="79">
        <f t="shared" si="81"/>
        <v>0</v>
      </c>
      <c r="G370" s="47">
        <f>SUMIF(JournalsA!D$14:D$920,TrialBalanceA!M370,JournalsA!J$14:J$920)+SUMIF(JournalsA!E$14:E$920,TrialBalanceA!M370,JournalsA!J$14:J$920)</f>
        <v>0</v>
      </c>
      <c r="H370" s="288"/>
      <c r="I370" s="255">
        <f t="shared" si="116"/>
        <v>0</v>
      </c>
      <c r="J370" s="75"/>
      <c r="K370" s="48">
        <f t="shared" si="117"/>
        <v>0</v>
      </c>
      <c r="M370" s="140" t="str">
        <f t="shared" si="118"/>
        <v>8450/0000</v>
      </c>
      <c r="N370" s="70"/>
      <c r="P370" s="71"/>
      <c r="Q370" s="51"/>
      <c r="R370" s="31"/>
    </row>
    <row r="371" spans="1:18" x14ac:dyDescent="0.2">
      <c r="A371" s="238"/>
      <c r="B371" s="54" t="s">
        <v>126</v>
      </c>
      <c r="C371" s="276">
        <f>TrialBalance!C371</f>
        <v>0</v>
      </c>
      <c r="D371" s="282"/>
      <c r="E371" s="272"/>
      <c r="F371" s="79">
        <f t="shared" si="81"/>
        <v>0</v>
      </c>
      <c r="G371" s="47">
        <f>SUMIF(JournalsA!D$14:D$920,TrialBalanceA!M371,JournalsA!J$14:J$920)+SUMIF(JournalsA!E$14:E$920,TrialBalanceA!M371,JournalsA!J$14:J$920)</f>
        <v>0</v>
      </c>
      <c r="H371" s="288"/>
      <c r="I371" s="255">
        <f t="shared" si="116"/>
        <v>0</v>
      </c>
      <c r="J371" s="75"/>
      <c r="K371" s="48">
        <f t="shared" si="117"/>
        <v>0</v>
      </c>
      <c r="M371" s="140" t="str">
        <f t="shared" si="118"/>
        <v>8460/0000</v>
      </c>
      <c r="N371" s="70"/>
      <c r="P371" s="71"/>
      <c r="Q371" s="51"/>
      <c r="R371" s="31"/>
    </row>
    <row r="372" spans="1:18" x14ac:dyDescent="0.2">
      <c r="A372" s="238"/>
      <c r="B372" s="54" t="s">
        <v>426</v>
      </c>
      <c r="C372" s="246" t="s">
        <v>427</v>
      </c>
      <c r="D372" s="272"/>
      <c r="E372" s="272"/>
      <c r="F372" s="79">
        <f t="shared" si="81"/>
        <v>0</v>
      </c>
      <c r="G372" s="47">
        <f>SUMIF(JournalsA!D$14:D$920,TrialBalanceA!M372,JournalsA!J$14:J$920)+SUMIF(JournalsA!E$14:E$920,TrialBalanceA!M372,JournalsA!J$14:J$920)</f>
        <v>0</v>
      </c>
      <c r="H372" s="288"/>
      <c r="I372" s="255">
        <f t="shared" si="116"/>
        <v>0</v>
      </c>
      <c r="J372" s="75"/>
      <c r="K372" s="48">
        <f t="shared" si="117"/>
        <v>0</v>
      </c>
      <c r="M372" s="140" t="str">
        <f t="shared" si="118"/>
        <v>8500/000Cash on hand</v>
      </c>
      <c r="N372" s="70"/>
      <c r="P372" s="71"/>
      <c r="Q372" s="51"/>
      <c r="R372" s="31"/>
    </row>
    <row r="373" spans="1:18" x14ac:dyDescent="0.2">
      <c r="A373" s="238"/>
      <c r="B373" s="54" t="s">
        <v>428</v>
      </c>
      <c r="C373" s="244" t="s">
        <v>287</v>
      </c>
      <c r="D373" s="270"/>
      <c r="E373" s="272"/>
      <c r="F373" s="79"/>
      <c r="G373" s="47">
        <f>SUMIF(JournalsA!D$14:D$920,TrialBalanceA!M373,JournalsA!J$14:J$920)+SUMIF(JournalsA!E$14:E$920,TrialBalanceA!M373,JournalsA!J$14:J$920)</f>
        <v>0</v>
      </c>
      <c r="H373" s="288"/>
      <c r="I373" s="255">
        <f t="shared" si="116"/>
        <v>0</v>
      </c>
      <c r="J373" s="75"/>
      <c r="K373" s="48">
        <f t="shared" si="117"/>
        <v>0</v>
      </c>
      <c r="M373" s="140" t="str">
        <f t="shared" si="118"/>
        <v>8900/000SHORT TERM LOANS</v>
      </c>
      <c r="N373" s="70"/>
      <c r="P373" s="71"/>
      <c r="Q373" s="51"/>
      <c r="R373" s="31"/>
    </row>
    <row r="374" spans="1:18" x14ac:dyDescent="0.2">
      <c r="A374" s="238"/>
      <c r="B374" s="54" t="s">
        <v>429</v>
      </c>
      <c r="C374" s="276">
        <f>TrialBalance!C374</f>
        <v>0</v>
      </c>
      <c r="D374" s="272"/>
      <c r="E374" s="272"/>
      <c r="F374" s="79">
        <f t="shared" si="81"/>
        <v>0</v>
      </c>
      <c r="G374" s="47">
        <f>SUMIF(JournalsA!D$14:D$920,TrialBalanceA!M374,JournalsA!J$14:J$920)+SUMIF(JournalsA!E$14:E$920,TrialBalanceA!M374,JournalsA!J$14:J$920)</f>
        <v>0</v>
      </c>
      <c r="H374" s="288"/>
      <c r="I374" s="255">
        <f t="shared" si="116"/>
        <v>0</v>
      </c>
      <c r="J374" s="75"/>
      <c r="K374" s="48">
        <f t="shared" si="117"/>
        <v>0</v>
      </c>
      <c r="M374" s="140" t="str">
        <f t="shared" si="118"/>
        <v>8900/0010</v>
      </c>
      <c r="N374" s="70"/>
      <c r="P374" s="71"/>
      <c r="Q374" s="51"/>
      <c r="R374" s="31"/>
    </row>
    <row r="375" spans="1:18" x14ac:dyDescent="0.2">
      <c r="A375" s="238"/>
      <c r="B375" s="54" t="s">
        <v>430</v>
      </c>
      <c r="C375" s="276">
        <f>TrialBalance!C375</f>
        <v>0</v>
      </c>
      <c r="D375" s="282"/>
      <c r="E375" s="272"/>
      <c r="F375" s="79">
        <f t="shared" si="81"/>
        <v>0</v>
      </c>
      <c r="G375" s="47">
        <f>SUMIF(JournalsA!D$14:D$920,TrialBalanceA!M375,JournalsA!J$14:J$920)+SUMIF(JournalsA!E$14:E$920,TrialBalanceA!M375,JournalsA!J$14:J$920)</f>
        <v>0</v>
      </c>
      <c r="H375" s="288"/>
      <c r="I375" s="255">
        <f t="shared" si="116"/>
        <v>0</v>
      </c>
      <c r="J375" s="75"/>
      <c r="K375" s="48">
        <f t="shared" si="117"/>
        <v>0</v>
      </c>
      <c r="M375" s="140" t="str">
        <f t="shared" si="118"/>
        <v>8900/0020</v>
      </c>
      <c r="N375" s="70"/>
      <c r="P375" s="71"/>
      <c r="Q375" s="51"/>
      <c r="R375" s="31"/>
    </row>
    <row r="376" spans="1:18" x14ac:dyDescent="0.2">
      <c r="A376" s="238"/>
      <c r="B376" s="54" t="s">
        <v>431</v>
      </c>
      <c r="C376" s="276">
        <f>TrialBalance!C376</f>
        <v>0</v>
      </c>
      <c r="D376" s="282"/>
      <c r="E376" s="272"/>
      <c r="F376" s="79">
        <f t="shared" si="81"/>
        <v>0</v>
      </c>
      <c r="G376" s="47">
        <f>SUMIF(JournalsA!D$14:D$920,TrialBalanceA!M376,JournalsA!J$14:J$920)+SUMIF(JournalsA!E$14:E$920,TrialBalanceA!M376,JournalsA!J$14:J$920)</f>
        <v>0</v>
      </c>
      <c r="H376" s="288"/>
      <c r="I376" s="255">
        <f t="shared" si="116"/>
        <v>0</v>
      </c>
      <c r="J376" s="75"/>
      <c r="K376" s="48">
        <f t="shared" si="117"/>
        <v>0</v>
      </c>
      <c r="M376" s="140" t="str">
        <f t="shared" si="118"/>
        <v>8900/0030</v>
      </c>
      <c r="N376" s="70"/>
      <c r="P376" s="71"/>
      <c r="Q376" s="51"/>
      <c r="R376" s="31"/>
    </row>
    <row r="377" spans="1:18" x14ac:dyDescent="0.2">
      <c r="A377" s="238"/>
      <c r="B377" s="54" t="s">
        <v>432</v>
      </c>
      <c r="C377" s="239" t="s">
        <v>255</v>
      </c>
      <c r="D377" s="283"/>
      <c r="E377" s="272"/>
      <c r="F377" s="79"/>
      <c r="G377" s="47">
        <f>SUMIF(JournalsA!D$14:D$920,TrialBalanceA!M377,JournalsA!J$14:J$920)+SUMIF(JournalsA!E$14:E$920,TrialBalanceA!M377,JournalsA!J$14:J$920)</f>
        <v>0</v>
      </c>
      <c r="H377" s="288"/>
      <c r="I377" s="255">
        <f t="shared" si="116"/>
        <v>0</v>
      </c>
      <c r="J377" s="75"/>
      <c r="K377" s="48">
        <f t="shared" si="117"/>
        <v>0</v>
      </c>
      <c r="M377" s="140" t="str">
        <f t="shared" si="118"/>
        <v>8900/004Short term portion of long term loans</v>
      </c>
      <c r="N377" s="70"/>
      <c r="P377" s="71"/>
      <c r="Q377" s="51"/>
      <c r="R377" s="31"/>
    </row>
    <row r="378" spans="1:18" x14ac:dyDescent="0.2">
      <c r="A378" s="238"/>
      <c r="B378" s="54" t="s">
        <v>433</v>
      </c>
      <c r="C378" s="239" t="s">
        <v>434</v>
      </c>
      <c r="D378" s="283"/>
      <c r="E378" s="272"/>
      <c r="F378" s="79"/>
      <c r="G378" s="47">
        <f>SUMIF(JournalsA!D$14:D$920,TrialBalanceA!M378,JournalsA!J$14:J$920)+SUMIF(JournalsA!E$14:E$920,TrialBalanceA!M378,JournalsA!J$14:J$920)</f>
        <v>0</v>
      </c>
      <c r="H378" s="288"/>
      <c r="I378" s="255">
        <f t="shared" si="116"/>
        <v>0</v>
      </c>
      <c r="J378" s="75"/>
      <c r="K378" s="48">
        <f t="shared" si="117"/>
        <v>0</v>
      </c>
      <c r="M378" s="140" t="str">
        <f t="shared" si="118"/>
        <v>9000/000CREDITORS</v>
      </c>
      <c r="N378" s="70"/>
      <c r="P378" s="71"/>
      <c r="Q378" s="51"/>
      <c r="R378" s="31"/>
    </row>
    <row r="379" spans="1:18" x14ac:dyDescent="0.2">
      <c r="A379" s="238"/>
      <c r="B379" s="54" t="s">
        <v>435</v>
      </c>
      <c r="C379" s="240" t="s">
        <v>436</v>
      </c>
      <c r="D379" s="282"/>
      <c r="E379" s="272"/>
      <c r="F379" s="79">
        <f>K379</f>
        <v>0</v>
      </c>
      <c r="G379" s="47">
        <f>SUMIF(JournalsA!D$14:D$920,TrialBalanceA!M379,JournalsA!J$14:J$920)+SUMIF(JournalsA!E$14:E$920,TrialBalanceA!M379,JournalsA!J$14:J$920)</f>
        <v>0</v>
      </c>
      <c r="H379" s="288"/>
      <c r="I379" s="255">
        <f t="shared" si="116"/>
        <v>0</v>
      </c>
      <c r="J379" s="75"/>
      <c r="K379" s="48">
        <f t="shared" si="117"/>
        <v>0</v>
      </c>
      <c r="M379" s="140" t="str">
        <f t="shared" si="118"/>
        <v>9010/000Trade creditors</v>
      </c>
      <c r="N379" s="70"/>
      <c r="P379" s="71"/>
      <c r="Q379" s="51"/>
      <c r="R379" s="31"/>
    </row>
    <row r="380" spans="1:18" x14ac:dyDescent="0.2">
      <c r="A380" s="238"/>
      <c r="B380" s="54" t="s">
        <v>437</v>
      </c>
      <c r="C380" s="242" t="s">
        <v>579</v>
      </c>
      <c r="D380" s="282"/>
      <c r="E380" s="272"/>
      <c r="F380" s="79">
        <f>K380</f>
        <v>0</v>
      </c>
      <c r="G380" s="47">
        <f>SUMIF(JournalsA!D$14:D$920,TrialBalanceA!M380,JournalsA!J$14:J$920)+SUMIF(JournalsA!E$14:E$920,TrialBalanceA!M380,JournalsA!J$14:J$920)</f>
        <v>0</v>
      </c>
      <c r="H380" s="288"/>
      <c r="I380" s="255">
        <f t="shared" si="116"/>
        <v>0</v>
      </c>
      <c r="J380" s="75"/>
      <c r="K380" s="48">
        <f t="shared" si="117"/>
        <v>0</v>
      </c>
      <c r="M380" s="140" t="str">
        <f t="shared" si="118"/>
        <v>9200/000Sundry suppliers</v>
      </c>
      <c r="N380" s="70"/>
      <c r="P380" s="71"/>
      <c r="Q380" s="51"/>
      <c r="R380" s="31"/>
    </row>
    <row r="381" spans="1:18" x14ac:dyDescent="0.2">
      <c r="A381" s="238"/>
      <c r="B381" s="54" t="s">
        <v>438</v>
      </c>
      <c r="C381" s="242" t="s">
        <v>753</v>
      </c>
      <c r="D381" s="284"/>
      <c r="E381" s="272"/>
      <c r="F381" s="79">
        <f>K381</f>
        <v>0</v>
      </c>
      <c r="G381" s="47">
        <f>SUMIF(JournalsA!D$14:D$920,TrialBalanceA!M381,JournalsA!J$14:J$920)+SUMIF(JournalsA!E$14:E$920,TrialBalanceA!M381,JournalsA!J$14:J$920)</f>
        <v>0</v>
      </c>
      <c r="H381" s="288"/>
      <c r="I381" s="255">
        <f t="shared" si="116"/>
        <v>0</v>
      </c>
      <c r="J381" s="75"/>
      <c r="K381" s="48">
        <f t="shared" si="117"/>
        <v>0</v>
      </c>
      <c r="M381" s="140" t="str">
        <f t="shared" si="118"/>
        <v>9200/010Audit and accounting fee accrual</v>
      </c>
      <c r="N381" s="70"/>
      <c r="P381" s="71"/>
      <c r="Q381" s="51"/>
      <c r="R381" s="31"/>
    </row>
    <row r="382" spans="1:18" x14ac:dyDescent="0.2">
      <c r="A382" s="238"/>
      <c r="B382" s="54" t="s">
        <v>439</v>
      </c>
      <c r="C382" s="242" t="s">
        <v>580</v>
      </c>
      <c r="D382" s="282"/>
      <c r="E382" s="272"/>
      <c r="F382" s="79">
        <f>K382</f>
        <v>0</v>
      </c>
      <c r="G382" s="47">
        <f>SUMIF(JournalsA!D$14:D$920,TrialBalanceA!M382,JournalsA!J$14:J$920)+SUMIF(JournalsA!E$14:E$920,TrialBalanceA!M382,JournalsA!J$14:J$920)</f>
        <v>0</v>
      </c>
      <c r="H382" s="288"/>
      <c r="I382" s="255">
        <f t="shared" si="116"/>
        <v>0</v>
      </c>
      <c r="J382" s="75"/>
      <c r="K382" s="48">
        <f t="shared" si="117"/>
        <v>0</v>
      </c>
      <c r="M382" s="140" t="str">
        <f t="shared" si="118"/>
        <v>9200/020Other accruals</v>
      </c>
      <c r="N382" s="70"/>
      <c r="P382" s="71"/>
      <c r="Q382" s="51"/>
      <c r="R382" s="31"/>
    </row>
    <row r="383" spans="1:18" x14ac:dyDescent="0.2">
      <c r="A383" s="238"/>
      <c r="B383" s="54" t="s">
        <v>440</v>
      </c>
      <c r="C383" s="242" t="s">
        <v>749</v>
      </c>
      <c r="D383" s="282"/>
      <c r="E383" s="272"/>
      <c r="F383" s="79">
        <f>K383</f>
        <v>0</v>
      </c>
      <c r="G383" s="47">
        <f>SUMIF(JournalsA!D$14:D$920,TrialBalanceA!M383,JournalsA!J$14:J$920)+SUMIF(JournalsA!E$14:E$920,TrialBalanceA!M383,JournalsA!J$14:J$920)</f>
        <v>0</v>
      </c>
      <c r="H383" s="288"/>
      <c r="I383" s="255">
        <f t="shared" si="116"/>
        <v>0</v>
      </c>
      <c r="J383" s="75"/>
      <c r="K383" s="48">
        <f t="shared" si="117"/>
        <v>0</v>
      </c>
      <c r="M383" s="140" t="str">
        <f t="shared" si="118"/>
        <v>9250/000Salary and wages control</v>
      </c>
      <c r="N383" s="70"/>
      <c r="P383" s="71"/>
      <c r="Q383" s="51"/>
      <c r="R383" s="31"/>
    </row>
    <row r="384" spans="1:18" x14ac:dyDescent="0.2">
      <c r="A384" s="238"/>
      <c r="B384" s="54" t="s">
        <v>338</v>
      </c>
      <c r="C384" s="239" t="s">
        <v>116</v>
      </c>
      <c r="D384" s="283"/>
      <c r="E384" s="272"/>
      <c r="F384" s="79"/>
      <c r="G384" s="47">
        <f>SUMIF(JournalsA!D$14:D$920,TrialBalanceA!M384,JournalsA!J$14:J$920)+SUMIF(JournalsA!E$14:E$920,TrialBalanceA!M384,JournalsA!J$14:J$920)</f>
        <v>0</v>
      </c>
      <c r="H384" s="288"/>
      <c r="I384" s="255">
        <f t="shared" si="116"/>
        <v>0</v>
      </c>
      <c r="J384" s="75"/>
      <c r="K384" s="48">
        <f t="shared" si="117"/>
        <v>0</v>
      </c>
      <c r="M384" s="140" t="str">
        <f t="shared" si="118"/>
        <v>9300/000TAXATION</v>
      </c>
      <c r="N384" s="70"/>
      <c r="P384" s="71"/>
      <c r="Q384" s="51"/>
      <c r="R384" s="31"/>
    </row>
    <row r="385" spans="1:18" x14ac:dyDescent="0.2">
      <c r="A385" s="238"/>
      <c r="B385" s="54" t="s">
        <v>451</v>
      </c>
      <c r="C385" s="240" t="s">
        <v>83</v>
      </c>
      <c r="D385" s="282"/>
      <c r="E385" s="272"/>
      <c r="F385" s="79">
        <f>SUM(K385:K392)</f>
        <v>0</v>
      </c>
      <c r="G385" s="47">
        <f>SUMIF(JournalsA!D$14:D$920,TrialBalanceA!M385,JournalsA!J$14:J$920)+SUMIF(JournalsA!E$14:E$920,TrialBalanceA!M385,JournalsA!J$14:J$920)</f>
        <v>0</v>
      </c>
      <c r="H385" s="288"/>
      <c r="I385" s="255">
        <f t="shared" si="116"/>
        <v>0</v>
      </c>
      <c r="J385" s="75"/>
      <c r="K385" s="48">
        <f t="shared" si="117"/>
        <v>0</v>
      </c>
      <c r="M385" s="140" t="str">
        <f t="shared" si="118"/>
        <v>9300/010Balance b/fwd</v>
      </c>
      <c r="N385" s="70"/>
      <c r="P385" s="71"/>
      <c r="Q385" s="51"/>
      <c r="R385" s="31"/>
    </row>
    <row r="386" spans="1:18" x14ac:dyDescent="0.2">
      <c r="A386" s="238"/>
      <c r="B386" s="54" t="s">
        <v>452</v>
      </c>
      <c r="C386" s="246" t="s">
        <v>123</v>
      </c>
      <c r="D386" s="272"/>
      <c r="E386" s="272"/>
      <c r="F386" s="79"/>
      <c r="G386" s="47">
        <f>SUMIF(JournalsA!D$14:D$920,TrialBalanceA!M386,JournalsA!J$14:J$920)+SUMIF(JournalsA!E$14:E$920,TrialBalanceA!M386,JournalsA!J$14:J$920)</f>
        <v>0</v>
      </c>
      <c r="H386" s="288"/>
      <c r="I386" s="255">
        <f t="shared" si="116"/>
        <v>0</v>
      </c>
      <c r="J386" s="75"/>
      <c r="K386" s="48">
        <f t="shared" si="117"/>
        <v>0</v>
      </c>
      <c r="M386" s="140" t="str">
        <f t="shared" si="118"/>
        <v>9300/020Tax provision this year</v>
      </c>
      <c r="N386" s="70"/>
      <c r="P386" s="71"/>
      <c r="Q386" s="51"/>
      <c r="R386" s="31"/>
    </row>
    <row r="387" spans="1:18" x14ac:dyDescent="0.2">
      <c r="A387" s="238"/>
      <c r="B387" s="54" t="s">
        <v>453</v>
      </c>
      <c r="C387" s="242" t="s">
        <v>834</v>
      </c>
      <c r="D387" s="282"/>
      <c r="E387" s="272"/>
      <c r="F387" s="79"/>
      <c r="G387" s="47">
        <f>SUMIF(JournalsA!D$14:D$920,TrialBalanceA!M387,JournalsA!J$14:J$920)+SUMIF(JournalsA!E$14:E$920,TrialBalanceA!M387,JournalsA!J$14:J$920)</f>
        <v>0</v>
      </c>
      <c r="H387" s="288"/>
      <c r="I387" s="255">
        <f t="shared" si="116"/>
        <v>0</v>
      </c>
      <c r="J387" s="75"/>
      <c r="K387" s="48">
        <f t="shared" si="117"/>
        <v>0</v>
      </c>
      <c r="M387" s="140" t="str">
        <f t="shared" si="118"/>
        <v>9300/030Over-/(Under) provision previous year</v>
      </c>
      <c r="N387" s="70"/>
      <c r="P387" s="71"/>
      <c r="Q387" s="51"/>
      <c r="R387" s="31"/>
    </row>
    <row r="388" spans="1:18" x14ac:dyDescent="0.2">
      <c r="A388" s="238"/>
      <c r="B388" s="54" t="s">
        <v>454</v>
      </c>
      <c r="C388" s="242" t="s">
        <v>835</v>
      </c>
      <c r="D388" s="282"/>
      <c r="E388" s="272"/>
      <c r="F388" s="79"/>
      <c r="G388" s="47">
        <f>SUMIF(JournalsA!D$14:D$920,TrialBalanceA!M388,JournalsA!J$14:J$920)+SUMIF(JournalsA!E$14:E$920,TrialBalanceA!M388,JournalsA!J$14:J$920)</f>
        <v>0</v>
      </c>
      <c r="H388" s="288"/>
      <c r="I388" s="255">
        <f t="shared" si="116"/>
        <v>0</v>
      </c>
      <c r="J388" s="75"/>
      <c r="K388" s="48">
        <f t="shared" si="117"/>
        <v>0</v>
      </c>
      <c r="M388" s="140" t="str">
        <f t="shared" si="118"/>
        <v>9300/040Tax paid/(refund) for previous year provisions</v>
      </c>
      <c r="N388" s="70"/>
      <c r="P388" s="71"/>
      <c r="Q388" s="51"/>
      <c r="R388" s="31"/>
    </row>
    <row r="389" spans="1:18" x14ac:dyDescent="0.2">
      <c r="A389" s="238"/>
      <c r="B389" s="54" t="s">
        <v>455</v>
      </c>
      <c r="C389" s="242" t="s">
        <v>804</v>
      </c>
      <c r="D389" s="282"/>
      <c r="E389" s="272"/>
      <c r="F389" s="79"/>
      <c r="G389" s="47">
        <f>SUMIF(JournalsA!D$14:D$920,TrialBalanceA!M389,JournalsA!J$14:J$920)+SUMIF(JournalsA!E$14:E$920,TrialBalanceA!M389,JournalsA!J$14:J$920)</f>
        <v>0</v>
      </c>
      <c r="H389" s="288"/>
      <c r="I389" s="255">
        <f t="shared" si="116"/>
        <v>0</v>
      </c>
      <c r="J389" s="75"/>
      <c r="K389" s="48">
        <f t="shared" si="117"/>
        <v>0</v>
      </c>
      <c r="M389" s="140" t="str">
        <f t="shared" si="118"/>
        <v>9300/0501st Provisional paid</v>
      </c>
      <c r="N389" s="70"/>
      <c r="P389" s="71"/>
      <c r="Q389" s="51"/>
      <c r="R389" s="31"/>
    </row>
    <row r="390" spans="1:18" x14ac:dyDescent="0.2">
      <c r="A390" s="238"/>
      <c r="B390" s="54" t="s">
        <v>456</v>
      </c>
      <c r="C390" s="242" t="s">
        <v>805</v>
      </c>
      <c r="D390" s="282"/>
      <c r="E390" s="272"/>
      <c r="F390" s="79"/>
      <c r="G390" s="47">
        <f>SUMIF(JournalsA!D$14:D$920,TrialBalanceA!M390,JournalsA!J$14:J$920)+SUMIF(JournalsA!E$14:E$920,TrialBalanceA!M390,JournalsA!J$14:J$920)</f>
        <v>0</v>
      </c>
      <c r="H390" s="288"/>
      <c r="I390" s="255">
        <f t="shared" si="116"/>
        <v>0</v>
      </c>
      <c r="J390" s="75"/>
      <c r="K390" s="48">
        <f t="shared" si="117"/>
        <v>0</v>
      </c>
      <c r="M390" s="140" t="str">
        <f t="shared" si="118"/>
        <v>9300/0602nd Provisional paid</v>
      </c>
      <c r="N390" s="70"/>
      <c r="P390" s="71"/>
      <c r="Q390" s="51"/>
      <c r="R390" s="31"/>
    </row>
    <row r="391" spans="1:18" x14ac:dyDescent="0.2">
      <c r="A391" s="238"/>
      <c r="B391" s="54" t="s">
        <v>457</v>
      </c>
      <c r="C391" s="240" t="s">
        <v>124</v>
      </c>
      <c r="D391" s="282"/>
      <c r="E391" s="272"/>
      <c r="F391" s="79"/>
      <c r="G391" s="47">
        <f>SUMIF(JournalsA!D$14:D$920,TrialBalanceA!M391,JournalsA!J$14:J$920)+SUMIF(JournalsA!E$14:E$920,TrialBalanceA!M391,JournalsA!J$14:J$920)</f>
        <v>0</v>
      </c>
      <c r="H391" s="288"/>
      <c r="I391" s="255">
        <f t="shared" si="116"/>
        <v>0</v>
      </c>
      <c r="J391" s="75"/>
      <c r="K391" s="48">
        <f t="shared" si="117"/>
        <v>0</v>
      </c>
      <c r="M391" s="140" t="str">
        <f t="shared" si="118"/>
        <v>9300/0703rd Provisional paid</v>
      </c>
      <c r="N391" s="70"/>
      <c r="P391" s="71"/>
      <c r="Q391" s="51"/>
      <c r="R391" s="31"/>
    </row>
    <row r="392" spans="1:18" x14ac:dyDescent="0.2">
      <c r="A392" s="238"/>
      <c r="B392" s="54" t="s">
        <v>458</v>
      </c>
      <c r="C392" s="242" t="s">
        <v>837</v>
      </c>
      <c r="D392" s="282"/>
      <c r="E392" s="272"/>
      <c r="F392" s="79"/>
      <c r="G392" s="47">
        <f>SUMIF(JournalsA!D$14:D$920,TrialBalanceA!M392,JournalsA!J$14:J$920)+SUMIF(JournalsA!E$14:E$920,TrialBalanceA!M392,JournalsA!J$14:J$920)</f>
        <v>0</v>
      </c>
      <c r="H392" s="288"/>
      <c r="I392" s="255">
        <f t="shared" si="116"/>
        <v>0</v>
      </c>
      <c r="J392" s="75"/>
      <c r="K392" s="48">
        <f t="shared" si="117"/>
        <v>0</v>
      </c>
      <c r="M392" s="140" t="str">
        <f t="shared" si="118"/>
        <v>9300/090Dividends tax provision</v>
      </c>
      <c r="N392" s="70"/>
      <c r="P392" s="71"/>
      <c r="Q392" s="51"/>
      <c r="R392" s="31"/>
    </row>
    <row r="393" spans="1:18" x14ac:dyDescent="0.2">
      <c r="A393" s="238"/>
      <c r="B393" s="54" t="s">
        <v>339</v>
      </c>
      <c r="C393" s="242" t="s">
        <v>566</v>
      </c>
      <c r="D393" s="284"/>
      <c r="E393" s="272"/>
      <c r="F393" s="79">
        <f>K393</f>
        <v>0</v>
      </c>
      <c r="G393" s="47">
        <f>SUMIF(JournalsA!D$14:D$920,TrialBalanceA!M393,JournalsA!J$14:J$920)+SUMIF(JournalsA!E$14:E$920,TrialBalanceA!M393,JournalsA!J$14:J$920)</f>
        <v>0</v>
      </c>
      <c r="H393" s="288"/>
      <c r="I393" s="255">
        <f t="shared" si="116"/>
        <v>0</v>
      </c>
      <c r="J393" s="75"/>
      <c r="K393" s="48">
        <f t="shared" si="117"/>
        <v>0</v>
      </c>
      <c r="M393" s="140" t="str">
        <f t="shared" si="118"/>
        <v>9350/000Dividends payable</v>
      </c>
      <c r="N393" s="70"/>
      <c r="P393" s="71"/>
      <c r="Q393" s="51"/>
      <c r="R393" s="31"/>
    </row>
    <row r="394" spans="1:18" x14ac:dyDescent="0.2">
      <c r="A394" s="238"/>
      <c r="B394" s="54" t="s">
        <v>340</v>
      </c>
      <c r="C394" s="242" t="s">
        <v>567</v>
      </c>
      <c r="D394" s="284"/>
      <c r="E394" s="272"/>
      <c r="F394" s="79">
        <f>K394</f>
        <v>0</v>
      </c>
      <c r="G394" s="47">
        <f>SUMIF(JournalsA!D$14:D$920,TrialBalanceA!M394,JournalsA!J$14:J$920)+SUMIF(JournalsA!E$14:E$920,TrialBalanceA!M394,JournalsA!J$14:J$920)</f>
        <v>0</v>
      </c>
      <c r="H394" s="288"/>
      <c r="I394" s="255">
        <f t="shared" si="116"/>
        <v>0</v>
      </c>
      <c r="J394" s="75"/>
      <c r="K394" s="48">
        <f t="shared" si="117"/>
        <v>0</v>
      </c>
      <c r="M394" s="140" t="str">
        <f t="shared" si="118"/>
        <v>9400/000Provision for future expenses</v>
      </c>
      <c r="N394" s="70"/>
      <c r="P394" s="71"/>
      <c r="Q394" s="51"/>
      <c r="R394" s="31"/>
    </row>
    <row r="395" spans="1:18" x14ac:dyDescent="0.2">
      <c r="A395" s="238"/>
      <c r="B395" s="54" t="s">
        <v>341</v>
      </c>
      <c r="C395" s="242" t="s">
        <v>568</v>
      </c>
      <c r="D395" s="284"/>
      <c r="E395" s="272"/>
      <c r="F395" s="79">
        <f>K395</f>
        <v>0</v>
      </c>
      <c r="G395" s="47">
        <f>SUMIF(JournalsA!D$14:D$920,TrialBalanceA!M395,JournalsA!J$14:J$920)+SUMIF(JournalsA!E$14:E$920,TrialBalanceA!M395,JournalsA!J$14:J$920)</f>
        <v>0</v>
      </c>
      <c r="H395" s="288"/>
      <c r="I395" s="255">
        <f t="shared" si="116"/>
        <v>0</v>
      </c>
      <c r="J395" s="75"/>
      <c r="K395" s="48">
        <f t="shared" si="117"/>
        <v>0</v>
      </c>
      <c r="M395" s="140" t="str">
        <f t="shared" si="118"/>
        <v>9400/010Provision for insurance</v>
      </c>
      <c r="N395" s="70"/>
      <c r="P395" s="71"/>
      <c r="Q395" s="51"/>
      <c r="R395" s="31"/>
    </row>
    <row r="396" spans="1:18" x14ac:dyDescent="0.2">
      <c r="A396" s="238"/>
      <c r="B396" s="54" t="s">
        <v>342</v>
      </c>
      <c r="C396" s="242" t="s">
        <v>569</v>
      </c>
      <c r="D396" s="284"/>
      <c r="E396" s="272"/>
      <c r="F396" s="79">
        <f>K396</f>
        <v>0</v>
      </c>
      <c r="G396" s="47">
        <f>SUMIF(JournalsA!D$14:D$920,TrialBalanceA!M396,JournalsA!J$14:J$920)+SUMIF(JournalsA!E$14:E$920,TrialBalanceA!M396,JournalsA!J$14:J$920)</f>
        <v>0</v>
      </c>
      <c r="H396" s="288"/>
      <c r="I396" s="255">
        <f t="shared" si="116"/>
        <v>0</v>
      </c>
      <c r="J396" s="75"/>
      <c r="K396" s="48">
        <f t="shared" si="117"/>
        <v>0</v>
      </c>
      <c r="M396" s="140" t="str">
        <f t="shared" si="118"/>
        <v>9400/020Provision for salary bonus</v>
      </c>
      <c r="N396" s="70"/>
      <c r="P396" s="71"/>
      <c r="Q396" s="51"/>
      <c r="R396" s="31"/>
    </row>
    <row r="397" spans="1:18" x14ac:dyDescent="0.2">
      <c r="A397" s="238"/>
      <c r="B397" s="54" t="s">
        <v>343</v>
      </c>
      <c r="C397" s="239" t="s">
        <v>344</v>
      </c>
      <c r="D397" s="283"/>
      <c r="E397" s="272"/>
      <c r="F397" s="79"/>
      <c r="G397" s="47">
        <f>SUMIF(JournalsA!D$14:D$920,TrialBalanceA!M397,JournalsA!J$14:J$920)+SUMIF(JournalsA!E$14:E$920,TrialBalanceA!M397,JournalsA!J$14:J$920)</f>
        <v>0</v>
      </c>
      <c r="H397" s="288"/>
      <c r="I397" s="255">
        <f t="shared" si="116"/>
        <v>0</v>
      </c>
      <c r="J397" s="75"/>
      <c r="K397" s="48">
        <f t="shared" si="117"/>
        <v>0</v>
      </c>
      <c r="M397" s="140" t="str">
        <f t="shared" si="118"/>
        <v>9500/000VALUE ADDED TAX</v>
      </c>
      <c r="N397" s="70"/>
      <c r="P397" s="71"/>
      <c r="Q397" s="51"/>
      <c r="R397" s="31"/>
    </row>
    <row r="398" spans="1:18" x14ac:dyDescent="0.2">
      <c r="A398" s="238"/>
      <c r="B398" s="54" t="s">
        <v>345</v>
      </c>
      <c r="C398" s="240" t="s">
        <v>346</v>
      </c>
      <c r="D398" s="282"/>
      <c r="E398" s="282"/>
      <c r="F398" s="79">
        <f>K398</f>
        <v>0</v>
      </c>
      <c r="G398" s="47">
        <f>SUMIF(JournalsA!D$14:D$920,TrialBalanceA!M398,JournalsA!J$14:J$920)+SUMIF(JournalsA!E$14:E$920,TrialBalanceA!M398,JournalsA!J$14:J$920)</f>
        <v>0</v>
      </c>
      <c r="H398" s="288"/>
      <c r="I398" s="255">
        <f t="shared" si="116"/>
        <v>0</v>
      </c>
      <c r="J398" s="75"/>
      <c r="K398" s="48">
        <f t="shared" si="117"/>
        <v>0</v>
      </c>
      <c r="M398" s="140" t="str">
        <f t="shared" si="118"/>
        <v>9501/000VAT account</v>
      </c>
      <c r="N398" s="70"/>
      <c r="P398" s="71"/>
      <c r="Q398" s="51"/>
      <c r="R398" s="31"/>
    </row>
    <row r="399" spans="1:18" x14ac:dyDescent="0.2">
      <c r="A399" s="238"/>
      <c r="B399" s="54" t="s">
        <v>347</v>
      </c>
      <c r="C399" s="240" t="s">
        <v>29</v>
      </c>
      <c r="D399" s="284"/>
      <c r="E399" s="272"/>
      <c r="F399" s="79"/>
      <c r="G399" s="47">
        <f>SUMIF(JournalsA!D$14:D$920,TrialBalanceA!M399,JournalsA!J$14:J$920)+SUMIF(JournalsA!E$14:E$920,TrialBalanceA!M399,JournalsA!J$14:J$920)</f>
        <v>0</v>
      </c>
      <c r="H399" s="288"/>
      <c r="I399" s="255">
        <f t="shared" si="116"/>
        <v>0</v>
      </c>
      <c r="J399" s="75"/>
      <c r="K399" s="48">
        <f t="shared" si="117"/>
        <v>0</v>
      </c>
      <c r="M399" s="140" t="str">
        <f t="shared" si="118"/>
        <v>9510/000----------------------------------------</v>
      </c>
      <c r="N399" s="70"/>
      <c r="P399" s="71"/>
      <c r="Q399" s="51"/>
      <c r="R399" s="31"/>
    </row>
    <row r="400" spans="1:18" x14ac:dyDescent="0.2">
      <c r="A400" s="238"/>
      <c r="B400" s="54" t="s">
        <v>348</v>
      </c>
      <c r="C400" s="239" t="s">
        <v>806</v>
      </c>
      <c r="D400" s="283"/>
      <c r="E400" s="272"/>
      <c r="F400" s="79">
        <f>K400</f>
        <v>0</v>
      </c>
      <c r="G400" s="47">
        <f>SUMIF(JournalsA!D$14:D$920,TrialBalanceA!M400,JournalsA!J$14:J$920)+SUMIF(JournalsA!E$14:E$920,TrialBalanceA!M400,JournalsA!J$14:J$920)</f>
        <v>0</v>
      </c>
      <c r="H400" s="288"/>
      <c r="I400" s="255">
        <f t="shared" si="116"/>
        <v>0</v>
      </c>
      <c r="J400" s="75"/>
      <c r="K400" s="48">
        <f t="shared" si="117"/>
        <v>0</v>
      </c>
      <c r="M400" s="140" t="str">
        <f t="shared" si="118"/>
        <v>9990/000Suspense account</v>
      </c>
      <c r="N400" s="70"/>
      <c r="P400" s="71"/>
      <c r="Q400" s="51"/>
      <c r="R400" s="31"/>
    </row>
    <row r="401" spans="1:18" x14ac:dyDescent="0.2">
      <c r="A401" s="238"/>
      <c r="B401" s="54"/>
      <c r="C401" s="54"/>
      <c r="D401" s="282"/>
      <c r="E401" s="272"/>
      <c r="F401" s="79"/>
      <c r="G401" s="47"/>
      <c r="H401" s="288"/>
      <c r="I401" s="255"/>
      <c r="J401" s="75"/>
      <c r="K401" s="48"/>
      <c r="M401" s="140"/>
      <c r="N401" s="70"/>
      <c r="P401" s="71"/>
      <c r="Q401" s="51"/>
      <c r="R401" s="31"/>
    </row>
    <row r="402" spans="1:18" x14ac:dyDescent="0.2">
      <c r="A402" s="238"/>
      <c r="B402" s="54" t="s">
        <v>228</v>
      </c>
      <c r="C402" s="55" t="s">
        <v>228</v>
      </c>
      <c r="D402" s="263"/>
      <c r="E402" s="263"/>
      <c r="F402" s="82"/>
      <c r="G402" s="47"/>
      <c r="H402" s="288"/>
      <c r="I402" s="255"/>
      <c r="J402" s="75"/>
      <c r="K402" s="48"/>
      <c r="M402" s="140">
        <v>0</v>
      </c>
      <c r="N402" s="70"/>
      <c r="P402" s="73"/>
      <c r="Q402" s="73"/>
      <c r="R402" s="31"/>
    </row>
    <row r="403" spans="1:18" ht="13.5" thickBot="1" x14ac:dyDescent="0.25">
      <c r="A403" s="41">
        <f>SUM(A5:A402)</f>
        <v>0</v>
      </c>
      <c r="B403" s="54" t="s">
        <v>228</v>
      </c>
      <c r="C403" s="55" t="s">
        <v>228</v>
      </c>
      <c r="D403" s="41">
        <f>SUM(D5:D402)</f>
        <v>0</v>
      </c>
      <c r="E403" s="41">
        <f>SUM(E5:E402)</f>
        <v>0</v>
      </c>
      <c r="F403" s="41">
        <f>SUM(F5:F402)</f>
        <v>0</v>
      </c>
      <c r="G403" s="41">
        <f>SUM(G5:G402)</f>
        <v>0</v>
      </c>
      <c r="H403" s="41"/>
      <c r="I403" s="122">
        <f>SUM(I5:I402)</f>
        <v>0</v>
      </c>
      <c r="J403" s="41"/>
      <c r="K403" s="41">
        <f>SUM(K5:K402)</f>
        <v>0</v>
      </c>
      <c r="M403" s="140">
        <v>0</v>
      </c>
      <c r="N403" s="74"/>
      <c r="O403" s="74"/>
      <c r="P403" s="74"/>
      <c r="Q403" s="74"/>
      <c r="R403" s="74"/>
    </row>
    <row r="404" spans="1:18" ht="13.5" thickTop="1" x14ac:dyDescent="0.2">
      <c r="A404" s="38"/>
      <c r="B404" s="42"/>
      <c r="C404" s="45"/>
      <c r="D404" s="39"/>
      <c r="E404" s="39"/>
      <c r="F404" s="39"/>
      <c r="G404" s="39"/>
      <c r="H404" s="39"/>
      <c r="I404" s="153"/>
      <c r="J404" s="59"/>
      <c r="K404" s="38"/>
      <c r="P404" s="39"/>
      <c r="Q404" s="39"/>
    </row>
    <row r="405" spans="1:18" x14ac:dyDescent="0.2">
      <c r="A405" s="38"/>
      <c r="B405" s="42"/>
      <c r="C405" s="45"/>
      <c r="D405" s="39"/>
      <c r="E405" s="39"/>
      <c r="F405" s="39"/>
      <c r="G405" s="39"/>
      <c r="H405" s="39"/>
      <c r="K405" s="42"/>
      <c r="P405" s="39"/>
      <c r="Q405" s="39"/>
    </row>
    <row r="406" spans="1:18" x14ac:dyDescent="0.2">
      <c r="A406" s="38"/>
      <c r="B406" s="42"/>
      <c r="C406" s="45"/>
      <c r="D406" s="39"/>
      <c r="E406" s="39"/>
      <c r="F406" s="39"/>
      <c r="G406" s="39"/>
      <c r="H406" s="39"/>
      <c r="K406" s="42"/>
      <c r="P406" s="39"/>
      <c r="Q406" s="39"/>
    </row>
    <row r="407" spans="1:18" x14ac:dyDescent="0.2">
      <c r="A407" s="38"/>
      <c r="B407" s="42"/>
      <c r="C407" s="45"/>
      <c r="D407" s="39"/>
      <c r="E407" s="39"/>
      <c r="F407" s="39"/>
      <c r="G407" s="39"/>
      <c r="H407" s="39"/>
      <c r="K407" s="42"/>
      <c r="P407" s="39"/>
      <c r="Q407" s="39"/>
    </row>
    <row r="408" spans="1:18" x14ac:dyDescent="0.2">
      <c r="A408" s="38"/>
      <c r="B408" s="42"/>
      <c r="C408" s="45"/>
      <c r="D408" s="39"/>
      <c r="E408" s="39"/>
      <c r="F408" s="39"/>
      <c r="G408" s="39"/>
      <c r="H408" s="39"/>
      <c r="K408" s="42"/>
      <c r="P408" s="39"/>
      <c r="Q408" s="39"/>
    </row>
    <row r="409" spans="1:18" x14ac:dyDescent="0.2">
      <c r="A409" s="38"/>
      <c r="B409" s="42"/>
      <c r="C409" s="45"/>
      <c r="D409" s="39"/>
      <c r="E409" s="39"/>
      <c r="F409" s="39"/>
      <c r="G409" s="39"/>
      <c r="H409" s="39"/>
      <c r="K409" s="42"/>
      <c r="P409" s="39"/>
      <c r="Q409" s="39"/>
    </row>
    <row r="410" spans="1:18" x14ac:dyDescent="0.2">
      <c r="A410" s="38"/>
      <c r="B410" s="42"/>
      <c r="C410" s="45"/>
      <c r="D410" s="39"/>
      <c r="E410" s="39"/>
      <c r="F410" s="39"/>
      <c r="G410" s="39"/>
      <c r="H410" s="39"/>
      <c r="K410" s="42"/>
      <c r="P410" s="39"/>
      <c r="Q410" s="39"/>
    </row>
    <row r="411" spans="1:18" x14ac:dyDescent="0.2">
      <c r="A411" s="38"/>
      <c r="B411" s="42"/>
      <c r="C411" s="45"/>
      <c r="D411" s="39"/>
      <c r="E411" s="39"/>
      <c r="F411" s="39"/>
      <c r="G411" s="39"/>
      <c r="H411" s="39"/>
      <c r="K411" s="42"/>
      <c r="P411" s="39" t="s">
        <v>95</v>
      </c>
      <c r="Q411" s="39" t="s">
        <v>95</v>
      </c>
    </row>
    <row r="412" spans="1:18" x14ac:dyDescent="0.2">
      <c r="A412" s="38"/>
      <c r="B412" s="42"/>
      <c r="C412" s="45"/>
      <c r="D412" s="39"/>
      <c r="E412" s="39"/>
      <c r="F412" s="39"/>
      <c r="G412" s="39"/>
      <c r="H412" s="39"/>
      <c r="K412" s="42"/>
      <c r="P412" s="39" t="s">
        <v>95</v>
      </c>
      <c r="Q412" s="39" t="s">
        <v>95</v>
      </c>
    </row>
    <row r="413" spans="1:18" x14ac:dyDescent="0.2">
      <c r="A413" s="38"/>
      <c r="B413" s="42"/>
      <c r="C413" s="45"/>
      <c r="D413" s="39"/>
      <c r="E413" s="39"/>
      <c r="F413" s="39"/>
      <c r="G413" s="39"/>
      <c r="H413" s="39"/>
      <c r="K413" s="42"/>
      <c r="P413" s="39" t="s">
        <v>95</v>
      </c>
      <c r="Q413" s="39" t="s">
        <v>95</v>
      </c>
    </row>
    <row r="414" spans="1:18" x14ac:dyDescent="0.2">
      <c r="A414" s="38"/>
      <c r="B414" s="42"/>
      <c r="C414" s="45"/>
      <c r="D414" s="39"/>
      <c r="E414" s="39"/>
      <c r="F414" s="39"/>
      <c r="G414" s="39"/>
      <c r="H414" s="39"/>
      <c r="K414" s="42"/>
      <c r="P414" s="39" t="s">
        <v>95</v>
      </c>
      <c r="Q414" s="39" t="s">
        <v>95</v>
      </c>
    </row>
    <row r="415" spans="1:18" x14ac:dyDescent="0.2">
      <c r="A415" s="38"/>
      <c r="B415" s="42"/>
      <c r="C415" s="45"/>
      <c r="D415" s="39"/>
      <c r="E415" s="39"/>
      <c r="F415" s="39"/>
      <c r="G415" s="39"/>
      <c r="H415" s="39"/>
      <c r="K415" s="42"/>
      <c r="P415" s="39" t="s">
        <v>95</v>
      </c>
      <c r="Q415" s="39" t="s">
        <v>95</v>
      </c>
    </row>
    <row r="416" spans="1:18" x14ac:dyDescent="0.2">
      <c r="A416" s="38"/>
      <c r="B416" s="42"/>
      <c r="C416" s="45"/>
      <c r="D416" s="39"/>
      <c r="E416" s="39"/>
      <c r="F416" s="39"/>
      <c r="G416" s="39"/>
      <c r="H416" s="39"/>
      <c r="K416" s="42"/>
      <c r="P416" s="39"/>
      <c r="Q416" s="39"/>
    </row>
    <row r="417" spans="1:17" x14ac:dyDescent="0.2">
      <c r="A417" s="38"/>
      <c r="B417" s="42"/>
      <c r="C417" s="45"/>
      <c r="D417" s="39"/>
      <c r="E417" s="39"/>
      <c r="F417" s="39"/>
      <c r="G417" s="39"/>
      <c r="H417" s="39"/>
      <c r="K417" s="42"/>
      <c r="P417" s="39"/>
      <c r="Q417" s="39"/>
    </row>
    <row r="418" spans="1:17" x14ac:dyDescent="0.2">
      <c r="A418" s="38"/>
      <c r="B418" s="42"/>
      <c r="C418" s="45"/>
      <c r="D418" s="39"/>
      <c r="E418" s="39"/>
      <c r="F418" s="39"/>
      <c r="G418" s="39"/>
      <c r="H418" s="39"/>
      <c r="K418" s="42"/>
      <c r="P418" s="39"/>
      <c r="Q418" s="39"/>
    </row>
    <row r="419" spans="1:17" x14ac:dyDescent="0.2">
      <c r="A419" s="38"/>
      <c r="B419" s="42"/>
      <c r="C419" s="45"/>
      <c r="D419" s="39"/>
      <c r="E419" s="39"/>
      <c r="F419" s="39"/>
      <c r="G419" s="39"/>
      <c r="H419" s="39"/>
      <c r="K419" s="42"/>
      <c r="P419" s="39"/>
      <c r="Q419" s="39"/>
    </row>
    <row r="420" spans="1:17" x14ac:dyDescent="0.2">
      <c r="A420" s="38"/>
      <c r="B420" s="42"/>
      <c r="C420" s="45"/>
      <c r="D420" s="39"/>
      <c r="E420" s="39"/>
      <c r="F420" s="39"/>
      <c r="G420" s="39"/>
      <c r="H420" s="39"/>
      <c r="K420" s="42"/>
      <c r="P420" s="39"/>
      <c r="Q420" s="39"/>
    </row>
    <row r="421" spans="1:17" x14ac:dyDescent="0.2">
      <c r="A421" s="38"/>
      <c r="B421" s="42"/>
      <c r="C421" s="45"/>
      <c r="D421" s="39"/>
      <c r="E421" s="39"/>
      <c r="F421" s="39"/>
      <c r="G421" s="39"/>
      <c r="H421" s="39"/>
      <c r="K421" s="42"/>
      <c r="P421" s="39"/>
      <c r="Q421" s="39"/>
    </row>
    <row r="422" spans="1:17" x14ac:dyDescent="0.2">
      <c r="A422" s="38"/>
      <c r="B422" s="42"/>
      <c r="C422" s="45"/>
      <c r="D422" s="39"/>
      <c r="E422" s="39"/>
      <c r="F422" s="39"/>
      <c r="G422" s="39"/>
      <c r="H422" s="39"/>
      <c r="K422" s="42"/>
      <c r="P422" s="39"/>
      <c r="Q422" s="39"/>
    </row>
    <row r="423" spans="1:17" x14ac:dyDescent="0.2">
      <c r="A423" s="38"/>
      <c r="B423" s="42"/>
      <c r="C423" s="45"/>
      <c r="D423" s="39"/>
      <c r="E423" s="39"/>
      <c r="F423" s="39"/>
      <c r="G423" s="39"/>
      <c r="H423" s="39"/>
      <c r="K423" s="42"/>
      <c r="P423" s="39"/>
      <c r="Q423" s="39"/>
    </row>
    <row r="424" spans="1:17" x14ac:dyDescent="0.2">
      <c r="A424" s="38"/>
      <c r="B424" s="42"/>
      <c r="C424" s="45"/>
      <c r="D424" s="39"/>
      <c r="E424" s="39"/>
      <c r="F424" s="39"/>
      <c r="G424" s="39"/>
      <c r="H424" s="39"/>
      <c r="K424" s="42"/>
      <c r="P424" s="39"/>
      <c r="Q424" s="39"/>
    </row>
    <row r="425" spans="1:17" x14ac:dyDescent="0.2">
      <c r="A425" s="38"/>
      <c r="B425" s="42"/>
      <c r="C425" s="45"/>
      <c r="D425" s="39"/>
      <c r="E425" s="39"/>
      <c r="F425" s="39"/>
      <c r="G425" s="39"/>
      <c r="H425" s="39"/>
      <c r="K425" s="42"/>
      <c r="P425" s="39"/>
      <c r="Q425" s="39"/>
    </row>
    <row r="426" spans="1:17" x14ac:dyDescent="0.2">
      <c r="A426" s="38"/>
      <c r="B426" s="42"/>
      <c r="C426" s="45"/>
      <c r="D426" s="39"/>
      <c r="E426" s="39"/>
      <c r="F426" s="39"/>
      <c r="G426" s="39"/>
      <c r="H426" s="39"/>
      <c r="K426" s="42"/>
      <c r="P426" s="39"/>
      <c r="Q426" s="39"/>
    </row>
    <row r="427" spans="1:17" x14ac:dyDescent="0.2">
      <c r="A427" s="38"/>
      <c r="B427" s="42"/>
      <c r="C427" s="45"/>
      <c r="D427" s="39"/>
      <c r="E427" s="39"/>
      <c r="F427" s="39"/>
      <c r="G427" s="39"/>
      <c r="H427" s="39"/>
      <c r="K427" s="42"/>
      <c r="P427" s="39"/>
      <c r="Q427" s="39"/>
    </row>
    <row r="428" spans="1:17" x14ac:dyDescent="0.2">
      <c r="A428" s="38"/>
      <c r="B428" s="42"/>
      <c r="C428" s="45"/>
      <c r="D428" s="39"/>
      <c r="E428" s="39"/>
      <c r="F428" s="39"/>
      <c r="G428" s="39"/>
      <c r="H428" s="39"/>
      <c r="K428" s="42"/>
      <c r="P428" s="39"/>
      <c r="Q428" s="39"/>
    </row>
    <row r="429" spans="1:17" x14ac:dyDescent="0.2">
      <c r="A429" s="38"/>
      <c r="B429" s="42"/>
      <c r="C429" s="45"/>
      <c r="D429" s="39"/>
      <c r="E429" s="39"/>
      <c r="F429" s="39"/>
      <c r="G429" s="39"/>
      <c r="H429" s="39"/>
      <c r="K429" s="42"/>
      <c r="P429" s="39"/>
      <c r="Q429" s="39"/>
    </row>
    <row r="430" spans="1:17" x14ac:dyDescent="0.2">
      <c r="A430" s="38"/>
      <c r="B430" s="42"/>
      <c r="C430" s="45"/>
      <c r="G430" s="39"/>
      <c r="H430" s="39"/>
      <c r="K430" s="42"/>
      <c r="P430" s="39"/>
      <c r="Q430" s="39"/>
    </row>
    <row r="431" spans="1:17" x14ac:dyDescent="0.2">
      <c r="P431" s="13"/>
      <c r="Q431" s="13"/>
    </row>
  </sheetData>
  <sheetProtection algorithmName="SHA-512" hashValue="m4gvXJ4h0YyVFN8v8oo5+p2rNFOirReEiyVTLJ9p5t/8mXaYohAXPDHH7jatZCsf6guqZK1uTpno2EPXN8vsYw==" saltValue="wBWVhgRNqgX9NAY9CWVVPg==" spinCount="100000" sheet="1" objects="1" scenarios="1" formatColumns="0" selectLockedCells="1"/>
  <mergeCells count="1">
    <mergeCell ref="D2:E2"/>
  </mergeCells>
  <hyperlinks>
    <hyperlink ref="B17" location="bank2!A1" display="2000/010" xr:uid="{7EB4243E-DE9B-4826-A021-9D4CA612247E}"/>
    <hyperlink ref="B18" location="bank2!A1" display="2000/011" xr:uid="{79391743-9494-4631-850F-537D2BEF2173}"/>
    <hyperlink ref="C1" location="TrialBalance!A1" display="TrialBalance!A1" xr:uid="{379A1FED-5D69-48C4-8690-D0443BF52FA5}"/>
    <hyperlink ref="B5" location="bank2!A1" display="1000/001" xr:uid="{EB0625A9-7A1C-4168-B43A-54167DBF18A5}"/>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BA3306"/>
  <sheetViews>
    <sheetView view="pageBreakPreview" zoomScale="60" zoomScaleNormal="100" workbookViewId="0">
      <selection activeCell="D5" sqref="D5"/>
    </sheetView>
  </sheetViews>
  <sheetFormatPr defaultRowHeight="31.5" x14ac:dyDescent="0.45"/>
  <cols>
    <col min="1" max="1" width="4.28515625" style="400" customWidth="1"/>
    <col min="2" max="2" width="6.140625" style="400" customWidth="1"/>
    <col min="3" max="3" width="9.7109375" style="400" customWidth="1"/>
    <col min="4" max="4" width="10.28515625" style="400" customWidth="1"/>
    <col min="5" max="5" width="9.7109375" style="400" customWidth="1"/>
    <col min="6" max="6" width="5.140625" style="400" customWidth="1"/>
    <col min="7" max="7" width="17.5703125" style="400" customWidth="1"/>
    <col min="8" max="8" width="21.85546875" style="400" customWidth="1"/>
    <col min="9" max="9" width="4.7109375" style="400" customWidth="1"/>
    <col min="10" max="10" width="22" style="400" customWidth="1"/>
    <col min="11" max="11" width="21.85546875" style="400" customWidth="1"/>
    <col min="12" max="12" width="3.28515625" style="400" customWidth="1"/>
    <col min="13" max="13" width="26.5703125" style="401" customWidth="1"/>
    <col min="14" max="14" width="3.7109375" style="402" customWidth="1"/>
    <col min="15" max="15" width="26.5703125" style="401" customWidth="1"/>
    <col min="16" max="16" width="3.42578125" style="402" customWidth="1"/>
    <col min="17" max="17" width="6.42578125" style="400" customWidth="1"/>
    <col min="18" max="18" width="17.42578125" style="403" customWidth="1"/>
    <col min="19" max="19" width="20.85546875" style="378" bestFit="1" customWidth="1"/>
    <col min="20" max="20" width="4.85546875" style="378" customWidth="1"/>
    <col min="21" max="21" width="20.85546875" style="378" bestFit="1" customWidth="1"/>
    <col min="22" max="22" width="18.7109375" style="378" bestFit="1" customWidth="1"/>
    <col min="23" max="23" width="6.28515625" style="378" customWidth="1"/>
    <col min="24" max="24" width="19.85546875" style="378" customWidth="1"/>
    <col min="25" max="25" width="12" style="378" bestFit="1" customWidth="1"/>
    <col min="26" max="26" width="8.85546875" style="378" customWidth="1"/>
    <col min="27" max="27" width="21.85546875" style="378" bestFit="1" customWidth="1"/>
    <col min="28" max="29" width="8.85546875" style="404" customWidth="1"/>
    <col min="30" max="53" width="9.140625" style="404"/>
    <col min="54" max="16384" width="9.140625" style="405"/>
  </cols>
  <sheetData>
    <row r="1" spans="4:24" ht="31.5" customHeight="1" x14ac:dyDescent="0.45">
      <c r="V1" s="508" t="s">
        <v>692</v>
      </c>
      <c r="W1" s="508"/>
      <c r="X1" s="508"/>
    </row>
    <row r="2" spans="4:24" ht="31.5" customHeight="1" x14ac:dyDescent="0.45">
      <c r="V2" s="322" t="str">
        <f>IF(COUNTIF(V3:V3306,"FALSE")&gt;0,"NO","YES")</f>
        <v>YES</v>
      </c>
      <c r="W2" s="196"/>
      <c r="X2" s="322" t="str">
        <f>IF(COUNTIF(X3:X3306,"FALSE")&gt;0,"NO","YES")</f>
        <v>YES</v>
      </c>
    </row>
    <row r="3" spans="4:24" ht="31.5" customHeight="1" x14ac:dyDescent="0.45"/>
    <row r="4" spans="4:24" ht="31.5" customHeight="1" x14ac:dyDescent="0.45">
      <c r="H4" s="406"/>
      <c r="J4" s="406"/>
      <c r="K4" s="406"/>
    </row>
    <row r="5" spans="4:24" ht="31.5" customHeight="1" x14ac:dyDescent="0.45"/>
    <row r="6" spans="4:24" ht="31.5" customHeight="1" x14ac:dyDescent="0.45"/>
    <row r="7" spans="4:24" ht="31.5" customHeight="1" x14ac:dyDescent="0.45"/>
    <row r="8" spans="4:24" ht="31.5" customHeight="1" x14ac:dyDescent="0.45"/>
    <row r="9" spans="4:24" ht="31.5" customHeight="1" x14ac:dyDescent="0.45"/>
    <row r="10" spans="4:24" ht="31.5" customHeight="1" x14ac:dyDescent="0.45"/>
    <row r="11" spans="4:24" ht="31.5" customHeight="1" x14ac:dyDescent="0.45"/>
    <row r="12" spans="4:24" ht="31.5" customHeight="1" x14ac:dyDescent="0.45"/>
    <row r="13" spans="4:24" ht="31.5" customHeight="1" x14ac:dyDescent="0.45"/>
    <row r="14" spans="4:24" ht="31.5" customHeight="1" thickBot="1" x14ac:dyDescent="0.5"/>
    <row r="15" spans="4:24" ht="31.5" customHeight="1" x14ac:dyDescent="0.45">
      <c r="D15" s="407"/>
      <c r="E15" s="408"/>
      <c r="F15" s="408"/>
      <c r="G15" s="408"/>
      <c r="H15" s="408"/>
      <c r="I15" s="408"/>
      <c r="J15" s="408"/>
      <c r="K15" s="408"/>
      <c r="L15" s="408"/>
      <c r="M15" s="409"/>
      <c r="N15" s="410"/>
    </row>
    <row r="16" spans="4:24" ht="31.5" customHeight="1" x14ac:dyDescent="0.45">
      <c r="D16" s="510" t="str">
        <f>Criteria!E9</f>
        <v>HOLDING COMPANY 268 (PROPRIETARY) LIMITED</v>
      </c>
      <c r="E16" s="511"/>
      <c r="F16" s="511"/>
      <c r="G16" s="511"/>
      <c r="H16" s="511"/>
      <c r="I16" s="511"/>
      <c r="J16" s="511"/>
      <c r="K16" s="511"/>
      <c r="L16" s="511"/>
      <c r="M16" s="511"/>
      <c r="N16" s="512"/>
    </row>
    <row r="17" spans="4:14" ht="31.5" customHeight="1" x14ac:dyDescent="0.45">
      <c r="D17" s="411"/>
      <c r="F17" s="397"/>
      <c r="G17" s="397"/>
      <c r="H17" s="397"/>
      <c r="I17" s="397"/>
      <c r="J17" s="397"/>
      <c r="K17" s="397"/>
      <c r="L17" s="397"/>
      <c r="M17" s="398"/>
      <c r="N17" s="412"/>
    </row>
    <row r="18" spans="4:14" ht="31.5" customHeight="1" x14ac:dyDescent="0.45">
      <c r="D18" s="510" t="s">
        <v>865</v>
      </c>
      <c r="E18" s="511"/>
      <c r="F18" s="511"/>
      <c r="G18" s="511"/>
      <c r="H18" s="511"/>
      <c r="I18" s="511"/>
      <c r="J18" s="511"/>
      <c r="K18" s="511"/>
      <c r="L18" s="511"/>
      <c r="M18" s="511"/>
      <c r="N18" s="512"/>
    </row>
    <row r="19" spans="4:14" ht="31.5" customHeight="1" x14ac:dyDescent="0.45">
      <c r="D19" s="411"/>
      <c r="F19" s="397"/>
      <c r="G19" s="397"/>
      <c r="H19" s="397"/>
      <c r="I19" s="397"/>
      <c r="J19" s="397"/>
      <c r="K19" s="397"/>
      <c r="L19" s="397"/>
      <c r="M19" s="398"/>
      <c r="N19" s="396"/>
    </row>
    <row r="20" spans="4:14" ht="31.5" customHeight="1" x14ac:dyDescent="0.45">
      <c r="D20" s="510" t="str">
        <f>Criteria!E20</f>
        <v>29 FEBRUARY 2024</v>
      </c>
      <c r="E20" s="511"/>
      <c r="F20" s="511"/>
      <c r="G20" s="511"/>
      <c r="H20" s="511"/>
      <c r="I20" s="511"/>
      <c r="J20" s="511"/>
      <c r="K20" s="511"/>
      <c r="L20" s="511"/>
      <c r="M20" s="511"/>
      <c r="N20" s="512"/>
    </row>
    <row r="21" spans="4:14" ht="31.5" customHeight="1" thickBot="1" x14ac:dyDescent="0.5">
      <c r="D21" s="413"/>
      <c r="E21" s="414"/>
      <c r="F21" s="414"/>
      <c r="G21" s="414"/>
      <c r="H21" s="414"/>
      <c r="I21" s="414"/>
      <c r="J21" s="414"/>
      <c r="K21" s="414"/>
      <c r="L21" s="414"/>
      <c r="M21" s="415"/>
      <c r="N21" s="416"/>
    </row>
    <row r="22" spans="4:14" ht="31.5" customHeight="1" x14ac:dyDescent="0.45"/>
    <row r="23" spans="4:14" ht="31.5" customHeight="1" x14ac:dyDescent="0.45"/>
    <row r="24" spans="4:14" ht="31.5" customHeight="1" x14ac:dyDescent="0.45"/>
    <row r="25" spans="4:14" ht="31.5" customHeight="1" x14ac:dyDescent="0.45"/>
    <row r="26" spans="4:14" ht="31.5" customHeight="1" x14ac:dyDescent="0.45"/>
    <row r="27" spans="4:14" ht="31.5" customHeight="1" x14ac:dyDescent="0.45"/>
    <row r="28" spans="4:14" ht="31.5" customHeight="1" x14ac:dyDescent="0.45"/>
    <row r="29" spans="4:14" ht="31.5" customHeight="1" x14ac:dyDescent="0.45"/>
    <row r="30" spans="4:14" ht="31.5" customHeight="1" x14ac:dyDescent="0.45"/>
    <row r="31" spans="4:14" ht="31.5" customHeight="1" x14ac:dyDescent="0.45"/>
    <row r="32" spans="4:14"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1.5" customHeight="1" x14ac:dyDescent="0.45"/>
    <row r="57" spans="4:18" ht="31.5" customHeight="1" x14ac:dyDescent="0.45"/>
    <row r="58" spans="4:18" ht="31.5" customHeight="1" x14ac:dyDescent="0.45">
      <c r="D58" s="417" t="str">
        <f>Criteria!E9</f>
        <v>HOLDING COMPANY 268 (PROPRIETARY) LIMITED</v>
      </c>
    </row>
    <row r="59" spans="4:18" ht="31.5" customHeight="1" x14ac:dyDescent="0.45">
      <c r="D59" s="417" t="str">
        <f>Criteria!E10</f>
        <v>CONSOLIDATED FINANCIAL STATEMENTS</v>
      </c>
      <c r="R59" s="403" t="str">
        <f>IF(D59=0,"DELETE"," ")</f>
        <v xml:space="preserve"> </v>
      </c>
    </row>
    <row r="60" spans="4:18" ht="31.5" customHeight="1" x14ac:dyDescent="0.45">
      <c r="D60" s="417" t="str">
        <f>Criteria!E18</f>
        <v>2000/123456/07</v>
      </c>
    </row>
    <row r="61" spans="4:18" ht="31.5" customHeight="1" x14ac:dyDescent="0.45">
      <c r="D61" s="417"/>
    </row>
    <row r="62" spans="4:18" ht="31.5" customHeight="1" x14ac:dyDescent="0.45">
      <c r="D62" s="417" t="s">
        <v>879</v>
      </c>
    </row>
    <row r="63" spans="4:18" ht="31.5" customHeight="1" x14ac:dyDescent="0.45">
      <c r="D63" s="417" t="str">
        <f>Criteria!E20</f>
        <v>29 FEBRUARY 2024</v>
      </c>
    </row>
    <row r="64" spans="4:18" ht="31.5" customHeight="1" x14ac:dyDescent="0.45"/>
    <row r="65" spans="4:15" ht="31.5" customHeight="1" x14ac:dyDescent="0.45"/>
    <row r="66" spans="4:15" ht="31.5" customHeight="1" x14ac:dyDescent="0.5">
      <c r="D66" s="418" t="s">
        <v>887</v>
      </c>
    </row>
    <row r="67" spans="4:15" ht="31.5" customHeight="1" x14ac:dyDescent="0.5">
      <c r="D67" s="418" t="str">
        <f>IF(MAX(Criteria!H50:H54)=1,"Statements presented to the Shareholder:","Statements presented to the Shareholders:")</f>
        <v>Statements presented to the Shareholders:</v>
      </c>
    </row>
    <row r="68" spans="4:15" ht="31.5" customHeight="1" x14ac:dyDescent="0.45"/>
    <row r="69" spans="4:15" ht="31.5" customHeight="1" x14ac:dyDescent="0.45">
      <c r="D69" s="417" t="s">
        <v>163</v>
      </c>
      <c r="N69" s="293"/>
      <c r="O69" s="343" t="s">
        <v>164</v>
      </c>
    </row>
    <row r="70" spans="4:15" ht="31.5" customHeight="1" x14ac:dyDescent="0.45"/>
    <row r="71" spans="4:15" ht="31.5" customHeight="1" x14ac:dyDescent="0.45">
      <c r="D71" s="400" t="s">
        <v>165</v>
      </c>
      <c r="N71" s="294"/>
      <c r="O71" s="344">
        <f>Q114</f>
        <v>1</v>
      </c>
    </row>
    <row r="72" spans="4:15" ht="31.5" customHeight="1" x14ac:dyDescent="0.45">
      <c r="N72" s="294"/>
      <c r="O72" s="344"/>
    </row>
    <row r="73" spans="4:15" ht="31.5" customHeight="1" x14ac:dyDescent="0.45">
      <c r="D73" s="400" t="s">
        <v>885</v>
      </c>
      <c r="N73" s="294"/>
      <c r="O73" s="344">
        <f>MAX($Q$114:Q225)</f>
        <v>2</v>
      </c>
    </row>
    <row r="74" spans="4:15" ht="31.5" customHeight="1" x14ac:dyDescent="0.45">
      <c r="N74" s="294"/>
      <c r="O74" s="344"/>
    </row>
    <row r="75" spans="4:15" ht="31.5" customHeight="1" x14ac:dyDescent="0.45">
      <c r="D75" s="400" t="str">
        <f>IF(MAX(Criteria!I38:I42)&gt;1,"DIRECTORS' REPORT","DIRECTOR'S REPORT")</f>
        <v>DIRECTOR'S REPORT</v>
      </c>
      <c r="N75" s="294"/>
      <c r="O75" s="344" t="str">
        <f>CONCATENATE(Q226," - ",MAX(Q226:Q346))</f>
        <v>3 - 4</v>
      </c>
    </row>
    <row r="76" spans="4:15" ht="31.5" customHeight="1" x14ac:dyDescent="0.45">
      <c r="N76" s="294"/>
      <c r="O76" s="344"/>
    </row>
    <row r="77" spans="4:15" ht="31.5" customHeight="1" x14ac:dyDescent="0.45">
      <c r="D77" s="400" t="s">
        <v>682</v>
      </c>
      <c r="N77" s="294"/>
      <c r="O77" s="344">
        <f>Q347</f>
        <v>5</v>
      </c>
    </row>
    <row r="78" spans="4:15" ht="31.5" customHeight="1" x14ac:dyDescent="0.45">
      <c r="N78" s="294"/>
      <c r="O78" s="344"/>
    </row>
    <row r="79" spans="4:15" ht="31.5" customHeight="1" x14ac:dyDescent="0.45">
      <c r="D79" s="400" t="s">
        <v>681</v>
      </c>
      <c r="N79" s="294"/>
      <c r="O79" s="344">
        <f>Q410</f>
        <v>6</v>
      </c>
    </row>
    <row r="80" spans="4:15" ht="31.5" customHeight="1" x14ac:dyDescent="0.45">
      <c r="N80" s="294"/>
      <c r="O80" s="344"/>
    </row>
    <row r="81" spans="4:18" ht="31.5" customHeight="1" x14ac:dyDescent="0.45">
      <c r="D81" s="400" t="s">
        <v>491</v>
      </c>
      <c r="N81" s="294"/>
      <c r="O81" s="344">
        <f>Q493</f>
        <v>7</v>
      </c>
    </row>
    <row r="82" spans="4:18" ht="31.5" customHeight="1" x14ac:dyDescent="0.45">
      <c r="N82" s="294"/>
      <c r="O82" s="344"/>
    </row>
    <row r="83" spans="4:18" ht="31.5" customHeight="1" x14ac:dyDescent="0.45">
      <c r="D83" s="400" t="s">
        <v>94</v>
      </c>
      <c r="N83" s="294"/>
      <c r="O83" s="344" t="str">
        <f>CONCATENATE(Q552," - ",MAX(Q552:Q2148))</f>
        <v>8 - 54</v>
      </c>
    </row>
    <row r="84" spans="4:18" ht="31.5" customHeight="1" x14ac:dyDescent="0.45">
      <c r="N84" s="294"/>
      <c r="O84" s="344"/>
    </row>
    <row r="85" spans="4:18" ht="31.5" customHeight="1" x14ac:dyDescent="0.45">
      <c r="D85" s="400" t="s">
        <v>515</v>
      </c>
      <c r="N85" s="294"/>
      <c r="O85" s="344" t="str">
        <f>IF(Q2149&lt;MAX(Q2149:Q2322),CONCATENATE(Q2149," - ",MAX(Q2149:Q2322)),Q2149)</f>
        <v>55 - 56</v>
      </c>
    </row>
    <row r="86" spans="4:18" ht="31.5" customHeight="1" x14ac:dyDescent="0.45">
      <c r="M86" s="344"/>
      <c r="N86" s="294"/>
    </row>
    <row r="87" spans="4:18" ht="31.5" customHeight="1" x14ac:dyDescent="0.45"/>
    <row r="88" spans="4:18" ht="31.5" customHeight="1" x14ac:dyDescent="0.45">
      <c r="D88" s="400" t="s">
        <v>516</v>
      </c>
      <c r="R88" s="403" t="str">
        <f>IF(Criteria!E14=0,"DELETE"," ")</f>
        <v xml:space="preserve"> </v>
      </c>
    </row>
    <row r="89" spans="4:18" ht="31.5" customHeight="1" x14ac:dyDescent="0.45">
      <c r="E89" s="400" t="s">
        <v>25</v>
      </c>
      <c r="F89" s="419" t="str">
        <f>CONCATENATE("DETAILED INCOME STATEMENT"," - ",Criteria!E14)</f>
        <v>DETAILED INCOME STATEMENT - SUBSIDIARY ONE 111 (PTY) LTD</v>
      </c>
      <c r="R89" s="403" t="str">
        <f>IF(Criteria!E14=0,"DELETE"," ")</f>
        <v xml:space="preserve"> </v>
      </c>
    </row>
    <row r="90" spans="4:18" ht="31.5" customHeight="1" x14ac:dyDescent="0.45">
      <c r="E90" s="400" t="s">
        <v>645</v>
      </c>
      <c r="F90" s="419" t="str">
        <f>CONCATENATE("DETAILED INCOME STATEMENT"," - ",Criteria!E15)</f>
        <v>DETAILED INCOME STATEMENT - SUBSIDIARY TWO 15 (PTY) LTD</v>
      </c>
      <c r="R90" s="403" t="str">
        <f>IF(Criteria!E15=0,"DELETE"," ")</f>
        <v xml:space="preserve"> </v>
      </c>
    </row>
    <row r="91" spans="4:18" ht="31.5" customHeight="1" x14ac:dyDescent="0.45">
      <c r="E91" s="400" t="s">
        <v>650</v>
      </c>
      <c r="F91" s="419" t="str">
        <f>CONCATENATE("DETAILED INCOME STATEMENT"," - ",Criteria!E16)</f>
        <v xml:space="preserve">DETAILED INCOME STATEMENT - </v>
      </c>
      <c r="R91" s="403" t="str">
        <f>IF(Criteria!E16=0,"DELETE"," ")</f>
        <v>DELETE</v>
      </c>
    </row>
    <row r="92" spans="4:18" ht="31.5" customHeight="1" x14ac:dyDescent="0.45"/>
    <row r="93" spans="4:18" ht="31.5" customHeight="1" x14ac:dyDescent="0.45">
      <c r="D93" s="417"/>
    </row>
    <row r="94" spans="4:18" ht="31.5" customHeight="1" x14ac:dyDescent="0.45">
      <c r="D94" s="405"/>
    </row>
    <row r="95" spans="4:18" ht="31.5" customHeight="1" x14ac:dyDescent="0.45">
      <c r="D95" s="405"/>
    </row>
    <row r="96" spans="4:18" ht="31.5" customHeight="1" x14ac:dyDescent="0.45">
      <c r="D96" s="405"/>
    </row>
    <row r="97" spans="4:13" ht="31.5" customHeight="1" x14ac:dyDescent="0.45">
      <c r="D97" s="405"/>
    </row>
    <row r="98" spans="4:13" ht="31.5" customHeight="1" x14ac:dyDescent="0.45">
      <c r="D98" s="417" t="s">
        <v>868</v>
      </c>
    </row>
    <row r="99" spans="4:13" ht="31.5" customHeight="1" x14ac:dyDescent="0.45"/>
    <row r="100" spans="4:13" ht="31.5" customHeight="1" x14ac:dyDescent="0.45">
      <c r="D100" s="400" t="str">
        <f>CONCATENATE("The annual Consolidated Financial Statements of ",Criteria!E11)</f>
        <v>The annual Consolidated Financial Statements of Holding Company 268 (Pty) Ltd Group</v>
      </c>
    </row>
    <row r="101" spans="4:13" ht="31.5" customHeight="1" x14ac:dyDescent="0.45">
      <c r="D101" s="400" t="str">
        <f>CONCATENATE(IF(MAX(Criteria!I38:I42)&gt;1,"were approved by the Board of directors and signed on their behalf by:","was approved by the director and signed accordingly:"))</f>
        <v>was approved by the director and signed accordingly:</v>
      </c>
    </row>
    <row r="102" spans="4:13" ht="31.5" customHeight="1" x14ac:dyDescent="0.45"/>
    <row r="103" spans="4:13" ht="31.5" customHeight="1" x14ac:dyDescent="0.45"/>
    <row r="104" spans="4:13" ht="31.5" customHeight="1" x14ac:dyDescent="0.45"/>
    <row r="105" spans="4:13" ht="31.5" customHeight="1" x14ac:dyDescent="0.45"/>
    <row r="106" spans="4:13" ht="31.5" customHeight="1" x14ac:dyDescent="0.45"/>
    <row r="107" spans="4:13" ht="31.5" customHeight="1" x14ac:dyDescent="0.45">
      <c r="D107" s="400" t="s">
        <v>866</v>
      </c>
      <c r="M107" s="401" t="str">
        <f>IF(Criteria!F39="Signature",D107," ")</f>
        <v xml:space="preserve"> </v>
      </c>
    </row>
    <row r="108" spans="4:13" ht="31.5" customHeight="1" x14ac:dyDescent="0.45">
      <c r="D108" s="400" t="str">
        <f>Criteria!E38</f>
        <v>A Director</v>
      </c>
      <c r="M108" s="401" t="str">
        <f>IF(Criteria!F39="Signature",Criteria!E39," ")</f>
        <v xml:space="preserve"> </v>
      </c>
    </row>
    <row r="109" spans="4:13" ht="31.5" customHeight="1" x14ac:dyDescent="0.45"/>
    <row r="110" spans="4:13" ht="31.5" customHeight="1" x14ac:dyDescent="0.45"/>
    <row r="111" spans="4:13" ht="31.5" customHeight="1" x14ac:dyDescent="0.45">
      <c r="D111" s="400" t="str">
        <f>Criteria!F29</f>
        <v>Johannesburg</v>
      </c>
      <c r="H111" s="400" t="s">
        <v>101</v>
      </c>
      <c r="J111" s="509"/>
      <c r="K111" s="509"/>
    </row>
    <row r="112" spans="4:13" ht="14.25" customHeight="1" x14ac:dyDescent="0.45">
      <c r="J112" s="400" t="s">
        <v>867</v>
      </c>
    </row>
    <row r="113" spans="4:18" ht="31.5" customHeight="1" x14ac:dyDescent="0.45"/>
    <row r="114" spans="4:18" ht="31.5" customHeight="1" x14ac:dyDescent="0.45">
      <c r="D114" s="417" t="str">
        <f>Criteria!E9</f>
        <v>HOLDING COMPANY 268 (PROPRIETARY) LIMITED</v>
      </c>
      <c r="O114" s="346" t="s">
        <v>96</v>
      </c>
      <c r="P114" s="295"/>
      <c r="Q114" s="292">
        <v>1</v>
      </c>
    </row>
    <row r="115" spans="4:18" ht="31.5" customHeight="1" x14ac:dyDescent="0.45">
      <c r="D115" s="417" t="str">
        <f>Criteria!E10</f>
        <v>CONSOLIDATED FINANCIAL STATEMENTS</v>
      </c>
      <c r="R115" s="403" t="str">
        <f>IF(D115=0,"DELETE"," ")</f>
        <v xml:space="preserve"> </v>
      </c>
    </row>
    <row r="116" spans="4:18" ht="31.5" customHeight="1" x14ac:dyDescent="0.45"/>
    <row r="117" spans="4:18" ht="31.5" customHeight="1" x14ac:dyDescent="0.45"/>
    <row r="118" spans="4:18" ht="31.5" customHeight="1" x14ac:dyDescent="0.45">
      <c r="D118" s="417" t="s">
        <v>165</v>
      </c>
    </row>
    <row r="119" spans="4:18" ht="31.5" customHeight="1" x14ac:dyDescent="0.45"/>
    <row r="120" spans="4:18" ht="31.5" customHeight="1" x14ac:dyDescent="0.45"/>
    <row r="121" spans="4:18" ht="31.5" customHeight="1" x14ac:dyDescent="0.45">
      <c r="D121" s="400" t="s">
        <v>889</v>
      </c>
    </row>
    <row r="122" spans="4:18" ht="31.5" customHeight="1" x14ac:dyDescent="0.45">
      <c r="D122" s="400" t="s">
        <v>888</v>
      </c>
      <c r="J122" s="400" t="s">
        <v>651</v>
      </c>
    </row>
    <row r="123" spans="4:18" ht="31.5" customHeight="1" x14ac:dyDescent="0.45"/>
    <row r="124" spans="4:18" ht="31.5" customHeight="1" x14ac:dyDescent="0.45">
      <c r="D124" s="400" t="s">
        <v>718</v>
      </c>
      <c r="J124" s="400" t="s">
        <v>719</v>
      </c>
    </row>
    <row r="125" spans="4:18" ht="31.5" customHeight="1" x14ac:dyDescent="0.45"/>
    <row r="126" spans="4:18" ht="31.5" customHeight="1" x14ac:dyDescent="0.45">
      <c r="D126" s="400" t="s">
        <v>97</v>
      </c>
      <c r="J126" s="400" t="str">
        <f>Criteria!E33</f>
        <v>Investment in financial instruments</v>
      </c>
    </row>
    <row r="127" spans="4:18" ht="31.5" customHeight="1" x14ac:dyDescent="0.45">
      <c r="J127" s="400" t="str">
        <f>Criteria!E34</f>
        <v>Investment in immovable properties</v>
      </c>
      <c r="R127" s="403" t="str">
        <f>IF(J127=0,"DELETE"," ")</f>
        <v xml:space="preserve"> </v>
      </c>
    </row>
    <row r="128" spans="4:18" ht="31.5" customHeight="1" x14ac:dyDescent="0.45">
      <c r="J128" s="400">
        <f>Criteria!E35</f>
        <v>0</v>
      </c>
      <c r="R128" s="403" t="str">
        <f>IF(J128=0,"DELETE"," ")</f>
        <v>DELETE</v>
      </c>
    </row>
    <row r="129" spans="4:18" ht="31.5" customHeight="1" x14ac:dyDescent="0.45">
      <c r="J129" s="400">
        <f>Criteria!E36</f>
        <v>0</v>
      </c>
      <c r="R129" s="403" t="str">
        <f>IF(J129=0,"DELETE"," ")</f>
        <v>DELETE</v>
      </c>
    </row>
    <row r="130" spans="4:18" ht="31.5" customHeight="1" x14ac:dyDescent="0.45"/>
    <row r="131" spans="4:18" ht="31.5" customHeight="1" x14ac:dyDescent="0.45">
      <c r="D131" s="400" t="str">
        <f>IF(MAX(Criteria!I38:I42)&gt;1,"Directors","Director")</f>
        <v>Director</v>
      </c>
      <c r="J131" s="400" t="str">
        <f>Criteria!E38</f>
        <v>A Director</v>
      </c>
    </row>
    <row r="132" spans="4:18" ht="31.5" customHeight="1" x14ac:dyDescent="0.45">
      <c r="J132" s="400">
        <f>Criteria!E39</f>
        <v>0</v>
      </c>
      <c r="R132" s="403" t="str">
        <f>IF(J132=0,"DELETE"," ")</f>
        <v>DELETE</v>
      </c>
    </row>
    <row r="133" spans="4:18" ht="31.5" customHeight="1" x14ac:dyDescent="0.45">
      <c r="J133" s="400">
        <f>Criteria!E40</f>
        <v>0</v>
      </c>
      <c r="R133" s="403" t="str">
        <f>IF(J133=0,"DELETE"," ")</f>
        <v>DELETE</v>
      </c>
    </row>
    <row r="134" spans="4:18" ht="31.5" customHeight="1" x14ac:dyDescent="0.45">
      <c r="J134" s="400">
        <f>Criteria!E41</f>
        <v>0</v>
      </c>
      <c r="R134" s="403" t="str">
        <f>IF(J134=0,"DELETE"," ")</f>
        <v>DELETE</v>
      </c>
    </row>
    <row r="135" spans="4:18" ht="31.5" customHeight="1" x14ac:dyDescent="0.45">
      <c r="J135" s="400">
        <f>Criteria!E42</f>
        <v>0</v>
      </c>
      <c r="R135" s="403" t="str">
        <f>IF(J135=0,"DELETE"," ")</f>
        <v>DELETE</v>
      </c>
    </row>
    <row r="136" spans="4:18" ht="31.5" customHeight="1" x14ac:dyDescent="0.45"/>
    <row r="137" spans="4:18" ht="31.5" customHeight="1" x14ac:dyDescent="0.45">
      <c r="D137" s="400" t="s">
        <v>98</v>
      </c>
      <c r="J137" s="400">
        <f>Criteria!E56</f>
        <v>0</v>
      </c>
    </row>
    <row r="138" spans="4:18" ht="31.5" customHeight="1" x14ac:dyDescent="0.45">
      <c r="J138" s="400">
        <f>Criteria!E57</f>
        <v>0</v>
      </c>
    </row>
    <row r="139" spans="4:18" ht="31.5" customHeight="1" x14ac:dyDescent="0.45">
      <c r="J139" s="296">
        <f>Criteria!E58</f>
        <v>0</v>
      </c>
      <c r="R139" s="403" t="str">
        <f>IF(J139=0,"DELETE"," ")</f>
        <v>DELETE</v>
      </c>
    </row>
    <row r="140" spans="4:18" ht="31.5" customHeight="1" x14ac:dyDescent="0.45">
      <c r="J140" s="296">
        <f>Criteria!E59</f>
        <v>0</v>
      </c>
      <c r="R140" s="403" t="str">
        <f>IF(J140=0,"DELETE"," ")</f>
        <v>DELETE</v>
      </c>
    </row>
    <row r="141" spans="4:18" ht="31.5" customHeight="1" x14ac:dyDescent="0.45">
      <c r="J141" s="296"/>
      <c r="R141" s="403" t="str">
        <f>R142</f>
        <v>DELETE</v>
      </c>
    </row>
    <row r="142" spans="4:18" ht="31.5" customHeight="1" x14ac:dyDescent="0.45">
      <c r="D142" s="400" t="s">
        <v>816</v>
      </c>
      <c r="J142" s="296">
        <f>Criteria!E61</f>
        <v>0</v>
      </c>
      <c r="R142" s="403" t="str">
        <f t="shared" ref="R142:R145" si="0">IF(J142=0,"DELETE"," ")</f>
        <v>DELETE</v>
      </c>
    </row>
    <row r="143" spans="4:18" ht="31.5" customHeight="1" x14ac:dyDescent="0.45">
      <c r="J143" s="296">
        <f>Criteria!E62</f>
        <v>0</v>
      </c>
      <c r="R143" s="403" t="str">
        <f t="shared" si="0"/>
        <v>DELETE</v>
      </c>
    </row>
    <row r="144" spans="4:18" ht="31.5" customHeight="1" x14ac:dyDescent="0.45">
      <c r="J144" s="296">
        <f>Criteria!E63</f>
        <v>0</v>
      </c>
      <c r="R144" s="403" t="str">
        <f t="shared" si="0"/>
        <v>DELETE</v>
      </c>
    </row>
    <row r="145" spans="4:18" ht="31.5" customHeight="1" x14ac:dyDescent="0.45">
      <c r="J145" s="296">
        <f>Criteria!E64</f>
        <v>0</v>
      </c>
      <c r="R145" s="403" t="str">
        <f t="shared" si="0"/>
        <v>DELETE</v>
      </c>
    </row>
    <row r="146" spans="4:18" ht="31.5" customHeight="1" x14ac:dyDescent="0.45">
      <c r="J146" s="296"/>
    </row>
    <row r="147" spans="4:18" ht="31.5" customHeight="1" x14ac:dyDescent="0.45">
      <c r="D147" s="400" t="s">
        <v>99</v>
      </c>
      <c r="J147" s="400">
        <f>Criteria!E66</f>
        <v>0</v>
      </c>
      <c r="R147" s="403" t="str">
        <f>IF(J147=0,"DELETE"," ")</f>
        <v>DELETE</v>
      </c>
    </row>
    <row r="148" spans="4:18" ht="31.5" customHeight="1" x14ac:dyDescent="0.45">
      <c r="J148" s="400">
        <f>Criteria!E67</f>
        <v>0</v>
      </c>
      <c r="R148" s="403" t="str">
        <f>IF(J148=0,"DELETE"," ")</f>
        <v>DELETE</v>
      </c>
    </row>
    <row r="149" spans="4:18" ht="31.5" customHeight="1" x14ac:dyDescent="0.45">
      <c r="J149" s="296">
        <f>Criteria!E68</f>
        <v>0</v>
      </c>
      <c r="R149" s="403" t="str">
        <f>IF(J149=0,"DELETE"," ")</f>
        <v>DELETE</v>
      </c>
    </row>
    <row r="150" spans="4:18" ht="31.5" customHeight="1" x14ac:dyDescent="0.45">
      <c r="J150" s="296">
        <f>Criteria!E69</f>
        <v>0</v>
      </c>
      <c r="R150" s="403" t="str">
        <f>IF(J150=0,"DELETE"," ")</f>
        <v>DELETE</v>
      </c>
    </row>
    <row r="151" spans="4:18" ht="31.5" customHeight="1" x14ac:dyDescent="0.45">
      <c r="J151" s="296"/>
    </row>
    <row r="152" spans="4:18" ht="31.5" customHeight="1" x14ac:dyDescent="0.45">
      <c r="D152" s="400" t="s">
        <v>715</v>
      </c>
      <c r="J152" s="400">
        <f>Criteria!E71</f>
        <v>0</v>
      </c>
      <c r="R152" s="403" t="str">
        <f t="shared" ref="R152:R154" si="1">IF(J152=0,"DELETE"," ")</f>
        <v>DELETE</v>
      </c>
    </row>
    <row r="153" spans="4:18" ht="31.5" customHeight="1" x14ac:dyDescent="0.45">
      <c r="J153" s="400">
        <f>Criteria!E72</f>
        <v>0</v>
      </c>
      <c r="R153" s="403" t="str">
        <f t="shared" si="1"/>
        <v>DELETE</v>
      </c>
    </row>
    <row r="154" spans="4:18" ht="31.5" customHeight="1" x14ac:dyDescent="0.45">
      <c r="J154" s="400">
        <f>Criteria!E73</f>
        <v>0</v>
      </c>
      <c r="R154" s="403" t="str">
        <f t="shared" si="1"/>
        <v>DELETE</v>
      </c>
    </row>
    <row r="155" spans="4:18" ht="31.5" customHeight="1" x14ac:dyDescent="0.45"/>
    <row r="156" spans="4:18" ht="31.5" customHeight="1" x14ac:dyDescent="0.45">
      <c r="D156" s="400" t="s">
        <v>736</v>
      </c>
      <c r="J156" s="400" t="str">
        <f>Criteria!E18</f>
        <v>2000/123456/07</v>
      </c>
    </row>
    <row r="157" spans="4:18" ht="31.5" customHeight="1" x14ac:dyDescent="0.45"/>
    <row r="158" spans="4:18" ht="31.5" customHeight="1" x14ac:dyDescent="0.45">
      <c r="D158" s="400" t="s">
        <v>686</v>
      </c>
      <c r="J158" s="420"/>
    </row>
    <row r="159" spans="4:18" ht="31.5" customHeight="1" x14ac:dyDescent="0.45"/>
    <row r="160" spans="4:18" ht="31.5" customHeight="1" x14ac:dyDescent="0.45"/>
    <row r="161" spans="10:17" ht="31.5" customHeight="1" x14ac:dyDescent="0.45">
      <c r="J161" s="296"/>
    </row>
    <row r="162" spans="10:17" ht="31.5" customHeight="1" x14ac:dyDescent="0.45">
      <c r="J162" s="420"/>
    </row>
    <row r="163" spans="10:17" ht="31.5" customHeight="1" x14ac:dyDescent="0.45"/>
    <row r="164" spans="10:17" ht="31.5" customHeight="1" x14ac:dyDescent="0.45"/>
    <row r="165" spans="10:17" ht="31.5" customHeight="1" x14ac:dyDescent="0.45"/>
    <row r="166" spans="10:17" ht="31.5" customHeight="1" x14ac:dyDescent="0.45"/>
    <row r="167" spans="10:17" ht="31.5" customHeight="1" x14ac:dyDescent="0.45"/>
    <row r="168" spans="10:17" ht="31.5" customHeight="1" x14ac:dyDescent="0.45"/>
    <row r="169" spans="10:17" ht="31.5" customHeight="1" x14ac:dyDescent="0.45">
      <c r="O169" s="346"/>
      <c r="P169" s="295"/>
      <c r="Q169" s="292"/>
    </row>
    <row r="170" spans="10:17" ht="31.5" customHeight="1" x14ac:dyDescent="0.45">
      <c r="K170" s="405"/>
      <c r="L170" s="405"/>
      <c r="M170" s="421"/>
      <c r="N170" s="405"/>
      <c r="O170" s="346" t="s">
        <v>96</v>
      </c>
      <c r="Q170" s="292">
        <f>MAX($Q$114:Q169)+1</f>
        <v>2</v>
      </c>
    </row>
    <row r="171" spans="10:17" ht="31.5" customHeight="1" x14ac:dyDescent="0.45">
      <c r="M171" s="422"/>
      <c r="O171" s="422"/>
    </row>
    <row r="172" spans="10:17" ht="31.5" customHeight="1" x14ac:dyDescent="0.45">
      <c r="L172" s="405"/>
      <c r="M172" s="421"/>
      <c r="O172" s="423"/>
    </row>
    <row r="173" spans="10:17" ht="31.5" customHeight="1" x14ac:dyDescent="0.45">
      <c r="L173" s="405"/>
      <c r="M173" s="421"/>
      <c r="O173" s="423"/>
    </row>
    <row r="174" spans="10:17" ht="31.5" customHeight="1" x14ac:dyDescent="0.45">
      <c r="L174" s="405"/>
    </row>
    <row r="175" spans="10:17" ht="31.5" customHeight="1" x14ac:dyDescent="0.45">
      <c r="M175" s="424"/>
      <c r="N175" s="425"/>
      <c r="O175" s="424"/>
      <c r="P175" s="425"/>
    </row>
    <row r="176" spans="10:17" ht="31.5" customHeight="1" x14ac:dyDescent="0.45"/>
    <row r="177" spans="4:4" ht="31.5" customHeight="1" x14ac:dyDescent="0.45"/>
    <row r="178" spans="4:4" ht="31.5" customHeight="1" x14ac:dyDescent="0.45">
      <c r="D178" s="417" t="str">
        <f>IF(MAX(Criteria!I38:I42)&gt;1,"AUDITOR'S COMPILATION REPORT TO THE DIRECTORS OF","AUDITOR'S COMPILATION REPORT TO THE DIRECTOR OF")</f>
        <v>AUDITOR'S COMPILATION REPORT TO THE DIRECTOR OF</v>
      </c>
    </row>
    <row r="179" spans="4:4" ht="31.5" customHeight="1" x14ac:dyDescent="0.45">
      <c r="D179" s="417" t="str">
        <f>Criteria!E9</f>
        <v>HOLDING COMPANY 268 (PROPRIETARY) LIMITED</v>
      </c>
    </row>
    <row r="180" spans="4:4" ht="31.5" customHeight="1" x14ac:dyDescent="0.45">
      <c r="D180" s="417" t="s">
        <v>860</v>
      </c>
    </row>
    <row r="181" spans="4:4" ht="31.5" customHeight="1" x14ac:dyDescent="0.45"/>
    <row r="182" spans="4:4" ht="31.5" customHeight="1" x14ac:dyDescent="0.45">
      <c r="D182" s="400" t="s">
        <v>883</v>
      </c>
    </row>
    <row r="183" spans="4:4" ht="31.5" customHeight="1" x14ac:dyDescent="0.45">
      <c r="D183" s="400" t="str">
        <f>CONCATENATE(Criteria!E11,", as set out on pages ",Q347," to ",MAX(Q347:Q2148),", based on")</f>
        <v>Holding Company 268 (Pty) Ltd Group, as set out on pages 5 to 54, based on</v>
      </c>
    </row>
    <row r="184" spans="4:4" ht="31.5" customHeight="1" x14ac:dyDescent="0.45">
      <c r="D184" s="400" t="s">
        <v>1184</v>
      </c>
    </row>
    <row r="185" spans="4:4" ht="31.5" customHeight="1" x14ac:dyDescent="0.45">
      <c r="D185" s="400" t="str">
        <f>CONCATENATE("of financial position of ",Criteria!E11," as at ",Criteria!G24,",")</f>
        <v>of financial position of Holding Company 268 (Pty) Ltd Group as at 29 February 2024,</v>
      </c>
    </row>
    <row r="186" spans="4:4" ht="31.5" customHeight="1" x14ac:dyDescent="0.45">
      <c r="D186" s="400" t="s">
        <v>1185</v>
      </c>
    </row>
    <row r="187" spans="4:4" ht="31.5" customHeight="1" x14ac:dyDescent="0.45">
      <c r="D187" s="400" t="s">
        <v>1187</v>
      </c>
    </row>
    <row r="188" spans="4:4" ht="31.5" customHeight="1" x14ac:dyDescent="0.45">
      <c r="D188" s="400" t="s">
        <v>1186</v>
      </c>
    </row>
    <row r="189" spans="4:4" ht="31.5" customHeight="1" x14ac:dyDescent="0.45"/>
    <row r="190" spans="4:4" ht="31.5" customHeight="1" x14ac:dyDescent="0.45">
      <c r="D190" s="400" t="s">
        <v>891</v>
      </c>
    </row>
    <row r="191" spans="4:4" ht="31.5" customHeight="1" x14ac:dyDescent="0.45">
      <c r="D191" s="400" t="s">
        <v>890</v>
      </c>
    </row>
    <row r="192" spans="4:4" ht="31.5" customHeight="1" x14ac:dyDescent="0.45"/>
    <row r="193" spans="4:4" ht="31.5" customHeight="1" x14ac:dyDescent="0.45">
      <c r="D193" s="400" t="s">
        <v>892</v>
      </c>
    </row>
    <row r="194" spans="4:4" ht="31.5" customHeight="1" x14ac:dyDescent="0.45">
      <c r="D194" s="400" t="s">
        <v>1146</v>
      </c>
    </row>
    <row r="195" spans="4:4" ht="31.5" customHeight="1" x14ac:dyDescent="0.45">
      <c r="D195" s="400" t="s">
        <v>1148</v>
      </c>
    </row>
    <row r="196" spans="4:4" ht="31.5" customHeight="1" x14ac:dyDescent="0.45">
      <c r="D196" s="400" t="s">
        <v>1147</v>
      </c>
    </row>
    <row r="197" spans="4:4" ht="31.5" customHeight="1" x14ac:dyDescent="0.45"/>
    <row r="198" spans="4:4" ht="31.5" customHeight="1" x14ac:dyDescent="0.45">
      <c r="D198" s="400" t="s">
        <v>1150</v>
      </c>
    </row>
    <row r="199" spans="4:4" ht="31.5" customHeight="1" x14ac:dyDescent="0.45">
      <c r="D199" s="400" t="s">
        <v>1149</v>
      </c>
    </row>
    <row r="200" spans="4:4" ht="31.5" customHeight="1" x14ac:dyDescent="0.45"/>
    <row r="201" spans="4:4" ht="31.5" customHeight="1" x14ac:dyDescent="0.45">
      <c r="D201" s="400" t="s">
        <v>893</v>
      </c>
    </row>
    <row r="202" spans="4:4" ht="31.5" customHeight="1" x14ac:dyDescent="0.45">
      <c r="D202" s="400" t="s">
        <v>1151</v>
      </c>
    </row>
    <row r="203" spans="4:4" ht="31.5" customHeight="1" x14ac:dyDescent="0.45">
      <c r="D203" s="400" t="s">
        <v>1152</v>
      </c>
    </row>
    <row r="204" spans="4:4" ht="31.5" customHeight="1" x14ac:dyDescent="0.45">
      <c r="D204" s="400" t="s">
        <v>1153</v>
      </c>
    </row>
    <row r="205" spans="4:4" ht="31.5" customHeight="1" x14ac:dyDescent="0.45">
      <c r="D205" s="400" t="s">
        <v>1155</v>
      </c>
    </row>
    <row r="206" spans="4:4" ht="31.5" customHeight="1" x14ac:dyDescent="0.45"/>
    <row r="207" spans="4:4" ht="31.5" customHeight="1" x14ac:dyDescent="0.45"/>
    <row r="208" spans="4:4" ht="31.5" customHeight="1" x14ac:dyDescent="0.45"/>
    <row r="209" spans="4:16" ht="31.5" customHeight="1" x14ac:dyDescent="0.45"/>
    <row r="210" spans="4:16" ht="31.5" customHeight="1" x14ac:dyDescent="0.45">
      <c r="D210" s="400" t="s">
        <v>127</v>
      </c>
    </row>
    <row r="211" spans="4:16" ht="31.5" customHeight="1" x14ac:dyDescent="0.45">
      <c r="D211" s="509" t="s">
        <v>884</v>
      </c>
      <c r="E211" s="509"/>
      <c r="F211" s="509"/>
      <c r="G211" s="509"/>
      <c r="H211" s="509"/>
    </row>
    <row r="212" spans="4:16" ht="31.5" customHeight="1" x14ac:dyDescent="0.45"/>
    <row r="213" spans="4:16" ht="31.5" customHeight="1" x14ac:dyDescent="0.45"/>
    <row r="214" spans="4:16" ht="31.5" customHeight="1" x14ac:dyDescent="0.45"/>
    <row r="215" spans="4:16" ht="31.5" customHeight="1" x14ac:dyDescent="0.45">
      <c r="D215" s="400" t="s">
        <v>101</v>
      </c>
      <c r="E215" s="509"/>
      <c r="F215" s="509"/>
      <c r="G215" s="509"/>
      <c r="H215" s="509"/>
    </row>
    <row r="216" spans="4:16" ht="14.25" customHeight="1" x14ac:dyDescent="0.45">
      <c r="E216" s="400" t="s">
        <v>128</v>
      </c>
    </row>
    <row r="217" spans="4:16" ht="31.5" customHeight="1" x14ac:dyDescent="0.45">
      <c r="D217" s="400" t="str">
        <f>Criteria!F29</f>
        <v>Johannesburg</v>
      </c>
    </row>
    <row r="218" spans="4:16" ht="31.5" customHeight="1" x14ac:dyDescent="0.45">
      <c r="D218" s="405"/>
    </row>
    <row r="219" spans="4:16" ht="31.5" customHeight="1" x14ac:dyDescent="0.45"/>
    <row r="220" spans="4:16" ht="31.5" customHeight="1" x14ac:dyDescent="0.45">
      <c r="M220" s="424"/>
      <c r="N220" s="425"/>
      <c r="O220" s="424"/>
      <c r="P220" s="425"/>
    </row>
    <row r="221" spans="4:16" ht="31.5" customHeight="1" x14ac:dyDescent="0.45">
      <c r="M221" s="424"/>
      <c r="N221" s="425"/>
      <c r="O221" s="424"/>
      <c r="P221" s="425"/>
    </row>
    <row r="222" spans="4:16" ht="31.5" customHeight="1" x14ac:dyDescent="0.45">
      <c r="M222" s="424"/>
      <c r="N222" s="425"/>
      <c r="O222" s="424"/>
      <c r="P222" s="425"/>
    </row>
    <row r="223" spans="4:16" ht="31.5" customHeight="1" x14ac:dyDescent="0.45">
      <c r="M223" s="422"/>
      <c r="N223" s="400"/>
      <c r="O223" s="422"/>
      <c r="P223" s="400"/>
    </row>
    <row r="224" spans="4:16" ht="31.5" customHeight="1" x14ac:dyDescent="0.45">
      <c r="M224" s="422"/>
      <c r="N224" s="400"/>
      <c r="O224" s="422"/>
      <c r="P224" s="400"/>
    </row>
    <row r="225" spans="2:18" ht="31.5" customHeight="1" x14ac:dyDescent="0.45"/>
    <row r="226" spans="2:18" ht="31.5" customHeight="1" x14ac:dyDescent="0.45">
      <c r="D226" s="417" t="str">
        <f>Criteria!E9</f>
        <v>HOLDING COMPANY 268 (PROPRIETARY) LIMITED</v>
      </c>
      <c r="O226" s="346" t="s">
        <v>96</v>
      </c>
      <c r="P226" s="295"/>
      <c r="Q226" s="292">
        <f>MAX($Q$114:Q225)+1</f>
        <v>3</v>
      </c>
    </row>
    <row r="227" spans="2:18" ht="31.5" customHeight="1" x14ac:dyDescent="0.45">
      <c r="D227" s="417" t="str">
        <f>Criteria!E10</f>
        <v>CONSOLIDATED FINANCIAL STATEMENTS</v>
      </c>
      <c r="R227" s="403" t="str">
        <f>IF(D227=0,"DELETE"," ")</f>
        <v xml:space="preserve"> </v>
      </c>
    </row>
    <row r="228" spans="2:18" ht="31.5" customHeight="1" x14ac:dyDescent="0.45"/>
    <row r="229" spans="2:18" ht="31.5" customHeight="1" x14ac:dyDescent="0.45">
      <c r="D229" s="417" t="str">
        <f>IF(SUM(Criteria!I38:I42)&gt;1,"DIRECTORS' REPORT FOR THE YEAR ENDED","DIRECTOR'S REPORT FOR THE YEAR ENDED")</f>
        <v>DIRECTOR'S REPORT FOR THE YEAR ENDED</v>
      </c>
      <c r="M229" s="427"/>
      <c r="N229" s="428"/>
    </row>
    <row r="230" spans="2:18" ht="31.5" customHeight="1" x14ac:dyDescent="0.45">
      <c r="D230" s="417" t="str">
        <f>Criteria!E20</f>
        <v>29 FEBRUARY 2024</v>
      </c>
      <c r="M230" s="427"/>
      <c r="N230" s="428"/>
    </row>
    <row r="231" spans="2:18" ht="31.5" customHeight="1" x14ac:dyDescent="0.45">
      <c r="D231" s="429"/>
      <c r="E231" s="429"/>
      <c r="F231" s="429"/>
      <c r="G231" s="429"/>
      <c r="H231" s="429"/>
      <c r="I231" s="429"/>
      <c r="J231" s="429"/>
      <c r="K231" s="429"/>
      <c r="L231" s="429"/>
      <c r="M231" s="430"/>
      <c r="N231" s="431"/>
      <c r="O231" s="432"/>
      <c r="P231" s="433"/>
      <c r="Q231" s="429"/>
    </row>
    <row r="232" spans="2:18" ht="31.5" customHeight="1" x14ac:dyDescent="0.45"/>
    <row r="233" spans="2:18" ht="31.5" customHeight="1" x14ac:dyDescent="0.45">
      <c r="B233" s="405"/>
      <c r="C233" s="292">
        <v>1</v>
      </c>
      <c r="D233" s="400" t="str">
        <f>IF(MAX(Criteria!I38:I42)&gt;1,"The directors have pleasure in presenting the annual Consolidated Financial Statements and their","The director has pleasure in presenting the annual Consolidated Financial Statements and the")</f>
        <v>The director has pleasure in presenting the annual Consolidated Financial Statements and the</v>
      </c>
    </row>
    <row r="234" spans="2:18" ht="31.5" customHeight="1" x14ac:dyDescent="0.45">
      <c r="B234" s="405"/>
      <c r="C234" s="292"/>
      <c r="D234" s="400" t="str">
        <f>IF(MAX(Criteria!I38:I42)&gt;1,"annual report which forms part of the Consolidated Financial Statements of the group for the","Director's report which forms part of the Consolidated Financial Statements of the group for the")</f>
        <v>Director's report which forms part of the Consolidated Financial Statements of the group for the</v>
      </c>
    </row>
    <row r="235" spans="2:18" ht="31.5" customHeight="1" x14ac:dyDescent="0.45">
      <c r="B235" s="405"/>
      <c r="C235" s="292"/>
      <c r="D235" s="400" t="str">
        <f>CONCATENATE("year ended ",Criteria!G24,".")</f>
        <v>year ended 29 February 2024.</v>
      </c>
    </row>
    <row r="236" spans="2:18" ht="31.5" customHeight="1" x14ac:dyDescent="0.45">
      <c r="B236" s="405"/>
      <c r="C236" s="292"/>
    </row>
    <row r="237" spans="2:18" ht="31.5" customHeight="1" x14ac:dyDescent="0.45">
      <c r="B237" s="405"/>
      <c r="C237" s="292">
        <f>MAX(C$233:C236)+1</f>
        <v>2</v>
      </c>
      <c r="D237" s="417" t="s">
        <v>716</v>
      </c>
    </row>
    <row r="238" spans="2:18" ht="31.5" customHeight="1" x14ac:dyDescent="0.45">
      <c r="B238" s="405"/>
      <c r="C238" s="292"/>
      <c r="D238" s="400" t="str">
        <f>Criteria!C80</f>
        <v>The group's main objective is the investment in financial instruments.</v>
      </c>
    </row>
    <row r="239" spans="2:18" ht="31.5" customHeight="1" x14ac:dyDescent="0.45">
      <c r="B239" s="405"/>
      <c r="C239" s="292"/>
      <c r="D239" s="400" t="str">
        <f>CONCATENATE(Criteria!E11," is registered, incorporated and operates in the")</f>
        <v>Holding Company 268 (Pty) Ltd Group is registered, incorporated and operates in the</v>
      </c>
    </row>
    <row r="240" spans="2:18" ht="31.5" customHeight="1" x14ac:dyDescent="0.45">
      <c r="B240" s="405"/>
      <c r="C240" s="292"/>
      <c r="D240" s="400" t="str">
        <f>CONCATENATE("Republic of South Africa and the Company's registration number is ",Criteria!E18,".")</f>
        <v>Republic of South Africa and the Company's registration number is 2000/123456/07.</v>
      </c>
    </row>
    <row r="241" spans="2:18" ht="31.5" customHeight="1" x14ac:dyDescent="0.45">
      <c r="B241" s="405"/>
      <c r="C241" s="292"/>
      <c r="D241" s="400" t="str">
        <f>IF(Criteria!F86="No","There were no changes in the nature of the group's business during the period under review.","The group sold all it's assets in the current financial year and will be deregistered the")</f>
        <v>There were no changes in the nature of the group's business during the period under review.</v>
      </c>
    </row>
    <row r="242" spans="2:18" ht="31.5" customHeight="1" x14ac:dyDescent="0.45">
      <c r="B242" s="405"/>
      <c r="C242" s="292"/>
      <c r="D242" s="400" t="str">
        <f>IF(Criteria!F86="No"," ","following year.")</f>
        <v xml:space="preserve"> </v>
      </c>
      <c r="R242" s="403" t="str">
        <f>IF(D242=" ","DELETE"," ")</f>
        <v>DELETE</v>
      </c>
    </row>
    <row r="243" spans="2:18" ht="31.5" customHeight="1" x14ac:dyDescent="0.45">
      <c r="B243" s="405"/>
      <c r="C243" s="292"/>
    </row>
    <row r="244" spans="2:18" ht="31.5" customHeight="1" x14ac:dyDescent="0.45">
      <c r="B244" s="405"/>
      <c r="C244" s="292">
        <f>MAX(C$233:C243)+1</f>
        <v>3</v>
      </c>
      <c r="D244" s="417" t="s">
        <v>486</v>
      </c>
    </row>
    <row r="245" spans="2:18" ht="31.5" customHeight="1" x14ac:dyDescent="0.45">
      <c r="B245" s="405"/>
      <c r="C245" s="292"/>
      <c r="D245" s="400" t="str">
        <f>IF(Criteria!F84="No"," ","The accounting policies have been applied consistently compared to the prior year.")</f>
        <v>The accounting policies have been applied consistently compared to the prior year.</v>
      </c>
      <c r="R245" s="403" t="str">
        <f>IF(D245=" ","DELETE"," ")</f>
        <v xml:space="preserve"> </v>
      </c>
    </row>
    <row r="246" spans="2:18" ht="31.5" customHeight="1" x14ac:dyDescent="0.45">
      <c r="B246" s="405"/>
      <c r="C246" s="292"/>
      <c r="D246" s="400" t="str">
        <f>CONCATENATE("The ",IF(MAX(Criteria!I38:I42)&gt;1,"directors present","director presents")," the following extracts from the Consolidated Financial Statements for the")</f>
        <v>The director presents the following extracts from the Consolidated Financial Statements for the</v>
      </c>
    </row>
    <row r="247" spans="2:18" ht="31.5" customHeight="1" x14ac:dyDescent="0.45">
      <c r="B247" s="405"/>
      <c r="C247" s="292"/>
      <c r="D247" s="400" t="s">
        <v>1157</v>
      </c>
    </row>
    <row r="248" spans="2:18" ht="31.5" customHeight="1" x14ac:dyDescent="0.45">
      <c r="B248" s="405"/>
      <c r="C248" s="292"/>
      <c r="K248" s="405"/>
      <c r="M248" s="346" t="s">
        <v>812</v>
      </c>
    </row>
    <row r="249" spans="2:18" ht="31.5" customHeight="1" x14ac:dyDescent="0.45">
      <c r="B249" s="405"/>
      <c r="C249" s="292"/>
      <c r="K249" s="405"/>
      <c r="M249" s="346" t="s">
        <v>810</v>
      </c>
    </row>
    <row r="250" spans="2:18" ht="31.5" customHeight="1" x14ac:dyDescent="0.45">
      <c r="B250" s="405"/>
      <c r="C250" s="292"/>
      <c r="E250" s="400" t="s">
        <v>1110</v>
      </c>
      <c r="K250" s="405"/>
      <c r="M250" s="434">
        <f>O250-SUM(TrialBalance!N229:N281)</f>
        <v>0</v>
      </c>
      <c r="N250" s="406"/>
      <c r="O250" s="426">
        <f>SUM(TrialBalance!L229:L281)</f>
        <v>0</v>
      </c>
    </row>
    <row r="251" spans="2:18" ht="9" customHeight="1" thickBot="1" x14ac:dyDescent="0.5">
      <c r="B251" s="405"/>
      <c r="C251" s="292"/>
      <c r="K251" s="405"/>
      <c r="M251" s="435"/>
      <c r="N251" s="406"/>
      <c r="O251" s="435"/>
    </row>
    <row r="252" spans="2:18" ht="9" customHeight="1" thickTop="1" x14ac:dyDescent="0.45">
      <c r="B252" s="405"/>
      <c r="C252" s="292"/>
      <c r="K252" s="405"/>
      <c r="M252" s="434"/>
      <c r="N252" s="406"/>
      <c r="O252" s="426"/>
    </row>
    <row r="253" spans="2:18" ht="31.5" customHeight="1" x14ac:dyDescent="0.45">
      <c r="B253" s="405"/>
      <c r="C253" s="292"/>
      <c r="E253" s="400" t="s">
        <v>1111</v>
      </c>
      <c r="K253" s="405"/>
      <c r="M253" s="426">
        <f>O253-SUM(TrialBalance!N229:N233)-SUM(TrialBalance!N240:N244)-SUM(TrialBalance!N251:N253)-SUM(TrialBalance!N259:N261)-SUM(TrialBalance!N267:N269)-SUM(TrialBalance!N275:N277)</f>
        <v>0</v>
      </c>
      <c r="N253" s="406"/>
      <c r="O253" s="426">
        <f>SUM(TrialBalance!L229:L233)+SUM(TrialBalance!L240:L244)+SUM(TrialBalance!L251:L253)+SUM(TrialBalance!L259:L261)+SUM(TrialBalance!L267:L269)+SUM(TrialBalance!L275:L277)</f>
        <v>0</v>
      </c>
    </row>
    <row r="254" spans="2:18" ht="9" customHeight="1" thickBot="1" x14ac:dyDescent="0.5">
      <c r="B254" s="405"/>
      <c r="C254" s="292"/>
      <c r="M254" s="435"/>
      <c r="N254" s="406"/>
      <c r="O254" s="435"/>
    </row>
    <row r="255" spans="2:18" ht="9" customHeight="1" thickTop="1" x14ac:dyDescent="0.45">
      <c r="B255" s="405"/>
      <c r="C255" s="292"/>
      <c r="M255" s="426"/>
      <c r="N255" s="406"/>
      <c r="O255" s="426"/>
    </row>
    <row r="256" spans="2:18" ht="31.5" customHeight="1" x14ac:dyDescent="0.45">
      <c r="B256" s="405"/>
      <c r="C256" s="292"/>
      <c r="E256" s="400" t="s">
        <v>714</v>
      </c>
      <c r="M256" s="426">
        <f>O256-O447</f>
        <v>0</v>
      </c>
      <c r="N256" s="406"/>
      <c r="O256" s="426">
        <f>M447</f>
        <v>0</v>
      </c>
    </row>
    <row r="257" spans="2:22" ht="9" customHeight="1" thickBot="1" x14ac:dyDescent="0.5">
      <c r="B257" s="405"/>
      <c r="C257" s="292"/>
      <c r="M257" s="435"/>
      <c r="N257" s="406"/>
      <c r="O257" s="435"/>
    </row>
    <row r="258" spans="2:22" ht="9" customHeight="1" thickTop="1" x14ac:dyDescent="0.45">
      <c r="B258" s="405"/>
      <c r="C258" s="292"/>
      <c r="M258" s="426"/>
      <c r="N258" s="406"/>
      <c r="O258" s="436"/>
    </row>
    <row r="259" spans="2:22" ht="31.5" customHeight="1" x14ac:dyDescent="0.45">
      <c r="B259" s="405"/>
      <c r="C259" s="292"/>
      <c r="M259" s="426"/>
      <c r="N259" s="406"/>
      <c r="O259" s="426"/>
    </row>
    <row r="260" spans="2:22" ht="31.5" customHeight="1" x14ac:dyDescent="0.45">
      <c r="B260" s="405"/>
      <c r="C260" s="292"/>
      <c r="E260" s="400" t="s">
        <v>904</v>
      </c>
      <c r="M260" s="426">
        <f>O260-SUM(O356:O357)</f>
        <v>0</v>
      </c>
      <c r="N260" s="406"/>
      <c r="O260" s="426">
        <f>SUM(M356:M357)</f>
        <v>0</v>
      </c>
    </row>
    <row r="261" spans="2:22" ht="9" customHeight="1" thickBot="1" x14ac:dyDescent="0.5">
      <c r="B261" s="405"/>
      <c r="C261" s="292"/>
      <c r="M261" s="435"/>
      <c r="N261" s="406"/>
      <c r="O261" s="435"/>
    </row>
    <row r="262" spans="2:22" ht="31.5" customHeight="1" thickTop="1" x14ac:dyDescent="0.45">
      <c r="B262" s="405"/>
      <c r="C262" s="292"/>
      <c r="M262" s="426"/>
      <c r="N262" s="406"/>
      <c r="O262" s="426"/>
    </row>
    <row r="263" spans="2:22" ht="31.5" customHeight="1" x14ac:dyDescent="0.45">
      <c r="B263" s="405"/>
      <c r="C263" s="292"/>
      <c r="M263" s="426"/>
      <c r="N263" s="406"/>
      <c r="O263" s="426"/>
    </row>
    <row r="264" spans="2:22" ht="31.5" customHeight="1" x14ac:dyDescent="0.45">
      <c r="B264" s="405"/>
      <c r="C264" s="292"/>
      <c r="E264" s="400" t="str">
        <f>IF(O264&lt;0,"Net loss before taxation","Net profit before taxation")</f>
        <v>Net profit before taxation</v>
      </c>
      <c r="M264" s="426">
        <f>O264-O379</f>
        <v>0</v>
      </c>
      <c r="N264" s="406"/>
      <c r="O264" s="426">
        <f>M379</f>
        <v>0</v>
      </c>
    </row>
    <row r="265" spans="2:22" ht="31.5" customHeight="1" x14ac:dyDescent="0.45">
      <c r="B265" s="405"/>
      <c r="C265" s="292"/>
      <c r="E265" s="400" t="s">
        <v>811</v>
      </c>
      <c r="M265" s="426"/>
      <c r="N265" s="406"/>
      <c r="O265" s="426">
        <f>M381</f>
        <v>0</v>
      </c>
    </row>
    <row r="266" spans="2:22" ht="9" customHeight="1" x14ac:dyDescent="0.45">
      <c r="B266" s="405"/>
      <c r="C266" s="292"/>
      <c r="M266" s="426"/>
      <c r="N266" s="406"/>
      <c r="O266" s="437"/>
    </row>
    <row r="267" spans="2:22" ht="9" customHeight="1" x14ac:dyDescent="0.45">
      <c r="B267" s="405"/>
      <c r="C267" s="292"/>
      <c r="M267" s="426"/>
      <c r="N267" s="406"/>
      <c r="O267" s="426"/>
    </row>
    <row r="268" spans="2:22" ht="31.5" customHeight="1" x14ac:dyDescent="0.45">
      <c r="B268" s="405"/>
      <c r="C268" s="292"/>
      <c r="E268" s="400" t="str">
        <f>IF(O268&lt;0,"Net loss after taxation","Net profit after taxation")</f>
        <v>Net profit after taxation</v>
      </c>
      <c r="M268" s="426"/>
      <c r="N268" s="406"/>
      <c r="O268" s="426">
        <f>SUM(O264:O267)</f>
        <v>0</v>
      </c>
      <c r="V268" s="378" t="b">
        <f>O268=M384</f>
        <v>1</v>
      </c>
    </row>
    <row r="269" spans="2:22" ht="31.5" customHeight="1" x14ac:dyDescent="0.45">
      <c r="B269" s="405"/>
      <c r="C269" s="292"/>
      <c r="E269" s="400" t="s">
        <v>690</v>
      </c>
      <c r="M269" s="426"/>
      <c r="N269" s="406"/>
      <c r="O269" s="426">
        <f>-SUM(TrialBalance!L163:L164)</f>
        <v>0</v>
      </c>
    </row>
    <row r="270" spans="2:22" ht="9" customHeight="1" x14ac:dyDescent="0.45">
      <c r="B270" s="405"/>
      <c r="C270" s="292"/>
      <c r="M270" s="426"/>
      <c r="N270" s="406"/>
      <c r="O270" s="437"/>
    </row>
    <row r="271" spans="2:22" ht="9" customHeight="1" x14ac:dyDescent="0.45">
      <c r="B271" s="405"/>
      <c r="C271" s="292"/>
      <c r="M271" s="426"/>
      <c r="N271" s="406"/>
      <c r="O271" s="426"/>
    </row>
    <row r="272" spans="2:22" ht="31.5" customHeight="1" x14ac:dyDescent="0.45">
      <c r="B272" s="405"/>
      <c r="C272" s="292"/>
      <c r="E272" s="400" t="str">
        <f>IF(O272&lt;0,"Net loss for the year","Net profit for the year")</f>
        <v>Net profit for the year</v>
      </c>
      <c r="M272" s="426"/>
      <c r="N272" s="406"/>
      <c r="O272" s="426">
        <f>SUM(O268:O271)</f>
        <v>0</v>
      </c>
    </row>
    <row r="273" spans="2:18" ht="9" customHeight="1" thickBot="1" x14ac:dyDescent="0.5">
      <c r="B273" s="405"/>
      <c r="C273" s="292"/>
      <c r="M273" s="426"/>
      <c r="N273" s="406"/>
      <c r="O273" s="435"/>
    </row>
    <row r="274" spans="2:18" ht="9" customHeight="1" thickTop="1" x14ac:dyDescent="0.45">
      <c r="B274" s="405"/>
      <c r="C274" s="292"/>
      <c r="M274" s="426"/>
      <c r="N274" s="406"/>
      <c r="O274" s="426"/>
    </row>
    <row r="275" spans="2:18" ht="31.5" customHeight="1" x14ac:dyDescent="0.45">
      <c r="B275" s="405"/>
      <c r="C275" s="292"/>
    </row>
    <row r="276" spans="2:18" ht="31.5" customHeight="1" x14ac:dyDescent="0.45">
      <c r="B276" s="405"/>
      <c r="C276" s="292"/>
      <c r="D276" s="400" t="str">
        <f>IF(Criteria!F82="No","The company did not have any operations in the current financial year."," ")</f>
        <v xml:space="preserve"> </v>
      </c>
      <c r="R276" s="403" t="str">
        <f>IF(D276=" ","DELETE"," ")</f>
        <v>DELETE</v>
      </c>
    </row>
    <row r="277" spans="2:18" ht="31.5" customHeight="1" x14ac:dyDescent="0.45">
      <c r="B277" s="405"/>
      <c r="C277" s="292"/>
      <c r="D277" s="400" t="s">
        <v>1158</v>
      </c>
    </row>
    <row r="278" spans="2:18" ht="31.5" customHeight="1" x14ac:dyDescent="0.45">
      <c r="B278" s="405"/>
      <c r="C278" s="292"/>
      <c r="D278" s="400" t="str">
        <f>CONCATENATE("and the ",IF(MAX(Criteria!I38:I42)&gt;1,"directors are","director is")," of the opinion that no further comment thereon is necessary.")</f>
        <v>and the director is of the opinion that no further comment thereon is necessary.</v>
      </c>
    </row>
    <row r="279" spans="2:18" ht="31.5" customHeight="1" x14ac:dyDescent="0.45">
      <c r="B279" s="405"/>
      <c r="C279" s="292"/>
    </row>
    <row r="280" spans="2:18" ht="31.5" customHeight="1" x14ac:dyDescent="0.45">
      <c r="B280" s="405"/>
      <c r="C280" s="292">
        <f>MAX(C$233:C279)+1</f>
        <v>4</v>
      </c>
      <c r="D280" s="417" t="s">
        <v>492</v>
      </c>
    </row>
    <row r="281" spans="2:18" ht="31.5" customHeight="1" x14ac:dyDescent="0.45">
      <c r="B281" s="405"/>
      <c r="C281" s="292"/>
      <c r="D281" s="400" t="str">
        <f>IF(Criteria!F88="Yes",Criteria!G88,"No dividends have been declared nor are any recommended.")</f>
        <v>No dividends have been declared nor are any recommended.</v>
      </c>
    </row>
    <row r="282" spans="2:18" ht="31.5" customHeight="1" x14ac:dyDescent="0.45">
      <c r="B282" s="405"/>
      <c r="C282" s="292"/>
    </row>
    <row r="283" spans="2:18" ht="31.5" customHeight="1" x14ac:dyDescent="0.45">
      <c r="B283" s="405"/>
      <c r="C283" s="292">
        <f>MAX(C$233:C282)+1</f>
        <v>5</v>
      </c>
      <c r="D283" s="417" t="s">
        <v>493</v>
      </c>
    </row>
    <row r="284" spans="2:18" ht="31.5" customHeight="1" x14ac:dyDescent="0.45">
      <c r="B284" s="405"/>
      <c r="C284" s="292"/>
      <c r="D284" s="400" t="str">
        <f>CONCATENATE("The authorised and issued share capital are presented at Note ",B1717," of the Notes to the Consolidated")</f>
        <v>The authorised and issued share capital are presented at Note 19 of the Notes to the Consolidated</v>
      </c>
    </row>
    <row r="285" spans="2:18" ht="31.5" customHeight="1" x14ac:dyDescent="0.45">
      <c r="B285" s="405"/>
      <c r="C285" s="292"/>
      <c r="D285" s="400" t="s">
        <v>1160</v>
      </c>
    </row>
    <row r="286" spans="2:18" ht="31.5" customHeight="1" x14ac:dyDescent="0.45">
      <c r="B286" s="405"/>
      <c r="C286" s="292"/>
      <c r="D286" s="400" t="str">
        <f>IF(Criteria!F90="No","The authorised and issued share capital remained unchanged during the financial year under",Criteria!G91)</f>
        <v>The authorised and issued share capital remained unchanged during the financial year under</v>
      </c>
    </row>
    <row r="287" spans="2:18" ht="31.5" customHeight="1" x14ac:dyDescent="0.45">
      <c r="B287" s="405"/>
      <c r="C287" s="292"/>
      <c r="D287" s="400" t="str">
        <f>IF(Criteria!F90="Yes",Criteria!G92,"review. ")</f>
        <v xml:space="preserve">review. </v>
      </c>
      <c r="R287" s="403" t="str">
        <f>IF(D287=0,"DELETE"," ")</f>
        <v xml:space="preserve"> </v>
      </c>
    </row>
    <row r="288" spans="2:18" ht="31.5" customHeight="1" x14ac:dyDescent="0.45">
      <c r="B288" s="405"/>
      <c r="C288" s="292"/>
    </row>
    <row r="289" spans="2:18" ht="31.5" customHeight="1" x14ac:dyDescent="0.45">
      <c r="B289" s="405"/>
      <c r="C289" s="292"/>
    </row>
    <row r="290" spans="2:18" ht="31.5" customHeight="1" x14ac:dyDescent="0.45">
      <c r="B290" s="405"/>
      <c r="C290" s="292"/>
    </row>
    <row r="291" spans="2:18" ht="31.5" customHeight="1" x14ac:dyDescent="0.45">
      <c r="D291" s="417" t="str">
        <f>Criteria!E9</f>
        <v>HOLDING COMPANY 268 (PROPRIETARY) LIMITED</v>
      </c>
      <c r="O291" s="346" t="s">
        <v>96</v>
      </c>
      <c r="P291" s="295"/>
      <c r="Q291" s="292">
        <f>MAX($Q$114:Q290)+1</f>
        <v>4</v>
      </c>
    </row>
    <row r="292" spans="2:18" ht="31.5" customHeight="1" x14ac:dyDescent="0.45">
      <c r="D292" s="417" t="str">
        <f>Criteria!E10</f>
        <v>CONSOLIDATED FINANCIAL STATEMENTS</v>
      </c>
      <c r="R292" s="403" t="str">
        <f>IF(D292=0,"DELETE"," ")</f>
        <v xml:space="preserve"> </v>
      </c>
    </row>
    <row r="293" spans="2:18" ht="31.5" customHeight="1" x14ac:dyDescent="0.45"/>
    <row r="294" spans="2:18" ht="31.5" customHeight="1" x14ac:dyDescent="0.45">
      <c r="D294" s="417" t="str">
        <f>D229</f>
        <v>DIRECTOR'S REPORT FOR THE YEAR ENDED</v>
      </c>
      <c r="M294" s="427"/>
      <c r="N294" s="428"/>
    </row>
    <row r="295" spans="2:18" ht="31.5" customHeight="1" x14ac:dyDescent="0.45">
      <c r="D295" s="417" t="str">
        <f>Criteria!E20</f>
        <v>29 FEBRUARY 2024</v>
      </c>
      <c r="J295" s="400" t="s">
        <v>247</v>
      </c>
      <c r="M295" s="427"/>
      <c r="N295" s="428"/>
    </row>
    <row r="296" spans="2:18" ht="31.5" customHeight="1" x14ac:dyDescent="0.45">
      <c r="D296" s="429"/>
      <c r="E296" s="429"/>
      <c r="F296" s="429"/>
      <c r="G296" s="429"/>
      <c r="H296" s="429"/>
      <c r="I296" s="429"/>
      <c r="J296" s="429"/>
      <c r="K296" s="429"/>
      <c r="L296" s="429"/>
      <c r="M296" s="430"/>
      <c r="N296" s="431"/>
      <c r="O296" s="432"/>
      <c r="P296" s="433"/>
      <c r="Q296" s="429"/>
    </row>
    <row r="297" spans="2:18" ht="31.5" customHeight="1" x14ac:dyDescent="0.45">
      <c r="M297" s="480"/>
      <c r="N297" s="481"/>
      <c r="O297" s="424"/>
      <c r="P297" s="425"/>
    </row>
    <row r="298" spans="2:18" ht="31.5" customHeight="1" x14ac:dyDescent="0.45">
      <c r="C298" s="292">
        <f>MAX(C$233:C297)+1</f>
        <v>6</v>
      </c>
      <c r="D298" s="417" t="s">
        <v>103</v>
      </c>
    </row>
    <row r="299" spans="2:18" ht="31.5" customHeight="1" x14ac:dyDescent="0.45">
      <c r="D299" s="400" t="str">
        <f>IF(Criteria!F94="Yes",Criteria!G95,"No fundamental change in the nature or use of fixed assets took place during the financial year.")</f>
        <v>No fundamental change in the nature or use of fixed assets took place during the financial year.</v>
      </c>
    </row>
    <row r="300" spans="2:18" ht="31.5" customHeight="1" x14ac:dyDescent="0.45">
      <c r="C300" s="292"/>
    </row>
    <row r="301" spans="2:18" ht="31.5" customHeight="1" x14ac:dyDescent="0.45">
      <c r="B301" s="405"/>
      <c r="C301" s="292">
        <f>MAX(C$233:C300)+1</f>
        <v>7</v>
      </c>
      <c r="D301" s="417" t="str">
        <f>IF(MAX(Criteria!I38:I42)&gt;1,"DIRECTORS","DIRECTOR")</f>
        <v>DIRECTOR</v>
      </c>
    </row>
    <row r="302" spans="2:18" ht="31.5" customHeight="1" x14ac:dyDescent="0.45">
      <c r="B302" s="405"/>
      <c r="C302" s="292"/>
      <c r="D302" s="400" t="str">
        <f>IF(MAX(Criteria!I38:I42)&gt;1,"The directors in office at the date of the financial year end are as follows:","The director in office at the date of the financial year end is as follows:")</f>
        <v>The director in office at the date of the financial year end is as follows:</v>
      </c>
    </row>
    <row r="303" spans="2:18" ht="31.5" customHeight="1" x14ac:dyDescent="0.45">
      <c r="B303" s="405"/>
      <c r="C303" s="292"/>
      <c r="D303" s="417"/>
      <c r="M303" s="401" t="s">
        <v>711</v>
      </c>
    </row>
    <row r="304" spans="2:18" ht="31.5" customHeight="1" x14ac:dyDescent="0.45">
      <c r="B304" s="405"/>
      <c r="C304" s="292"/>
      <c r="D304" s="400" t="str">
        <f>Criteria!E38</f>
        <v>A Director</v>
      </c>
      <c r="M304" s="344" t="str">
        <f>Criteria!G38</f>
        <v>RSA</v>
      </c>
    </row>
    <row r="305" spans="3:18" ht="31.5" customHeight="1" x14ac:dyDescent="0.45">
      <c r="C305" s="292"/>
      <c r="D305" s="400">
        <f>Criteria!E39</f>
        <v>0</v>
      </c>
      <c r="M305" s="344">
        <f>Criteria!G39</f>
        <v>0</v>
      </c>
      <c r="R305" s="403" t="str">
        <f>IF(D305=0,"DELETE"," ")</f>
        <v>DELETE</v>
      </c>
    </row>
    <row r="306" spans="3:18" ht="31.5" customHeight="1" x14ac:dyDescent="0.45">
      <c r="C306" s="292"/>
      <c r="D306" s="400">
        <f>Criteria!E40</f>
        <v>0</v>
      </c>
      <c r="M306" s="344">
        <f>Criteria!G40</f>
        <v>0</v>
      </c>
      <c r="R306" s="403" t="str">
        <f>IF(D306=0,"DELETE"," ")</f>
        <v>DELETE</v>
      </c>
    </row>
    <row r="307" spans="3:18" ht="31.5" customHeight="1" x14ac:dyDescent="0.45">
      <c r="C307" s="292"/>
      <c r="D307" s="400">
        <f>Criteria!E41</f>
        <v>0</v>
      </c>
      <c r="M307" s="344">
        <f>Criteria!G41</f>
        <v>0</v>
      </c>
      <c r="R307" s="403" t="str">
        <f>IF(D307=0,"DELETE"," ")</f>
        <v>DELETE</v>
      </c>
    </row>
    <row r="308" spans="3:18" ht="31.5" customHeight="1" x14ac:dyDescent="0.45">
      <c r="C308" s="292"/>
      <c r="D308" s="400">
        <f>Criteria!E42</f>
        <v>0</v>
      </c>
      <c r="M308" s="344">
        <f>Criteria!G42</f>
        <v>0</v>
      </c>
      <c r="R308" s="403" t="str">
        <f>IF(D308=0,"DELETE"," ")</f>
        <v>DELETE</v>
      </c>
    </row>
    <row r="309" spans="3:18" ht="31.5" customHeight="1" x14ac:dyDescent="0.45">
      <c r="C309" s="292"/>
    </row>
    <row r="310" spans="3:18" ht="31.5" customHeight="1" x14ac:dyDescent="0.45">
      <c r="C310" s="292"/>
      <c r="D310" s="400" t="str">
        <f>IF(Criteria!G47="Yes",Criteria!G48,"There have been no changes to the directorate during the period under review.")</f>
        <v>There have been no changes to the directorate during the period under review.</v>
      </c>
    </row>
    <row r="311" spans="3:18" ht="31.5" customHeight="1" x14ac:dyDescent="0.45"/>
    <row r="312" spans="3:18" ht="31.5" customHeight="1" x14ac:dyDescent="0.45">
      <c r="C312" s="292">
        <f>MAX(C$233:C311)+1</f>
        <v>8</v>
      </c>
      <c r="D312" s="417" t="s">
        <v>717</v>
      </c>
    </row>
    <row r="313" spans="3:18" ht="31.5" customHeight="1" x14ac:dyDescent="0.45">
      <c r="C313" s="292"/>
      <c r="D313" s="400" t="s">
        <v>1161</v>
      </c>
    </row>
    <row r="314" spans="3:18" ht="31.5" customHeight="1" x14ac:dyDescent="0.45">
      <c r="C314" s="292"/>
      <c r="D314" s="400" t="s">
        <v>1162</v>
      </c>
    </row>
    <row r="315" spans="3:18" ht="31.5" customHeight="1" x14ac:dyDescent="0.45">
      <c r="C315" s="292"/>
      <c r="D315" s="400" t="s">
        <v>1164</v>
      </c>
    </row>
    <row r="316" spans="3:18" ht="31.5" customHeight="1" x14ac:dyDescent="0.45">
      <c r="C316" s="292"/>
      <c r="D316" s="400" t="s">
        <v>1163</v>
      </c>
    </row>
    <row r="317" spans="3:18" ht="31.5" customHeight="1" x14ac:dyDescent="0.45"/>
    <row r="318" spans="3:18" ht="31.5" customHeight="1" x14ac:dyDescent="0.45">
      <c r="C318" s="292">
        <f>MAX(C$233:C317)+1</f>
        <v>9</v>
      </c>
      <c r="D318" s="417" t="s">
        <v>494</v>
      </c>
    </row>
    <row r="319" spans="3:18" ht="31.5" customHeight="1" x14ac:dyDescent="0.45">
      <c r="D319" s="400" t="str">
        <f>IF(Criteria!F97="No","No material fact or event that could have a major impact on the financial position of the group",Criteria!G99 )</f>
        <v>No material fact or event that could have a major impact on the financial position of the group</v>
      </c>
    </row>
    <row r="320" spans="3:18" ht="31.5" customHeight="1" x14ac:dyDescent="0.45">
      <c r="D320" s="400" t="str">
        <f>IF(Criteria!F97="No","or its results took place between the date of the Consolidated Financial Statements and the date",Criteria!G100)</f>
        <v>or its results took place between the date of the Consolidated Financial Statements and the date</v>
      </c>
    </row>
    <row r="321" spans="2:18" ht="31.5" customHeight="1" x14ac:dyDescent="0.45">
      <c r="D321" s="400" t="str">
        <f>IF(Criteria!F97="No","of approval thereof.",Criteria!G101)</f>
        <v>of approval thereof.</v>
      </c>
      <c r="R321" s="403" t="str">
        <f>IF(D321=" ","DELETE"," ")</f>
        <v xml:space="preserve"> </v>
      </c>
    </row>
    <row r="322" spans="2:18" ht="31.5" customHeight="1" x14ac:dyDescent="0.45">
      <c r="R322" s="403" t="str">
        <f>R323</f>
        <v>DELETE</v>
      </c>
    </row>
    <row r="323" spans="2:18" ht="31.5" customHeight="1" x14ac:dyDescent="0.45">
      <c r="B323" s="292"/>
      <c r="C323" s="292">
        <f>MAX(C$233:C322)+1</f>
        <v>10</v>
      </c>
      <c r="D323" s="417" t="s">
        <v>194</v>
      </c>
      <c r="R323" s="403" t="str">
        <f>R324</f>
        <v>DELETE</v>
      </c>
    </row>
    <row r="324" spans="2:18" ht="31.5" customHeight="1" x14ac:dyDescent="0.45">
      <c r="B324" s="292"/>
      <c r="C324" s="417"/>
      <c r="D324" s="400" t="str">
        <f>IF(Criteria!F103="No","No provision is being made for deferred taxation as there are no temporary differences between"," ")</f>
        <v xml:space="preserve"> </v>
      </c>
      <c r="R324" s="403" t="str">
        <f>IF(D324=" ","DELETE"," ")</f>
        <v>DELETE</v>
      </c>
    </row>
    <row r="325" spans="2:18" ht="31.5" customHeight="1" x14ac:dyDescent="0.45">
      <c r="B325" s="292"/>
      <c r="C325" s="417"/>
      <c r="D325" s="400" t="str">
        <f>IF(Criteria!F103="No","the tax bases of assets and liabilities and their carrying values for financial reporting purposes."," ")</f>
        <v xml:space="preserve"> </v>
      </c>
      <c r="R325" s="403" t="str">
        <f>IF(D325=" ","DELETE"," ")</f>
        <v>DELETE</v>
      </c>
    </row>
    <row r="326" spans="2:18" ht="31.5" customHeight="1" x14ac:dyDescent="0.45">
      <c r="R326" s="403" t="str">
        <f>R327</f>
        <v xml:space="preserve"> </v>
      </c>
    </row>
    <row r="327" spans="2:18" ht="31.5" customHeight="1" x14ac:dyDescent="0.45">
      <c r="C327" s="292">
        <f>MAX(C$233:C326)+1</f>
        <v>11</v>
      </c>
      <c r="D327" s="417" t="s">
        <v>93</v>
      </c>
      <c r="R327" s="403" t="str">
        <f>R328</f>
        <v xml:space="preserve"> </v>
      </c>
    </row>
    <row r="328" spans="2:18" ht="31.5" customHeight="1" x14ac:dyDescent="0.45">
      <c r="D328" s="297" t="str">
        <f>IF(Criteria!F105="No","As the group's cash flow is comprehensively disclosed in the Statement of Comprehensive"," ")</f>
        <v>As the group's cash flow is comprehensively disclosed in the Statement of Comprehensive</v>
      </c>
      <c r="E328" s="405"/>
      <c r="R328" s="403" t="str">
        <f>IF(D328=" ","DELETE"," ")</f>
        <v xml:space="preserve"> </v>
      </c>
    </row>
    <row r="329" spans="2:18" ht="31.5" customHeight="1" x14ac:dyDescent="0.45">
      <c r="D329" s="297" t="str">
        <f>IF(Criteria!F105="No","Income, a separate Cash Flow Statement is considered to be of no value and is therefore not"," ")</f>
        <v>Income, a separate Cash Flow Statement is considered to be of no value and is therefore not</v>
      </c>
      <c r="E329" s="405"/>
      <c r="R329" s="403" t="str">
        <f>IF(D329=" ","DELETE"," ")</f>
        <v xml:space="preserve"> </v>
      </c>
    </row>
    <row r="330" spans="2:18" ht="31.5" customHeight="1" x14ac:dyDescent="0.45">
      <c r="D330" s="297" t="str">
        <f>IF(Criteria!F105="No","presented."," ")</f>
        <v>presented.</v>
      </c>
      <c r="E330" s="405"/>
      <c r="R330" s="403" t="str">
        <f>IF(D330=" ","DELETE"," ")</f>
        <v xml:space="preserve"> </v>
      </c>
    </row>
    <row r="331" spans="2:18" ht="31.5" customHeight="1" x14ac:dyDescent="0.45">
      <c r="E331" s="405"/>
    </row>
    <row r="332" spans="2:18" ht="31.5" customHeight="1" x14ac:dyDescent="0.45"/>
    <row r="333" spans="2:18" ht="31.5" customHeight="1" x14ac:dyDescent="0.45"/>
    <row r="334" spans="2:18" ht="31.5" customHeight="1" x14ac:dyDescent="0.45"/>
    <row r="335" spans="2:18" ht="31.5" customHeight="1" x14ac:dyDescent="0.45"/>
    <row r="336" spans="2:18" ht="31.5" customHeight="1" x14ac:dyDescent="0.45"/>
    <row r="337" spans="4:18" ht="31.5" customHeight="1" x14ac:dyDescent="0.45"/>
    <row r="338" spans="4:18" ht="31.5" customHeight="1" x14ac:dyDescent="0.45"/>
    <row r="339" spans="4:18" ht="31.5" customHeight="1" x14ac:dyDescent="0.45"/>
    <row r="340" spans="4:18" ht="31.5" customHeight="1" x14ac:dyDescent="0.45"/>
    <row r="341" spans="4:18" ht="31.5" customHeight="1" x14ac:dyDescent="0.45"/>
    <row r="342" spans="4:18" ht="31.5" customHeight="1" x14ac:dyDescent="0.45"/>
    <row r="343" spans="4:18" ht="31.5" customHeight="1" x14ac:dyDescent="0.45"/>
    <row r="344" spans="4:18" ht="31.5" customHeight="1" x14ac:dyDescent="0.45"/>
    <row r="345" spans="4:18" ht="31.5" customHeight="1" x14ac:dyDescent="0.45"/>
    <row r="346" spans="4:18" ht="31.5" customHeight="1" x14ac:dyDescent="0.45"/>
    <row r="347" spans="4:18" ht="31.5" customHeight="1" x14ac:dyDescent="0.45">
      <c r="D347" s="417" t="str">
        <f>Criteria!E9</f>
        <v>HOLDING COMPANY 268 (PROPRIETARY) LIMITED</v>
      </c>
      <c r="O347" s="346" t="s">
        <v>96</v>
      </c>
      <c r="Q347" s="292">
        <f>MAX($Q$114:Q346)+1</f>
        <v>5</v>
      </c>
    </row>
    <row r="348" spans="4:18" ht="31.5" customHeight="1" x14ac:dyDescent="0.45">
      <c r="D348" s="417" t="str">
        <f>Criteria!E10</f>
        <v>CONSOLIDATED FINANCIAL STATEMENTS</v>
      </c>
      <c r="R348" s="403" t="str">
        <f>IF(D348=0,"DELETE"," ")</f>
        <v xml:space="preserve"> </v>
      </c>
    </row>
    <row r="349" spans="4:18" ht="31.5" customHeight="1" x14ac:dyDescent="0.45"/>
    <row r="350" spans="4:18" ht="31.5" customHeight="1" x14ac:dyDescent="0.45">
      <c r="D350" s="417" t="s">
        <v>1166</v>
      </c>
    </row>
    <row r="351" spans="4:18" ht="31.5" customHeight="1" x14ac:dyDescent="0.45">
      <c r="D351" s="417" t="str">
        <f>CONCATENATE("YEAR ENDED ",Criteria!E20)</f>
        <v>YEAR ENDED 29 FEBRUARY 2024</v>
      </c>
    </row>
    <row r="352" spans="4:18" ht="31.5" customHeight="1" x14ac:dyDescent="0.45">
      <c r="K352" s="429"/>
      <c r="L352" s="429"/>
      <c r="M352" s="432"/>
      <c r="N352" s="433"/>
      <c r="O352" s="432"/>
    </row>
    <row r="353" spans="2:26" ht="31.5" customHeight="1" x14ac:dyDescent="0.45">
      <c r="B353" s="438"/>
      <c r="C353" s="439"/>
      <c r="D353" s="439"/>
      <c r="E353" s="439"/>
      <c r="F353" s="439"/>
      <c r="G353" s="439"/>
      <c r="H353" s="439"/>
      <c r="I353" s="439"/>
      <c r="J353" s="439"/>
      <c r="K353" s="292"/>
      <c r="L353" s="292"/>
      <c r="M353" s="344"/>
      <c r="N353" s="294"/>
      <c r="O353" s="344"/>
      <c r="P353" s="303"/>
      <c r="Q353" s="440"/>
    </row>
    <row r="354" spans="2:26" ht="31.5" customHeight="1" x14ac:dyDescent="0.45">
      <c r="B354" s="441"/>
      <c r="K354" s="292" t="s">
        <v>104</v>
      </c>
      <c r="L354" s="292"/>
      <c r="M354" s="344">
        <f>Criteria!E22</f>
        <v>2024</v>
      </c>
      <c r="N354" s="294"/>
      <c r="O354" s="344">
        <f>Criteria!E27</f>
        <v>2023</v>
      </c>
      <c r="P354" s="294"/>
      <c r="Q354" s="442"/>
    </row>
    <row r="355" spans="2:26" ht="31.5" customHeight="1" x14ac:dyDescent="0.45">
      <c r="B355" s="441"/>
      <c r="K355" s="292"/>
      <c r="L355" s="292"/>
      <c r="M355" s="346"/>
      <c r="N355" s="295"/>
      <c r="O355" s="346"/>
      <c r="P355" s="295"/>
      <c r="Q355" s="442"/>
    </row>
    <row r="356" spans="2:26" ht="31.5" customHeight="1" x14ac:dyDescent="0.45">
      <c r="B356" s="441"/>
      <c r="D356" s="400" t="s">
        <v>112</v>
      </c>
      <c r="K356" s="292">
        <f>B807</f>
        <v>3</v>
      </c>
      <c r="L356" s="292"/>
      <c r="M356" s="347">
        <f>-SUM(TrialBalance!L4:L11)-SUM(TrialBalanceA!I4:I11)-SUM(TrialBalanceB!I4:I11)-SUM(TrialBalanceC!I4:I11)</f>
        <v>0</v>
      </c>
      <c r="N356" s="298"/>
      <c r="O356" s="347">
        <f>-SUM(TrialBalance!N4:N11)-SUM(TrialBalanceA!K4:K11)-SUM(TrialBalanceB!K4:K11)-SUM(TrialBalanceC!K4:K11)</f>
        <v>0</v>
      </c>
      <c r="P356" s="295"/>
      <c r="Q356" s="442"/>
      <c r="S356" s="380">
        <f>M356</f>
        <v>0</v>
      </c>
      <c r="T356" s="380"/>
      <c r="U356" s="380">
        <f>O356</f>
        <v>0</v>
      </c>
      <c r="V356" s="378" t="b">
        <f>M356=M817</f>
        <v>1</v>
      </c>
      <c r="X356" s="378" t="b">
        <f>O356=O817</f>
        <v>1</v>
      </c>
    </row>
    <row r="357" spans="2:26" ht="31.5" customHeight="1" x14ac:dyDescent="0.45">
      <c r="B357" s="441"/>
      <c r="K357" s="292"/>
      <c r="L357" s="292"/>
      <c r="M357" s="347"/>
      <c r="N357" s="298"/>
      <c r="O357" s="347"/>
      <c r="P357" s="295"/>
      <c r="Q357" s="442"/>
    </row>
    <row r="358" spans="2:26" ht="31.5" customHeight="1" x14ac:dyDescent="0.45">
      <c r="B358" s="441"/>
      <c r="D358" s="400" t="s">
        <v>113</v>
      </c>
      <c r="K358" s="292"/>
      <c r="L358" s="292"/>
      <c r="M358" s="348">
        <f>-SUM(TrialBalance!L12:L26)-SUM(TrialBalanceA!I12:I26)-SUM(TrialBalanceB!I12:I26)-SUM(TrialBalanceC!I12:I26)</f>
        <v>0</v>
      </c>
      <c r="N358" s="304"/>
      <c r="O358" s="348">
        <f>-SUM(TrialBalance!N12:N26)-SUM(TrialBalanceA!K12:K26)-SUM(TrialBalanceB!K12:K26)-SUM(TrialBalanceC!K12:K26)</f>
        <v>0</v>
      </c>
      <c r="P358" s="295"/>
      <c r="Q358" s="442"/>
      <c r="R358" s="403" t="str">
        <f>IF(M358=0,IF(O358=0,"DELETE"," ")," ")</f>
        <v>DELETE</v>
      </c>
      <c r="S358" s="380">
        <f>M358</f>
        <v>0</v>
      </c>
      <c r="T358" s="380"/>
      <c r="U358" s="380">
        <f>O358</f>
        <v>0</v>
      </c>
    </row>
    <row r="359" spans="2:26" ht="9" customHeight="1" x14ac:dyDescent="0.45">
      <c r="B359" s="441"/>
      <c r="K359" s="292"/>
      <c r="L359" s="292"/>
      <c r="M359" s="349"/>
      <c r="N359" s="300"/>
      <c r="O359" s="349"/>
      <c r="P359" s="295"/>
      <c r="Q359" s="442"/>
      <c r="R359" s="403" t="str">
        <f>R358</f>
        <v>DELETE</v>
      </c>
    </row>
    <row r="360" spans="2:26" ht="9" customHeight="1" x14ac:dyDescent="0.45">
      <c r="B360" s="441"/>
      <c r="K360" s="292"/>
      <c r="L360" s="292"/>
      <c r="M360" s="347"/>
      <c r="N360" s="298"/>
      <c r="O360" s="347"/>
      <c r="P360" s="295"/>
      <c r="Q360" s="442"/>
      <c r="R360" s="403" t="str">
        <f>R359</f>
        <v>DELETE</v>
      </c>
    </row>
    <row r="361" spans="2:26" ht="31.5" customHeight="1" x14ac:dyDescent="0.45">
      <c r="B361" s="441"/>
      <c r="D361" s="297" t="str">
        <f>IF((Y361+Z361)=3,"GROSS PROFIT/(LOSS)",(IF((Y361+Z361=4),"GROSS PROFIT","GROSS LOSS")))</f>
        <v>GROSS PROFIT</v>
      </c>
      <c r="J361" s="443"/>
      <c r="K361" s="305"/>
      <c r="L361" s="292"/>
      <c r="M361" s="347">
        <f>SUM(S356:S358)</f>
        <v>0</v>
      </c>
      <c r="N361" s="298"/>
      <c r="O361" s="347">
        <f>SUM(U356:U358)</f>
        <v>0</v>
      </c>
      <c r="P361" s="295"/>
      <c r="Q361" s="442"/>
      <c r="R361" s="403" t="str">
        <f>R360</f>
        <v>DELETE</v>
      </c>
      <c r="Y361" s="378">
        <f>IF(M361&lt;0,1,IF(M361=0,IF(O361&lt;0,1,2),2))</f>
        <v>2</v>
      </c>
      <c r="Z361" s="378">
        <f>IF(O361&lt;0,1,IF(O361=0,IF(M361&lt;0,1,2),2))</f>
        <v>2</v>
      </c>
    </row>
    <row r="362" spans="2:26" ht="31.5" customHeight="1" x14ac:dyDescent="0.45">
      <c r="B362" s="441"/>
      <c r="K362" s="292"/>
      <c r="L362" s="292"/>
      <c r="M362" s="347"/>
      <c r="N362" s="298"/>
      <c r="O362" s="347"/>
      <c r="P362" s="295"/>
      <c r="Q362" s="442"/>
      <c r="R362" s="403" t="str">
        <f>R361</f>
        <v>DELETE</v>
      </c>
    </row>
    <row r="363" spans="2:26" ht="31.5" customHeight="1" x14ac:dyDescent="0.45">
      <c r="B363" s="441"/>
      <c r="D363" s="400" t="s">
        <v>323</v>
      </c>
      <c r="K363" s="292">
        <f>B834</f>
        <v>4</v>
      </c>
      <c r="L363" s="292"/>
      <c r="M363" s="347">
        <f>-SUM(TrialBalance!L27:L33)-SUM(TrialBalanceA!I27:I33)-SUM(TrialBalanceB!I27:I33)-SUM(TrialBalanceC!I27:I33)</f>
        <v>0</v>
      </c>
      <c r="N363" s="298"/>
      <c r="O363" s="347">
        <f>-SUM(TrialBalance!N27:N33)-SUM(TrialBalanceA!K27:K33)-SUM(TrialBalanceB!K27:K33)-SUM(TrialBalanceC!K27:K33)</f>
        <v>0</v>
      </c>
      <c r="P363" s="295"/>
      <c r="Q363" s="442"/>
      <c r="R363" s="403" t="str">
        <f>IF(M363=0,IF(O363=0,"DELETE"," ")," ")</f>
        <v>DELETE</v>
      </c>
      <c r="S363" s="380">
        <f>M363</f>
        <v>0</v>
      </c>
      <c r="T363" s="380"/>
      <c r="U363" s="380">
        <f>O363</f>
        <v>0</v>
      </c>
      <c r="V363" s="378" t="b">
        <f>M363=M861</f>
        <v>1</v>
      </c>
      <c r="X363" s="378" t="b">
        <f>O363=O861</f>
        <v>1</v>
      </c>
    </row>
    <row r="364" spans="2:26" ht="31.5" customHeight="1" x14ac:dyDescent="0.45">
      <c r="B364" s="441"/>
      <c r="K364" s="292"/>
      <c r="L364" s="292"/>
      <c r="M364" s="347"/>
      <c r="N364" s="298"/>
      <c r="O364" s="347"/>
      <c r="P364" s="295"/>
      <c r="Q364" s="442"/>
      <c r="R364" s="403" t="str">
        <f>R363</f>
        <v>DELETE</v>
      </c>
    </row>
    <row r="365" spans="2:26" ht="31.5" customHeight="1" x14ac:dyDescent="0.45">
      <c r="B365" s="441"/>
      <c r="D365" s="400" t="s">
        <v>995</v>
      </c>
      <c r="K365" s="292"/>
      <c r="L365" s="292"/>
      <c r="M365" s="350">
        <f>-SUM(TrialBalance!L39:L81)-SUM(TrialBalanceA!I39:I81)-SUM(TrialBalanceB!I39:I81)-SUM(TrialBalanceC!I39:I81)</f>
        <v>0</v>
      </c>
      <c r="N365" s="302"/>
      <c r="O365" s="350">
        <f>-SUM(TrialBalance!N39:N81)-SUM(TrialBalanceA!K39:K81)-SUM(TrialBalanceB!K39:K81)-SUM(TrialBalanceC!K39:K81)</f>
        <v>0</v>
      </c>
      <c r="P365" s="295"/>
      <c r="Q365" s="442"/>
      <c r="R365" s="403" t="str">
        <f>IF(M365=0,IF(O365=0,"DELETE"," ")," ")</f>
        <v>DELETE</v>
      </c>
      <c r="S365" s="380">
        <f>M365</f>
        <v>0</v>
      </c>
      <c r="T365" s="380"/>
      <c r="U365" s="380">
        <f>O365</f>
        <v>0</v>
      </c>
    </row>
    <row r="366" spans="2:26" ht="31.5" customHeight="1" x14ac:dyDescent="0.45">
      <c r="B366" s="441"/>
      <c r="K366" s="292"/>
      <c r="L366" s="292"/>
      <c r="M366" s="347"/>
      <c r="N366" s="298"/>
      <c r="O366" s="347"/>
      <c r="P366" s="295"/>
      <c r="Q366" s="442"/>
      <c r="R366" s="403" t="str">
        <f>R365</f>
        <v>DELETE</v>
      </c>
    </row>
    <row r="367" spans="2:26" ht="31.5" customHeight="1" x14ac:dyDescent="0.45">
      <c r="B367" s="441"/>
      <c r="D367" s="400" t="s">
        <v>903</v>
      </c>
      <c r="K367" s="292"/>
      <c r="L367" s="292"/>
      <c r="M367" s="350">
        <f>-SUM(TrialBalance!L97:L139)-SUM(TrialBalance!L154:L155)-IF(TrialBalance!L93&lt;0,0,TrialBalance!L93)-SUM(TrialBalanceA!I97:I139)-SUM(TrialBalanceA!I154:I155)-IF(TrialBalanceA!I93&lt;0,0,TrialBalanceA!I93)-SUM(TrialBalanceB!I97:I139)-SUM(TrialBalanceB!I154:I155)-IF(TrialBalanceB!I93&lt;0,0,TrialBalanceB!I93)-SUM(TrialBalanceC!I97:I139)-SUM(TrialBalanceC!I154:I155)-IF(TrialBalanceC!I93&lt;0,0,TrialBalanceC!I93)</f>
        <v>0</v>
      </c>
      <c r="N367" s="302"/>
      <c r="O367" s="350">
        <f>-SUM(TrialBalance!N97:N139)-SUM(TrialBalance!N154:N155)-IF(TrialBalance!N93&lt;0,0,TrialBalance!N93)-SUM(TrialBalanceA!K97:K139)-SUM(TrialBalanceA!K154:K155)-IF(TrialBalanceA!K93&lt;0,0,TrialBalanceA!K93)-SUM(TrialBalanceB!K97:K139)-SUM(TrialBalanceB!K154:K155)-IF(TrialBalanceB!K93&lt;0,0,TrialBalanceB!K93)-SUM(TrialBalanceC!K97:K139)-SUM(TrialBalanceC!K154:K155)-IF(TrialBalanceC!K93&lt;0,0,TrialBalanceC!K93)</f>
        <v>0</v>
      </c>
      <c r="P367" s="295"/>
      <c r="Q367" s="442"/>
      <c r="R367" s="403" t="str">
        <f>IF(M367=0,IF(O367=0,"DELETE"," ")," ")</f>
        <v>DELETE</v>
      </c>
      <c r="S367" s="380">
        <f>M367</f>
        <v>0</v>
      </c>
      <c r="T367" s="380"/>
      <c r="U367" s="380">
        <f>O367</f>
        <v>0</v>
      </c>
    </row>
    <row r="368" spans="2:26" ht="31.5" customHeight="1" x14ac:dyDescent="0.45">
      <c r="B368" s="441"/>
      <c r="K368" s="292"/>
      <c r="L368" s="292"/>
      <c r="M368" s="347"/>
      <c r="N368" s="298"/>
      <c r="O368" s="347"/>
      <c r="P368" s="295"/>
      <c r="Q368" s="442"/>
      <c r="R368" s="403" t="str">
        <f>R367</f>
        <v>DELETE</v>
      </c>
    </row>
    <row r="369" spans="2:28" ht="9" customHeight="1" x14ac:dyDescent="0.45">
      <c r="B369" s="441"/>
      <c r="K369" s="292"/>
      <c r="L369" s="292"/>
      <c r="M369" s="349"/>
      <c r="N369" s="300"/>
      <c r="O369" s="349"/>
      <c r="P369" s="295"/>
      <c r="Q369" s="442"/>
      <c r="R369" s="403" t="str">
        <f>R371</f>
        <v>DELETE</v>
      </c>
    </row>
    <row r="370" spans="2:28" ht="9" customHeight="1" x14ac:dyDescent="0.45">
      <c r="B370" s="441"/>
      <c r="K370" s="292"/>
      <c r="L370" s="292"/>
      <c r="M370" s="347"/>
      <c r="N370" s="298"/>
      <c r="O370" s="347"/>
      <c r="P370" s="295"/>
      <c r="Q370" s="442"/>
      <c r="R370" s="403" t="str">
        <f>R371</f>
        <v>DELETE</v>
      </c>
    </row>
    <row r="371" spans="2:28" ht="31.5" customHeight="1" x14ac:dyDescent="0.45">
      <c r="B371" s="441"/>
      <c r="D371" s="297" t="str">
        <f>IF((Y371+Z371)=3,"OPERATING PROFIT/(LOSS)",(IF((Y371+Z371=4),"OPERATING PROFIT","OPERATING LOSS")))</f>
        <v>OPERATING PROFIT</v>
      </c>
      <c r="K371" s="292">
        <f>B878</f>
        <v>5</v>
      </c>
      <c r="L371" s="292"/>
      <c r="M371" s="347">
        <f>SUM(S356:S368)</f>
        <v>0</v>
      </c>
      <c r="N371" s="298"/>
      <c r="O371" s="347">
        <f>SUM(U356:U368)</f>
        <v>0</v>
      </c>
      <c r="P371" s="295"/>
      <c r="Q371" s="442"/>
      <c r="R371" s="403" t="str">
        <f>IF(M371=0,IF(O371=0,"DELETE"," ")," ")</f>
        <v>DELETE</v>
      </c>
      <c r="Y371" s="378">
        <f>IF(M371&lt;0,1,IF(M371=0,IF(O371&lt;0,1,2),2))</f>
        <v>2</v>
      </c>
      <c r="Z371" s="378">
        <f>IF(O371&lt;0,1,IF(O371=0,IF(M371&lt;0,1,2),2))</f>
        <v>2</v>
      </c>
      <c r="AB371" s="444"/>
    </row>
    <row r="372" spans="2:28" ht="31.5" customHeight="1" x14ac:dyDescent="0.45">
      <c r="B372" s="441"/>
      <c r="K372" s="292"/>
      <c r="L372" s="292"/>
      <c r="M372" s="347"/>
      <c r="N372" s="298"/>
      <c r="O372" s="347"/>
      <c r="P372" s="295"/>
      <c r="Q372" s="442"/>
      <c r="R372" s="403" t="str">
        <f>R371</f>
        <v>DELETE</v>
      </c>
    </row>
    <row r="373" spans="2:28" ht="31.5" customHeight="1" x14ac:dyDescent="0.45">
      <c r="B373" s="441"/>
      <c r="D373" s="400" t="s">
        <v>114</v>
      </c>
      <c r="K373" s="292">
        <f>B965</f>
        <v>6</v>
      </c>
      <c r="L373" s="292"/>
      <c r="M373" s="347">
        <f>-SUM(TrialBalance!L82:L92)-SUM(TrialBalance!L94:L96)+IF(TrialBalance!L93&lt;0,-TrialBalance!L93,0)-SUM(TrialBalanceA!I82:I92)-SUM(TrialBalanceA!I94:I96)+IF(TrialBalanceA!I93&lt;0,-TrialBalanceA!I93,0)-SUM(TrialBalanceB!I82:I92)-SUM(TrialBalanceB!I94:I96)+IF(TrialBalanceB!I93&lt;0,-TrialBalanceB!I93,0)-SUM(TrialBalanceC!I82:I92)-SUM(TrialBalanceC!I94:I96)+IF(TrialBalanceC!I93&lt;0,-TrialBalanceC!I93,0)</f>
        <v>0</v>
      </c>
      <c r="N373" s="298"/>
      <c r="O373" s="347">
        <f>-SUM(TrialBalance!N82:N92)-SUM(TrialBalance!N94:N96)+IF(TrialBalance!N93&lt;0,-TrialBalance!N93,0)-SUM(TrialBalanceA!K82:K92)-SUM(TrialBalanceA!K94:K96)+IF(TrialBalanceA!K93&lt;0,-TrialBalanceA!K93,0)-SUM(TrialBalanceB!K82:K92)-SUM(TrialBalanceB!K94:K96)+IF(TrialBalanceB!K93&lt;0,-TrialBalanceB!K93,0)-SUM(TrialBalanceC!K82:K92)-SUM(TrialBalanceC!K94:K96)+IF(TrialBalanceC!K93&lt;0,-TrialBalanceC!K93,0)</f>
        <v>0</v>
      </c>
      <c r="P373" s="295"/>
      <c r="Q373" s="442"/>
      <c r="R373" s="403" t="str">
        <f>IF(M373=0,IF(O373=0,"DELETE"," ")," ")</f>
        <v>DELETE</v>
      </c>
      <c r="S373" s="380">
        <f>M373</f>
        <v>0</v>
      </c>
      <c r="T373" s="380"/>
      <c r="U373" s="380">
        <f>O373</f>
        <v>0</v>
      </c>
      <c r="V373" s="378" t="b">
        <f>M373=M1007</f>
        <v>1</v>
      </c>
      <c r="X373" s="378" t="b">
        <f>O373=O1007</f>
        <v>1</v>
      </c>
    </row>
    <row r="374" spans="2:28" ht="31.5" customHeight="1" x14ac:dyDescent="0.45">
      <c r="B374" s="441"/>
      <c r="K374" s="292"/>
      <c r="L374" s="292"/>
      <c r="M374" s="347"/>
      <c r="N374" s="298"/>
      <c r="O374" s="347"/>
      <c r="P374" s="295"/>
      <c r="Q374" s="442"/>
      <c r="R374" s="403" t="str">
        <f>R373</f>
        <v>DELETE</v>
      </c>
    </row>
    <row r="375" spans="2:28" ht="31.5" customHeight="1" x14ac:dyDescent="0.45">
      <c r="B375" s="441"/>
      <c r="D375" s="400" t="s">
        <v>115</v>
      </c>
      <c r="K375" s="292">
        <f>B1024</f>
        <v>7</v>
      </c>
      <c r="L375" s="292"/>
      <c r="M375" s="350">
        <f>-SUM(TrialBalance!L140:L152)-SUM(TrialBalanceA!I140:I152)-SUM(TrialBalanceB!I140:I152)-SUM(TrialBalanceC!I140:I152)</f>
        <v>0</v>
      </c>
      <c r="N375" s="302"/>
      <c r="O375" s="350">
        <f>-SUM(TrialBalance!N140:N152)-SUM(TrialBalanceA!K140:K152)-SUM(TrialBalanceB!K140:K152)-SUM(TrialBalanceC!K140:K152)</f>
        <v>0</v>
      </c>
      <c r="P375" s="295"/>
      <c r="Q375" s="442"/>
      <c r="R375" s="403" t="str">
        <f>IF(M375=0,IF(O375=0,"DELETE"," ")," ")</f>
        <v>DELETE</v>
      </c>
      <c r="S375" s="380">
        <f>M375</f>
        <v>0</v>
      </c>
      <c r="T375" s="380"/>
      <c r="U375" s="380">
        <f>O375</f>
        <v>0</v>
      </c>
      <c r="V375" s="378" t="b">
        <f>-M375=M1071</f>
        <v>1</v>
      </c>
      <c r="X375" s="378" t="b">
        <f>-O375=O1071</f>
        <v>1</v>
      </c>
    </row>
    <row r="376" spans="2:28" ht="31.5" customHeight="1" x14ac:dyDescent="0.45">
      <c r="B376" s="441"/>
      <c r="K376" s="292"/>
      <c r="L376" s="292"/>
      <c r="M376" s="347"/>
      <c r="N376" s="298"/>
      <c r="O376" s="347"/>
      <c r="P376" s="295"/>
      <c r="Q376" s="442"/>
      <c r="R376" s="403" t="str">
        <f>R375</f>
        <v>DELETE</v>
      </c>
    </row>
    <row r="377" spans="2:28" ht="9" customHeight="1" x14ac:dyDescent="0.45">
      <c r="B377" s="441"/>
      <c r="K377" s="292"/>
      <c r="L377" s="292"/>
      <c r="M377" s="349"/>
      <c r="N377" s="300"/>
      <c r="O377" s="349"/>
      <c r="P377" s="295"/>
      <c r="Q377" s="442"/>
    </row>
    <row r="378" spans="2:28" ht="9" customHeight="1" x14ac:dyDescent="0.45">
      <c r="B378" s="441"/>
      <c r="K378" s="292"/>
      <c r="L378" s="292"/>
      <c r="M378" s="347"/>
      <c r="N378" s="298"/>
      <c r="O378" s="347"/>
      <c r="P378" s="295"/>
      <c r="Q378" s="442"/>
    </row>
    <row r="379" spans="2:28" ht="31.5" customHeight="1" x14ac:dyDescent="0.45">
      <c r="B379" s="441"/>
      <c r="D379" s="297" t="str">
        <f>IF((Y379+Z379)=3,"NET PROFIT/(LOSS) BEFORE TAXATION",(IF((Y379+Z379=4),"NET PROFIT BEFORE TAXATION","NET LOSS BEFORE TAXATION")))</f>
        <v>NET PROFIT BEFORE TAXATION</v>
      </c>
      <c r="K379" s="292"/>
      <c r="L379" s="292"/>
      <c r="M379" s="347">
        <f>SUM(S356:S376)</f>
        <v>0</v>
      </c>
      <c r="N379" s="298"/>
      <c r="O379" s="347">
        <f>SUM(U356:U376)</f>
        <v>0</v>
      </c>
      <c r="P379" s="295"/>
      <c r="Q379" s="442"/>
      <c r="Y379" s="378">
        <f>IF(M379&lt;0,1,IF(M379=0,IF(O379&lt;0,1,2),2))</f>
        <v>2</v>
      </c>
      <c r="Z379" s="378">
        <f>IF(O379&lt;0,1,IF(O379=0,IF(M379&lt;0,1,2),2))</f>
        <v>2</v>
      </c>
    </row>
    <row r="380" spans="2:28" ht="31.5" customHeight="1" x14ac:dyDescent="0.45">
      <c r="B380" s="441"/>
      <c r="K380" s="292"/>
      <c r="L380" s="292"/>
      <c r="M380" s="347"/>
      <c r="N380" s="298"/>
      <c r="O380" s="347"/>
      <c r="P380" s="295"/>
      <c r="Q380" s="442"/>
    </row>
    <row r="381" spans="2:28" ht="31.5" customHeight="1" x14ac:dyDescent="0.45">
      <c r="B381" s="441"/>
      <c r="D381" s="400" t="s">
        <v>116</v>
      </c>
      <c r="K381" s="292"/>
      <c r="L381" s="292"/>
      <c r="M381" s="350">
        <f>-SUM(TrialBalance!L156:L162)</f>
        <v>0</v>
      </c>
      <c r="N381" s="302"/>
      <c r="O381" s="350">
        <f>-SUM(TrialBalance!N156:N162)</f>
        <v>0</v>
      </c>
      <c r="P381" s="295"/>
      <c r="Q381" s="442"/>
    </row>
    <row r="382" spans="2:28" ht="9" customHeight="1" x14ac:dyDescent="0.45">
      <c r="B382" s="441"/>
      <c r="K382" s="292"/>
      <c r="L382" s="292"/>
      <c r="M382" s="349"/>
      <c r="N382" s="300"/>
      <c r="O382" s="349"/>
      <c r="P382" s="295"/>
      <c r="Q382" s="442"/>
      <c r="V382" s="381"/>
      <c r="W382" s="381"/>
      <c r="X382" s="381"/>
    </row>
    <row r="383" spans="2:28" ht="9" customHeight="1" x14ac:dyDescent="0.45">
      <c r="B383" s="441"/>
      <c r="K383" s="292"/>
      <c r="L383" s="292"/>
      <c r="M383" s="347"/>
      <c r="N383" s="298"/>
      <c r="O383" s="347"/>
      <c r="P383" s="295"/>
      <c r="Q383" s="442"/>
    </row>
    <row r="384" spans="2:28" ht="31.5" customHeight="1" x14ac:dyDescent="0.45">
      <c r="B384" s="441"/>
      <c r="D384" s="297" t="str">
        <f>IF((Y384+Z384)=3,"NET PROFIT/(LOSS) FOR THE YEAR AFTER TAXATION",(IF((Y384+Z384=4),"NET PROFIT FOR THE YEAR AFTER TAXATION","NET LOSS FOR THE YEAR AFTER TAXATION")))</f>
        <v>NET PROFIT FOR THE YEAR AFTER TAXATION</v>
      </c>
      <c r="K384" s="292"/>
      <c r="L384" s="292"/>
      <c r="M384" s="347">
        <f>SUM(M379:M382)</f>
        <v>0</v>
      </c>
      <c r="N384" s="298"/>
      <c r="O384" s="347">
        <f>SUM(O379:O382)</f>
        <v>0</v>
      </c>
      <c r="P384" s="295"/>
      <c r="Q384" s="442"/>
      <c r="V384" s="378" t="b">
        <f>M384=-SUM(TrialBalance!L5:L33)-SUM(TrialBalance!L39:L162)-SUM(TrialBalanceA!I5:I154)-SUM(TrialBalanceB!I5:I154)-SUM(TrialBalanceC!I5:I154)</f>
        <v>1</v>
      </c>
      <c r="X384" s="378" t="b">
        <f>O384=-SUM(TrialBalance!N5:N33)-SUM(TrialBalance!N39:N162)-SUM(TrialBalanceA!K5:K154)-SUM(TrialBalanceB!K5:K154)-SUM(TrialBalanceC!K5:K154)</f>
        <v>1</v>
      </c>
      <c r="Y384" s="378">
        <f>IF(M384&lt;0,1,IF(M384=0,IF(O384&lt;0,1,2),2))</f>
        <v>2</v>
      </c>
      <c r="Z384" s="378">
        <f>IF(O384&lt;0,1,IF(O384=0,IF(M384&lt;0,1,2),2))</f>
        <v>2</v>
      </c>
    </row>
    <row r="385" spans="2:24" ht="9" customHeight="1" thickBot="1" x14ac:dyDescent="0.5">
      <c r="B385" s="441"/>
      <c r="K385" s="292"/>
      <c r="L385" s="292"/>
      <c r="M385" s="351"/>
      <c r="N385" s="301"/>
      <c r="O385" s="351"/>
      <c r="P385" s="295"/>
      <c r="Q385" s="442"/>
    </row>
    <row r="386" spans="2:24" ht="9" customHeight="1" thickTop="1" x14ac:dyDescent="0.45">
      <c r="B386" s="441"/>
      <c r="K386" s="292"/>
      <c r="L386" s="292"/>
      <c r="M386" s="347"/>
      <c r="N386" s="298"/>
      <c r="O386" s="347"/>
      <c r="P386" s="295"/>
      <c r="Q386" s="442"/>
    </row>
    <row r="387" spans="2:24" ht="31.5" customHeight="1" x14ac:dyDescent="0.45">
      <c r="B387" s="441"/>
      <c r="K387" s="292"/>
      <c r="L387" s="292"/>
      <c r="M387" s="346"/>
      <c r="N387" s="295"/>
      <c r="O387" s="346"/>
      <c r="P387" s="295"/>
      <c r="Q387" s="442"/>
      <c r="V387" s="378" t="b">
        <f>M384=M2317</f>
        <v>1</v>
      </c>
      <c r="X387" s="378" t="b">
        <f>O384=O2317</f>
        <v>1</v>
      </c>
    </row>
    <row r="388" spans="2:24" ht="31.5" customHeight="1" x14ac:dyDescent="0.45">
      <c r="B388" s="441"/>
      <c r="K388" s="292"/>
      <c r="L388" s="292"/>
      <c r="M388" s="346"/>
      <c r="N388" s="295"/>
      <c r="O388" s="346"/>
      <c r="P388" s="295"/>
      <c r="Q388" s="442"/>
    </row>
    <row r="389" spans="2:24" ht="31.5" customHeight="1" x14ac:dyDescent="0.45">
      <c r="B389" s="441"/>
      <c r="K389" s="292"/>
      <c r="L389" s="292"/>
      <c r="M389" s="346"/>
      <c r="N389" s="295"/>
      <c r="O389" s="346"/>
      <c r="P389" s="295"/>
      <c r="Q389" s="442"/>
    </row>
    <row r="390" spans="2:24" ht="31.5" customHeight="1" x14ac:dyDescent="0.45">
      <c r="B390" s="441"/>
      <c r="K390" s="292"/>
      <c r="L390" s="292"/>
      <c r="M390" s="346"/>
      <c r="N390" s="295"/>
      <c r="O390" s="346"/>
      <c r="P390" s="295"/>
      <c r="Q390" s="442"/>
    </row>
    <row r="391" spans="2:24" ht="31.5" customHeight="1" x14ac:dyDescent="0.45">
      <c r="B391" s="441"/>
      <c r="K391" s="292"/>
      <c r="L391" s="292"/>
      <c r="M391" s="346"/>
      <c r="N391" s="295"/>
      <c r="O391" s="346"/>
      <c r="P391" s="295"/>
      <c r="Q391" s="442"/>
    </row>
    <row r="392" spans="2:24" ht="31.5" customHeight="1" x14ac:dyDescent="0.45">
      <c r="B392" s="441"/>
      <c r="K392" s="292"/>
      <c r="L392" s="292"/>
      <c r="M392" s="346"/>
      <c r="N392" s="295"/>
      <c r="O392" s="346"/>
      <c r="P392" s="295"/>
      <c r="Q392" s="442"/>
    </row>
    <row r="393" spans="2:24" ht="31.5" customHeight="1" x14ac:dyDescent="0.45">
      <c r="B393" s="441"/>
      <c r="K393" s="292"/>
      <c r="L393" s="292"/>
      <c r="M393" s="346"/>
      <c r="N393" s="295"/>
      <c r="O393" s="346"/>
      <c r="P393" s="295"/>
      <c r="Q393" s="442"/>
    </row>
    <row r="394" spans="2:24" ht="31.5" customHeight="1" x14ac:dyDescent="0.45">
      <c r="B394" s="441"/>
      <c r="K394" s="292"/>
      <c r="L394" s="292"/>
      <c r="M394" s="346"/>
      <c r="N394" s="295"/>
      <c r="O394" s="346"/>
      <c r="P394" s="295"/>
      <c r="Q394" s="442"/>
    </row>
    <row r="395" spans="2:24" ht="31.5" customHeight="1" x14ac:dyDescent="0.45">
      <c r="B395" s="441"/>
      <c r="K395" s="292"/>
      <c r="L395" s="292"/>
      <c r="M395" s="346"/>
      <c r="N395" s="295"/>
      <c r="O395" s="346"/>
      <c r="P395" s="295"/>
      <c r="Q395" s="442"/>
    </row>
    <row r="396" spans="2:24" ht="31.5" customHeight="1" x14ac:dyDescent="0.45">
      <c r="B396" s="441"/>
      <c r="K396" s="292"/>
      <c r="L396" s="292"/>
      <c r="M396" s="346"/>
      <c r="N396" s="295"/>
      <c r="O396" s="346"/>
      <c r="P396" s="295"/>
      <c r="Q396" s="442"/>
    </row>
    <row r="397" spans="2:24" ht="31.5" customHeight="1" x14ac:dyDescent="0.45">
      <c r="B397" s="441"/>
      <c r="K397" s="292"/>
      <c r="L397" s="292"/>
      <c r="M397" s="346"/>
      <c r="N397" s="295"/>
      <c r="O397" s="346"/>
      <c r="P397" s="295"/>
      <c r="Q397" s="442"/>
    </row>
    <row r="398" spans="2:24" ht="31.5" customHeight="1" x14ac:dyDescent="0.45">
      <c r="B398" s="441"/>
      <c r="K398" s="292"/>
      <c r="L398" s="292"/>
      <c r="M398" s="346"/>
      <c r="N398" s="295"/>
      <c r="O398" s="346"/>
      <c r="P398" s="295"/>
      <c r="Q398" s="442"/>
    </row>
    <row r="399" spans="2:24" ht="31.5" customHeight="1" x14ac:dyDescent="0.45">
      <c r="B399" s="441"/>
      <c r="K399" s="292"/>
      <c r="L399" s="292"/>
      <c r="M399" s="346"/>
      <c r="N399" s="295"/>
      <c r="O399" s="346"/>
      <c r="P399" s="295"/>
      <c r="Q399" s="442"/>
    </row>
    <row r="400" spans="2:24" ht="31.5" customHeight="1" x14ac:dyDescent="0.45">
      <c r="B400" s="441"/>
      <c r="K400" s="292"/>
      <c r="L400" s="292"/>
      <c r="M400" s="346"/>
      <c r="N400" s="295"/>
      <c r="O400" s="346"/>
      <c r="P400" s="295"/>
      <c r="Q400" s="442"/>
    </row>
    <row r="401" spans="2:24" ht="31.5" customHeight="1" x14ac:dyDescent="0.45">
      <c r="B401" s="441"/>
      <c r="K401" s="292"/>
      <c r="L401" s="292"/>
      <c r="M401" s="346"/>
      <c r="N401" s="295"/>
      <c r="O401" s="346"/>
      <c r="P401" s="295"/>
      <c r="Q401" s="442"/>
    </row>
    <row r="402" spans="2:24" ht="31.5" customHeight="1" x14ac:dyDescent="0.45">
      <c r="B402" s="441"/>
      <c r="K402" s="292"/>
      <c r="L402" s="292"/>
      <c r="M402" s="346"/>
      <c r="N402" s="295"/>
      <c r="O402" s="346"/>
      <c r="P402" s="295"/>
      <c r="Q402" s="442"/>
    </row>
    <row r="403" spans="2:24" ht="31.5" customHeight="1" x14ac:dyDescent="0.45">
      <c r="B403" s="441"/>
      <c r="K403" s="292"/>
      <c r="L403" s="292"/>
      <c r="M403" s="346"/>
      <c r="N403" s="295"/>
      <c r="O403" s="346"/>
      <c r="P403" s="295"/>
      <c r="Q403" s="442"/>
    </row>
    <row r="404" spans="2:24" ht="31.5" customHeight="1" x14ac:dyDescent="0.45">
      <c r="B404" s="441"/>
      <c r="K404" s="292"/>
      <c r="L404" s="292"/>
      <c r="M404" s="346"/>
      <c r="N404" s="295"/>
      <c r="O404" s="346"/>
      <c r="P404" s="295"/>
      <c r="Q404" s="442"/>
    </row>
    <row r="405" spans="2:24" ht="31.5" customHeight="1" x14ac:dyDescent="0.45">
      <c r="B405" s="441"/>
      <c r="K405" s="292"/>
      <c r="L405" s="292"/>
      <c r="M405" s="346"/>
      <c r="N405" s="295"/>
      <c r="O405" s="346"/>
      <c r="P405" s="295"/>
      <c r="Q405" s="442"/>
    </row>
    <row r="406" spans="2:24" ht="31.5" customHeight="1" x14ac:dyDescent="0.45">
      <c r="B406" s="441"/>
      <c r="K406" s="292"/>
      <c r="L406" s="292"/>
      <c r="M406" s="346"/>
      <c r="N406" s="295"/>
      <c r="O406" s="346"/>
      <c r="P406" s="295"/>
      <c r="Q406" s="442"/>
    </row>
    <row r="407" spans="2:24" ht="31.5" customHeight="1" x14ac:dyDescent="0.45">
      <c r="B407" s="445"/>
      <c r="C407" s="429"/>
      <c r="D407" s="429"/>
      <c r="E407" s="429"/>
      <c r="F407" s="429"/>
      <c r="G407" s="429"/>
      <c r="H407" s="429"/>
      <c r="I407" s="429"/>
      <c r="J407" s="429"/>
      <c r="K407" s="306"/>
      <c r="L407" s="306"/>
      <c r="M407" s="352"/>
      <c r="N407" s="307"/>
      <c r="O407" s="352"/>
      <c r="P407" s="307"/>
      <c r="Q407" s="446"/>
    </row>
    <row r="408" spans="2:24" ht="31.5" customHeight="1" x14ac:dyDescent="0.45"/>
    <row r="409" spans="2:24" ht="31.5" customHeight="1" x14ac:dyDescent="0.45"/>
    <row r="410" spans="2:24" ht="31.5" customHeight="1" x14ac:dyDescent="0.45">
      <c r="D410" s="417" t="str">
        <f>Criteria!E9</f>
        <v>HOLDING COMPANY 268 (PROPRIETARY) LIMITED</v>
      </c>
      <c r="O410" s="346" t="s">
        <v>96</v>
      </c>
      <c r="Q410" s="292">
        <f>MAX($Q$114:Q409)+1</f>
        <v>6</v>
      </c>
      <c r="S410" s="382"/>
      <c r="T410" s="382"/>
      <c r="U410" s="382"/>
      <c r="V410" s="382"/>
      <c r="W410" s="382"/>
      <c r="X410" s="382"/>
    </row>
    <row r="411" spans="2:24" ht="31.5" customHeight="1" x14ac:dyDescent="0.45">
      <c r="D411" s="417" t="str">
        <f>Criteria!E10</f>
        <v>CONSOLIDATED FINANCIAL STATEMENTS</v>
      </c>
      <c r="R411" s="403" t="str">
        <f>IF(D411=0,"DELETE"," ")</f>
        <v xml:space="preserve"> </v>
      </c>
      <c r="S411" s="382"/>
      <c r="T411" s="382"/>
      <c r="U411" s="382"/>
      <c r="V411" s="382"/>
      <c r="W411" s="382"/>
      <c r="X411" s="382"/>
    </row>
    <row r="412" spans="2:24" ht="31.5" customHeight="1" x14ac:dyDescent="0.45">
      <c r="S412" s="382"/>
      <c r="T412" s="382"/>
      <c r="U412" s="382"/>
      <c r="V412" s="382"/>
      <c r="W412" s="382"/>
      <c r="X412" s="382"/>
    </row>
    <row r="413" spans="2:24" ht="31.5" customHeight="1" x14ac:dyDescent="0.45">
      <c r="D413" s="417" t="str">
        <f>CONCATENATE("CONSOLIDATED STATEMENT OF FINANCIAL POSITION AS AT ",Criteria!E20)</f>
        <v>CONSOLIDATED STATEMENT OF FINANCIAL POSITION AS AT 29 FEBRUARY 2024</v>
      </c>
      <c r="H413" s="417"/>
    </row>
    <row r="414" spans="2:24" ht="31.5" customHeight="1" x14ac:dyDescent="0.45"/>
    <row r="415" spans="2:24" ht="31.5" customHeight="1" x14ac:dyDescent="0.45">
      <c r="B415" s="438"/>
      <c r="C415" s="439"/>
      <c r="D415" s="439"/>
      <c r="E415" s="439"/>
      <c r="F415" s="439"/>
      <c r="G415" s="439"/>
      <c r="H415" s="439"/>
      <c r="I415" s="439"/>
      <c r="J415" s="439"/>
      <c r="K415" s="439"/>
      <c r="L415" s="439"/>
      <c r="M415" s="447"/>
      <c r="N415" s="448"/>
      <c r="O415" s="447"/>
      <c r="P415" s="448"/>
      <c r="Q415" s="440"/>
    </row>
    <row r="416" spans="2:24" ht="31.5" customHeight="1" x14ac:dyDescent="0.45">
      <c r="B416" s="441"/>
      <c r="K416" s="292" t="s">
        <v>104</v>
      </c>
      <c r="L416" s="292"/>
      <c r="M416" s="344">
        <f>Criteria!E22</f>
        <v>2024</v>
      </c>
      <c r="N416" s="294"/>
      <c r="O416" s="344">
        <f>Criteria!E27</f>
        <v>2023</v>
      </c>
      <c r="P416" s="294"/>
      <c r="Q416" s="442"/>
    </row>
    <row r="417" spans="2:27" ht="31.5" customHeight="1" x14ac:dyDescent="0.45">
      <c r="B417" s="441"/>
      <c r="K417" s="292"/>
      <c r="L417" s="292"/>
      <c r="M417" s="346"/>
      <c r="N417" s="295"/>
      <c r="O417" s="346"/>
      <c r="P417" s="295"/>
      <c r="Q417" s="442"/>
    </row>
    <row r="418" spans="2:27" ht="31.5" customHeight="1" x14ac:dyDescent="0.45">
      <c r="B418" s="441"/>
      <c r="C418" s="417" t="s">
        <v>105</v>
      </c>
      <c r="K418" s="292"/>
      <c r="L418" s="292"/>
      <c r="M418" s="346"/>
      <c r="N418" s="295"/>
      <c r="O418" s="346"/>
      <c r="P418" s="295"/>
      <c r="Q418" s="442"/>
    </row>
    <row r="419" spans="2:27" ht="31.5" customHeight="1" x14ac:dyDescent="0.45">
      <c r="B419" s="441"/>
      <c r="C419" s="417"/>
      <c r="K419" s="292"/>
      <c r="L419" s="292"/>
      <c r="M419" s="346"/>
      <c r="N419" s="295"/>
      <c r="O419" s="346"/>
      <c r="P419" s="295"/>
      <c r="Q419" s="442"/>
    </row>
    <row r="420" spans="2:27" ht="31.5" customHeight="1" x14ac:dyDescent="0.45">
      <c r="B420" s="441"/>
      <c r="D420" s="400" t="s">
        <v>13</v>
      </c>
      <c r="K420" s="292"/>
      <c r="L420" s="292"/>
      <c r="M420" s="347">
        <f>SUM(M422:M432)</f>
        <v>0</v>
      </c>
      <c r="N420" s="298"/>
      <c r="O420" s="347">
        <f>SUM(O423:P432)</f>
        <v>0</v>
      </c>
      <c r="P420" s="295"/>
      <c r="Q420" s="442"/>
      <c r="R420" s="403" t="str">
        <f>IF(M420=0,IF(O420=0,"DELETE"," ")," ")</f>
        <v>DELETE</v>
      </c>
      <c r="S420" s="380">
        <f>M420</f>
        <v>0</v>
      </c>
      <c r="T420" s="380"/>
      <c r="U420" s="380">
        <f>O420</f>
        <v>0</v>
      </c>
      <c r="V420" s="380"/>
      <c r="W420" s="380"/>
      <c r="X420" s="380"/>
    </row>
    <row r="421" spans="2:27" ht="9" customHeight="1" x14ac:dyDescent="0.45">
      <c r="B421" s="441"/>
      <c r="D421" s="417"/>
      <c r="K421" s="292"/>
      <c r="L421" s="292"/>
      <c r="M421" s="347"/>
      <c r="N421" s="298"/>
      <c r="O421" s="347"/>
      <c r="P421" s="295"/>
      <c r="Q421" s="442"/>
      <c r="R421" s="403" t="str">
        <f>R420</f>
        <v>DELETE</v>
      </c>
    </row>
    <row r="422" spans="2:27" ht="9" customHeight="1" x14ac:dyDescent="0.45">
      <c r="B422" s="441"/>
      <c r="D422" s="417"/>
      <c r="K422" s="292"/>
      <c r="L422" s="292"/>
      <c r="M422" s="353"/>
      <c r="N422" s="299"/>
      <c r="O422" s="366"/>
      <c r="P422" s="295"/>
      <c r="Q422" s="442"/>
      <c r="R422" s="403" t="str">
        <f>R420</f>
        <v>DELETE</v>
      </c>
    </row>
    <row r="423" spans="2:27" ht="31.5" customHeight="1" x14ac:dyDescent="0.45">
      <c r="B423" s="441"/>
      <c r="D423" s="400" t="s">
        <v>959</v>
      </c>
      <c r="K423" s="292">
        <f>B1088</f>
        <v>8</v>
      </c>
      <c r="L423" s="292"/>
      <c r="M423" s="354">
        <f>SUM(TrialBalance!L228:L238)</f>
        <v>0</v>
      </c>
      <c r="N423" s="298"/>
      <c r="O423" s="367">
        <f>SUM(TrialBalance!N228:N238)</f>
        <v>0</v>
      </c>
      <c r="P423" s="295"/>
      <c r="Q423" s="442"/>
      <c r="R423" s="403" t="str">
        <f t="shared" ref="R423:R430" si="2">IF(M423=0,IF(O423=0,"DELETE"," ")," ")</f>
        <v>DELETE</v>
      </c>
      <c r="V423" s="378" t="b">
        <f>M423=M1118</f>
        <v>1</v>
      </c>
      <c r="X423" s="378" t="b">
        <f>O423=O1118</f>
        <v>1</v>
      </c>
    </row>
    <row r="424" spans="2:27" ht="31.5" customHeight="1" x14ac:dyDescent="0.45">
      <c r="B424" s="441"/>
      <c r="D424" s="400" t="s">
        <v>730</v>
      </c>
      <c r="K424" s="292">
        <f>B1198</f>
        <v>9</v>
      </c>
      <c r="L424" s="292"/>
      <c r="M424" s="354">
        <f>SUM(TrialBalance!L250:L281)</f>
        <v>0</v>
      </c>
      <c r="N424" s="298"/>
      <c r="O424" s="367">
        <f>SUM(TrialBalance!N250:N281)</f>
        <v>0</v>
      </c>
      <c r="P424" s="295"/>
      <c r="Q424" s="442"/>
      <c r="R424" s="403" t="str">
        <f t="shared" si="2"/>
        <v>DELETE</v>
      </c>
      <c r="V424" s="383" t="b">
        <f>M424=O1245</f>
        <v>1</v>
      </c>
      <c r="W424" s="383"/>
      <c r="X424" s="383" t="b">
        <f>O424=O1223</f>
        <v>1</v>
      </c>
      <c r="AA424" s="383"/>
    </row>
    <row r="425" spans="2:27" ht="31.5" customHeight="1" x14ac:dyDescent="0.45">
      <c r="B425" s="441"/>
      <c r="D425" s="400" t="s">
        <v>1078</v>
      </c>
      <c r="K425" s="292">
        <f>B1296</f>
        <v>10</v>
      </c>
      <c r="L425" s="292"/>
      <c r="M425" s="354">
        <f>SUM(TrialBalance!L239:L249)</f>
        <v>0</v>
      </c>
      <c r="N425" s="298"/>
      <c r="O425" s="367">
        <f>SUM(TrialBalance!N239:N249)</f>
        <v>0</v>
      </c>
      <c r="P425" s="295"/>
      <c r="Q425" s="442"/>
      <c r="R425" s="403" t="str">
        <f t="shared" si="2"/>
        <v>DELETE</v>
      </c>
      <c r="V425" s="383" t="b">
        <f>M425=M1326</f>
        <v>1</v>
      </c>
      <c r="W425" s="383"/>
      <c r="X425" s="383" t="b">
        <f>O425=O1326</f>
        <v>1</v>
      </c>
      <c r="AA425" s="383"/>
    </row>
    <row r="426" spans="2:27" ht="31.5" customHeight="1" x14ac:dyDescent="0.45">
      <c r="B426" s="441"/>
      <c r="D426" s="400" t="s">
        <v>1063</v>
      </c>
      <c r="K426" s="292">
        <f>B1408</f>
        <v>11</v>
      </c>
      <c r="L426" s="292"/>
      <c r="M426" s="354">
        <f>SUM(TrialBalance!L284:L300)</f>
        <v>0</v>
      </c>
      <c r="N426" s="298"/>
      <c r="O426" s="367">
        <f>SUM(TrialBalance!N284:N300)</f>
        <v>0</v>
      </c>
      <c r="P426" s="295"/>
      <c r="Q426" s="442"/>
      <c r="R426" s="403" t="str">
        <f t="shared" si="2"/>
        <v>DELETE</v>
      </c>
      <c r="V426" s="383" t="b">
        <f>M426=M1473</f>
        <v>1</v>
      </c>
      <c r="W426" s="383"/>
      <c r="X426" s="383" t="b">
        <f>O426=O1473</f>
        <v>1</v>
      </c>
      <c r="AA426" s="383"/>
    </row>
    <row r="427" spans="2:27" ht="31.5" customHeight="1" x14ac:dyDescent="0.45">
      <c r="B427" s="441"/>
      <c r="D427" s="400" t="str">
        <f>IF(COUNTIF(TrialBalance!L303:L305,"&gt;0")&gt;1,"Investments in associates",IF(COUNTIF(TrialBalance!N303:N305,"&gt;0")&gt;1,"Investments in associates","Investment in associate"))</f>
        <v>Investment in associate</v>
      </c>
      <c r="K427" s="292">
        <f>B1490</f>
        <v>12</v>
      </c>
      <c r="L427" s="292"/>
      <c r="M427" s="354">
        <f>SUM(TrialBalance!L303:L305)</f>
        <v>0</v>
      </c>
      <c r="N427" s="298"/>
      <c r="O427" s="367">
        <f>SUM(TrialBalance!N303:N305)</f>
        <v>0</v>
      </c>
      <c r="P427" s="295"/>
      <c r="Q427" s="442"/>
      <c r="R427" s="403" t="str">
        <f t="shared" si="2"/>
        <v>DELETE</v>
      </c>
      <c r="V427" s="383" t="b">
        <f>M427=M1496</f>
        <v>1</v>
      </c>
      <c r="W427" s="383"/>
      <c r="X427" s="383" t="b">
        <f>O427=O1496</f>
        <v>1</v>
      </c>
      <c r="AA427" s="383"/>
    </row>
    <row r="428" spans="2:27" ht="31.5" customHeight="1" x14ac:dyDescent="0.45">
      <c r="B428" s="441"/>
      <c r="D428" s="400" t="str">
        <f>IF(COUNTIF(TrialBalance!L307:L311,"&gt;0")&gt;1,"Listed investments",IF(COUNTIF(TrialBalance!N307:N311,"&gt;0")&gt;1,"Listed investments","Listed investment"))</f>
        <v>Listed investment</v>
      </c>
      <c r="K428" s="292">
        <f>B1514</f>
        <v>13</v>
      </c>
      <c r="L428" s="292"/>
      <c r="M428" s="354">
        <f>SUM(TrialBalance!L307:L311)</f>
        <v>0</v>
      </c>
      <c r="N428" s="298"/>
      <c r="O428" s="367">
        <f>SUM(TrialBalance!N307:N311)</f>
        <v>0</v>
      </c>
      <c r="P428" s="295"/>
      <c r="Q428" s="442"/>
      <c r="R428" s="403" t="str">
        <f t="shared" si="2"/>
        <v>DELETE</v>
      </c>
      <c r="V428" s="383" t="b">
        <f>M428=M1522</f>
        <v>1</v>
      </c>
      <c r="W428" s="383"/>
      <c r="X428" s="383" t="b">
        <f>O428=O1522</f>
        <v>1</v>
      </c>
      <c r="AA428" s="383"/>
    </row>
    <row r="429" spans="2:27" ht="31.5" customHeight="1" x14ac:dyDescent="0.45">
      <c r="B429" s="441"/>
      <c r="D429" s="400" t="str">
        <f>IF(COUNTIF(TrialBalance!L313:L317,"&gt;0")&gt;1,"Other investments",IF(COUNTIF(TrialBalance!N313:N317,"&gt;0")&gt;1,"Other investments","Other investment"))</f>
        <v>Other investment</v>
      </c>
      <c r="K429" s="292">
        <f>B1545</f>
        <v>14</v>
      </c>
      <c r="L429" s="292"/>
      <c r="M429" s="354">
        <f>SUM(TrialBalance!L313:L317)</f>
        <v>0</v>
      </c>
      <c r="N429" s="298"/>
      <c r="O429" s="367">
        <f>SUM(TrialBalance!N313:N317)</f>
        <v>0</v>
      </c>
      <c r="P429" s="295"/>
      <c r="Q429" s="442"/>
      <c r="R429" s="403" t="str">
        <f t="shared" si="2"/>
        <v>DELETE</v>
      </c>
      <c r="V429" s="383" t="b">
        <f>M429=M1553</f>
        <v>1</v>
      </c>
      <c r="W429" s="383"/>
      <c r="X429" s="383" t="b">
        <f>O429=O1553</f>
        <v>1</v>
      </c>
      <c r="AA429" s="383"/>
    </row>
    <row r="430" spans="2:27" ht="31.5" customHeight="1" x14ac:dyDescent="0.45">
      <c r="B430" s="441"/>
      <c r="D430" s="400" t="str">
        <f>IF(COUNTIF(TrialBalance!L318:L352,"&gt;0")&gt;1,"Non - current receivables",IF(COUNTIF(TrialBalance!N318:N352,"&gt;0")&gt;1,"Non - current receivables","Non - current receivable"))</f>
        <v>Non - current receivable</v>
      </c>
      <c r="K430" s="292">
        <f>B1576</f>
        <v>15</v>
      </c>
      <c r="L430" s="292"/>
      <c r="M430" s="354">
        <f>SUM(TrialBalance!L318:L352)</f>
        <v>0</v>
      </c>
      <c r="N430" s="298"/>
      <c r="O430" s="367">
        <f>SUM(TrialBalance!N318:N352)</f>
        <v>0</v>
      </c>
      <c r="P430" s="295"/>
      <c r="Q430" s="442"/>
      <c r="R430" s="403" t="str">
        <f t="shared" si="2"/>
        <v>DELETE</v>
      </c>
      <c r="V430" s="383" t="b">
        <f>M430=M1617</f>
        <v>1</v>
      </c>
      <c r="W430" s="383"/>
      <c r="X430" s="383" t="b">
        <f>O430=O1617</f>
        <v>1</v>
      </c>
    </row>
    <row r="431" spans="2:27" ht="31.5" customHeight="1" x14ac:dyDescent="0.45">
      <c r="B431" s="441"/>
      <c r="D431" s="400" t="s">
        <v>549</v>
      </c>
      <c r="K431" s="292">
        <f>B1874</f>
        <v>24</v>
      </c>
      <c r="L431" s="292"/>
      <c r="M431" s="354">
        <f>IF(SUM(TrialBalance!L220:L227)&gt;0,SUM(TrialBalance!L220:L227),0)</f>
        <v>0</v>
      </c>
      <c r="N431" s="298"/>
      <c r="O431" s="367">
        <f>IF(SUM(TrialBalance!N220:N227)&gt;0,SUM(TrialBalance!N220:N227),0)</f>
        <v>0</v>
      </c>
      <c r="P431" s="295"/>
      <c r="Q431" s="442"/>
      <c r="R431" s="403" t="str">
        <f>IF(M431=0,IF(O431=0,"DELETE"," ")," ")</f>
        <v>DELETE</v>
      </c>
      <c r="V431" s="383" t="str">
        <f>IF(M431=0,"TRUE",M431=-M1916)</f>
        <v>TRUE</v>
      </c>
      <c r="W431" s="383"/>
      <c r="X431" s="383" t="str">
        <f>IF(O431=0,"TRUE",O431=-O1916)</f>
        <v>TRUE</v>
      </c>
    </row>
    <row r="432" spans="2:27" ht="9" customHeight="1" x14ac:dyDescent="0.45">
      <c r="B432" s="441"/>
      <c r="K432" s="292"/>
      <c r="L432" s="292"/>
      <c r="M432" s="355"/>
      <c r="N432" s="300"/>
      <c r="O432" s="368"/>
      <c r="P432" s="295"/>
      <c r="Q432" s="442"/>
      <c r="R432" s="403" t="str">
        <f>R420</f>
        <v>DELETE</v>
      </c>
    </row>
    <row r="433" spans="2:27" ht="9" customHeight="1" x14ac:dyDescent="0.45">
      <c r="B433" s="441"/>
      <c r="K433" s="292"/>
      <c r="L433" s="292"/>
      <c r="M433" s="347"/>
      <c r="N433" s="298"/>
      <c r="O433" s="347"/>
      <c r="P433" s="295"/>
      <c r="Q433" s="442"/>
      <c r="R433" s="403" t="str">
        <f>R420</f>
        <v>DELETE</v>
      </c>
    </row>
    <row r="434" spans="2:27" ht="31.5" customHeight="1" x14ac:dyDescent="0.45">
      <c r="B434" s="441"/>
      <c r="K434" s="292"/>
      <c r="L434" s="292"/>
      <c r="M434" s="347"/>
      <c r="N434" s="298"/>
      <c r="O434" s="347"/>
      <c r="P434" s="295"/>
      <c r="Q434" s="442"/>
      <c r="R434" s="403" t="str">
        <f>R420</f>
        <v>DELETE</v>
      </c>
    </row>
    <row r="435" spans="2:27" ht="31.5" customHeight="1" x14ac:dyDescent="0.45">
      <c r="B435" s="441"/>
      <c r="D435" s="400" t="s">
        <v>14</v>
      </c>
      <c r="K435" s="292"/>
      <c r="L435" s="292"/>
      <c r="M435" s="347">
        <f>SUM(M438:M442)</f>
        <v>0</v>
      </c>
      <c r="N435" s="298"/>
      <c r="O435" s="347">
        <f>SUM(O438:O442)</f>
        <v>0</v>
      </c>
      <c r="P435" s="295"/>
      <c r="Q435" s="442"/>
      <c r="R435" s="403" t="str">
        <f>IF(M435=0,IF(O435=0,"DELETE"," ")," ")</f>
        <v>DELETE</v>
      </c>
      <c r="S435" s="380">
        <f>M435</f>
        <v>0</v>
      </c>
      <c r="T435" s="380"/>
      <c r="U435" s="380">
        <f>O435</f>
        <v>0</v>
      </c>
      <c r="V435" s="380"/>
      <c r="W435" s="380"/>
      <c r="X435" s="380"/>
    </row>
    <row r="436" spans="2:27" ht="9" customHeight="1" x14ac:dyDescent="0.45">
      <c r="B436" s="441"/>
      <c r="K436" s="292"/>
      <c r="L436" s="292"/>
      <c r="M436" s="347"/>
      <c r="N436" s="298"/>
      <c r="O436" s="347"/>
      <c r="P436" s="295"/>
      <c r="Q436" s="442"/>
      <c r="R436" s="403" t="str">
        <f>R435</f>
        <v>DELETE</v>
      </c>
    </row>
    <row r="437" spans="2:27" ht="9" customHeight="1" x14ac:dyDescent="0.45">
      <c r="B437" s="441"/>
      <c r="K437" s="292"/>
      <c r="L437" s="292"/>
      <c r="M437" s="353"/>
      <c r="N437" s="299"/>
      <c r="O437" s="366"/>
      <c r="P437" s="295"/>
      <c r="Q437" s="442"/>
      <c r="R437" s="403" t="str">
        <f>R435</f>
        <v>DELETE</v>
      </c>
    </row>
    <row r="438" spans="2:27" ht="31.5" customHeight="1" x14ac:dyDescent="0.45">
      <c r="B438" s="441"/>
      <c r="D438" s="400" t="s">
        <v>914</v>
      </c>
      <c r="K438" s="292">
        <f>B1634</f>
        <v>16</v>
      </c>
      <c r="L438" s="292"/>
      <c r="M438" s="354">
        <f>SUM(TrialBalance!L354:L357)</f>
        <v>0</v>
      </c>
      <c r="N438" s="298"/>
      <c r="O438" s="367">
        <f>SUM(TrialBalance!N354:N357)</f>
        <v>0</v>
      </c>
      <c r="P438" s="295"/>
      <c r="Q438" s="442"/>
      <c r="R438" s="403" t="str">
        <f>IF(M438=0,IF(O438=0,"DELETE"," ")," ")</f>
        <v>DELETE</v>
      </c>
      <c r="V438" s="383" t="b">
        <f>M438=M1642</f>
        <v>1</v>
      </c>
      <c r="W438" s="383"/>
      <c r="X438" s="383" t="b">
        <f>O438=O1642</f>
        <v>1</v>
      </c>
      <c r="AA438" s="383"/>
    </row>
    <row r="439" spans="2:27" ht="31.5" customHeight="1" x14ac:dyDescent="0.45">
      <c r="B439" s="441"/>
      <c r="D439" s="400" t="s">
        <v>724</v>
      </c>
      <c r="K439" s="292">
        <f>B1659</f>
        <v>17</v>
      </c>
      <c r="L439" s="292"/>
      <c r="M439" s="354">
        <f>SUM(TrialBalance!L359:L364)+IF(TrialBalance!L398&gt;0,TrialBalance!L398,0)</f>
        <v>0</v>
      </c>
      <c r="N439" s="298"/>
      <c r="O439" s="367">
        <f>SUM(TrialBalance!N359:N364)+IF(TrialBalance!N398&gt;0,TrialBalance!N398,0)</f>
        <v>0</v>
      </c>
      <c r="P439" s="295"/>
      <c r="Q439" s="442"/>
      <c r="R439" s="403" t="str">
        <f>IF(M439=0,IF(O439=0,"DELETE"," ")," ")</f>
        <v>DELETE</v>
      </c>
      <c r="V439" s="383" t="b">
        <f>M439=M1672</f>
        <v>1</v>
      </c>
      <c r="W439" s="383"/>
      <c r="X439" s="383" t="b">
        <f>O439=O1672</f>
        <v>1</v>
      </c>
    </row>
    <row r="440" spans="2:27" ht="31.5" customHeight="1" x14ac:dyDescent="0.45">
      <c r="B440" s="441"/>
      <c r="D440" s="400" t="s">
        <v>687</v>
      </c>
      <c r="K440" s="292">
        <f>B1690</f>
        <v>18</v>
      </c>
      <c r="L440" s="292"/>
      <c r="M440" s="354">
        <f>TrialBalance!L372+IF(TrialBalance!L366&gt;0,TrialBalance!L366,0)+IF(TrialBalance!L367&gt;0,TrialBalance!L367,0)+IF(TrialBalance!L368&gt;0,TrialBalance!L368,0)+IF(TrialBalance!L369&gt;0,TrialBalance!L369,0)+IF(TrialBalance!L370&gt;0,TrialBalance!L370,0)+IF(TrialBalance!L371&gt;0,TrialBalance!L371,0)</f>
        <v>0</v>
      </c>
      <c r="N440" s="298"/>
      <c r="O440" s="367">
        <f>TrialBalance!N372+IF(TrialBalance!N366&gt;0,TrialBalance!N366,0)+IF(TrialBalance!N367&gt;0,TrialBalance!N367,0)+IF(TrialBalance!N368&gt;0,TrialBalance!N368,0)+IF(TrialBalance!N369&gt;0,TrialBalance!N369,0)+IF(TrialBalance!N370&gt;0,TrialBalance!N370,0)+IF(TrialBalance!N371&gt;0,TrialBalance!N371,0)</f>
        <v>0</v>
      </c>
      <c r="P440" s="295"/>
      <c r="Q440" s="442"/>
      <c r="R440" s="403" t="str">
        <f>IF(M440=0,IF(O440=0,"DELETE"," ")," ")</f>
        <v>DELETE</v>
      </c>
      <c r="V440" s="383" t="b">
        <f>M440=M1700</f>
        <v>1</v>
      </c>
      <c r="W440" s="383"/>
      <c r="X440" s="383" t="b">
        <f>O440=O1700</f>
        <v>1</v>
      </c>
    </row>
    <row r="441" spans="2:27" ht="31.5" customHeight="1" x14ac:dyDescent="0.45">
      <c r="B441" s="441"/>
      <c r="D441" s="400" t="s">
        <v>657</v>
      </c>
      <c r="K441" s="292">
        <f>B2038</f>
        <v>29</v>
      </c>
      <c r="L441" s="292"/>
      <c r="M441" s="354">
        <f>IF(SUM(TrialBalance!L385:L391)&gt;0,SUM(TrialBalance!L385:L391),0)</f>
        <v>0</v>
      </c>
      <c r="N441" s="298"/>
      <c r="O441" s="367">
        <f>IF(SUM(TrialBalance!N385:N391)&gt;0,SUM(TrialBalance!N385:N391),0)</f>
        <v>0</v>
      </c>
      <c r="P441" s="295"/>
      <c r="Q441" s="442"/>
      <c r="R441" s="403" t="str">
        <f>IF(M441=0,IF(O441=0,"DELETE"," ")," ")</f>
        <v>DELETE</v>
      </c>
      <c r="V441" s="383" t="str">
        <f>IF(M441=0,"TRUE",M441=-M2048)</f>
        <v>TRUE</v>
      </c>
      <c r="W441" s="383"/>
      <c r="X441" s="383" t="str">
        <f>IF(O441=0,"TRUE",O441=-O2048)</f>
        <v>TRUE</v>
      </c>
    </row>
    <row r="442" spans="2:27" ht="9" customHeight="1" x14ac:dyDescent="0.45">
      <c r="B442" s="441"/>
      <c r="K442" s="292"/>
      <c r="L442" s="292"/>
      <c r="M442" s="355"/>
      <c r="N442" s="300"/>
      <c r="O442" s="368"/>
      <c r="P442" s="295"/>
      <c r="Q442" s="442"/>
      <c r="R442" s="403" t="str">
        <f>R435</f>
        <v>DELETE</v>
      </c>
    </row>
    <row r="443" spans="2:27" ht="9" customHeight="1" x14ac:dyDescent="0.45">
      <c r="B443" s="441"/>
      <c r="K443" s="292"/>
      <c r="L443" s="292"/>
      <c r="M443" s="347"/>
      <c r="N443" s="298"/>
      <c r="O443" s="347"/>
      <c r="P443" s="295"/>
      <c r="Q443" s="442"/>
      <c r="R443" s="403" t="str">
        <f>R435</f>
        <v>DELETE</v>
      </c>
    </row>
    <row r="444" spans="2:27" ht="31.5" customHeight="1" x14ac:dyDescent="0.45">
      <c r="B444" s="441"/>
      <c r="K444" s="292"/>
      <c r="L444" s="292"/>
      <c r="M444" s="347"/>
      <c r="N444" s="298"/>
      <c r="O444" s="347"/>
      <c r="P444" s="295"/>
      <c r="Q444" s="442"/>
      <c r="R444" s="403" t="str">
        <f>R435</f>
        <v>DELETE</v>
      </c>
    </row>
    <row r="445" spans="2:27" ht="9" customHeight="1" x14ac:dyDescent="0.45">
      <c r="B445" s="441"/>
      <c r="K445" s="292"/>
      <c r="L445" s="292"/>
      <c r="M445" s="349"/>
      <c r="N445" s="300"/>
      <c r="O445" s="349"/>
      <c r="P445" s="295"/>
      <c r="Q445" s="442"/>
    </row>
    <row r="446" spans="2:27" ht="9" customHeight="1" x14ac:dyDescent="0.45">
      <c r="B446" s="441"/>
      <c r="K446" s="292"/>
      <c r="L446" s="292"/>
      <c r="M446" s="347"/>
      <c r="N446" s="298"/>
      <c r="O446" s="347"/>
      <c r="P446" s="295"/>
      <c r="Q446" s="442"/>
    </row>
    <row r="447" spans="2:27" ht="31.5" customHeight="1" x14ac:dyDescent="0.45">
      <c r="B447" s="441"/>
      <c r="D447" s="400" t="s">
        <v>106</v>
      </c>
      <c r="K447" s="292"/>
      <c r="L447" s="292"/>
      <c r="M447" s="347">
        <f>SUM(S420:S445)</f>
        <v>0</v>
      </c>
      <c r="N447" s="298"/>
      <c r="O447" s="347">
        <f>SUM(U420:U445)</f>
        <v>0</v>
      </c>
      <c r="P447" s="295"/>
      <c r="Q447" s="442"/>
      <c r="V447" s="384" t="b">
        <f>M447=M486</f>
        <v>1</v>
      </c>
      <c r="W447" s="384"/>
      <c r="X447" s="384" t="b">
        <f>O447=O486</f>
        <v>1</v>
      </c>
    </row>
    <row r="448" spans="2:27" ht="9" customHeight="1" thickBot="1" x14ac:dyDescent="0.5">
      <c r="B448" s="441"/>
      <c r="K448" s="292"/>
      <c r="L448" s="292"/>
      <c r="M448" s="351"/>
      <c r="N448" s="301"/>
      <c r="O448" s="351"/>
      <c r="P448" s="295"/>
      <c r="Q448" s="442"/>
    </row>
    <row r="449" spans="2:26" ht="9" customHeight="1" thickTop="1" x14ac:dyDescent="0.45">
      <c r="B449" s="441"/>
      <c r="K449" s="292"/>
      <c r="L449" s="292"/>
      <c r="M449" s="347"/>
      <c r="N449" s="298"/>
      <c r="O449" s="347"/>
      <c r="P449" s="295"/>
      <c r="Q449" s="442"/>
    </row>
    <row r="450" spans="2:26" ht="31.5" customHeight="1" x14ac:dyDescent="0.45">
      <c r="B450" s="441"/>
      <c r="K450" s="292"/>
      <c r="L450" s="292"/>
      <c r="M450" s="347"/>
      <c r="N450" s="298"/>
      <c r="O450" s="347"/>
      <c r="P450" s="295"/>
      <c r="Q450" s="442"/>
    </row>
    <row r="451" spans="2:26" ht="31.5" customHeight="1" x14ac:dyDescent="0.45">
      <c r="B451" s="441"/>
      <c r="C451" s="417" t="s">
        <v>107</v>
      </c>
      <c r="K451" s="292"/>
      <c r="L451" s="292"/>
      <c r="M451" s="347"/>
      <c r="N451" s="298"/>
      <c r="O451" s="347"/>
      <c r="P451" s="295"/>
      <c r="Q451" s="442"/>
    </row>
    <row r="452" spans="2:26" ht="31.5" customHeight="1" x14ac:dyDescent="0.45">
      <c r="B452" s="441"/>
      <c r="C452" s="417"/>
      <c r="K452" s="292"/>
      <c r="L452" s="292"/>
      <c r="M452" s="347"/>
      <c r="N452" s="298"/>
      <c r="O452" s="347"/>
      <c r="P452" s="295"/>
      <c r="Q452" s="442"/>
    </row>
    <row r="453" spans="2:26" ht="31.5" customHeight="1" x14ac:dyDescent="0.45">
      <c r="B453" s="441"/>
      <c r="D453" s="400" t="s">
        <v>108</v>
      </c>
      <c r="K453" s="292"/>
      <c r="L453" s="292"/>
      <c r="M453" s="347">
        <f>SUM(M456:M459)</f>
        <v>0</v>
      </c>
      <c r="N453" s="298"/>
      <c r="O453" s="347">
        <f>SUM(O456:O459)</f>
        <v>0</v>
      </c>
      <c r="P453" s="295"/>
      <c r="Q453" s="442"/>
      <c r="S453" s="380">
        <f>M453</f>
        <v>0</v>
      </c>
      <c r="T453" s="380"/>
      <c r="U453" s="380">
        <f>O453</f>
        <v>0</v>
      </c>
      <c r="V453" s="380"/>
      <c r="W453" s="380"/>
      <c r="X453" s="380"/>
    </row>
    <row r="454" spans="2:26" ht="9" customHeight="1" x14ac:dyDescent="0.45">
      <c r="B454" s="441"/>
      <c r="K454" s="292"/>
      <c r="L454" s="292"/>
      <c r="M454" s="347"/>
      <c r="N454" s="298"/>
      <c r="O454" s="347"/>
      <c r="P454" s="295"/>
      <c r="Q454" s="442"/>
    </row>
    <row r="455" spans="2:26" ht="9" customHeight="1" x14ac:dyDescent="0.45">
      <c r="B455" s="441"/>
      <c r="K455" s="292"/>
      <c r="L455" s="292"/>
      <c r="M455" s="353"/>
      <c r="N455" s="299"/>
      <c r="O455" s="366"/>
      <c r="P455" s="295"/>
      <c r="Q455" s="442"/>
    </row>
    <row r="456" spans="2:26" ht="33" customHeight="1" x14ac:dyDescent="0.45">
      <c r="B456" s="441"/>
      <c r="D456" s="400" t="s">
        <v>550</v>
      </c>
      <c r="K456" s="292">
        <f>B1717</f>
        <v>19</v>
      </c>
      <c r="L456" s="292"/>
      <c r="M456" s="354">
        <f>-SUM(TrialBalance!L169:L170)</f>
        <v>0</v>
      </c>
      <c r="N456" s="298"/>
      <c r="O456" s="367">
        <f>-SUM(TrialBalance!N169:N170)</f>
        <v>0</v>
      </c>
      <c r="P456" s="295"/>
      <c r="Q456" s="442"/>
      <c r="V456" s="383" t="b">
        <f>M1723=M456</f>
        <v>1</v>
      </c>
      <c r="W456" s="383"/>
      <c r="X456" s="383" t="b">
        <f>O1723=O456</f>
        <v>1</v>
      </c>
    </row>
    <row r="457" spans="2:26" ht="31.5" customHeight="1" x14ac:dyDescent="0.45">
      <c r="B457" s="441"/>
      <c r="D457" s="400" t="s">
        <v>551</v>
      </c>
      <c r="K457" s="292">
        <f>B1739</f>
        <v>20</v>
      </c>
      <c r="L457" s="292"/>
      <c r="M457" s="354">
        <f>-SUM(TrialBalance!L172:L174)</f>
        <v>0</v>
      </c>
      <c r="N457" s="298"/>
      <c r="O457" s="367">
        <f>-SUM(TrialBalance!N172:N174)</f>
        <v>0</v>
      </c>
      <c r="P457" s="295"/>
      <c r="Q457" s="442"/>
      <c r="R457" s="403" t="str">
        <f>IF(M457=0,IF(O457=0,"DELETE"," ")," ")</f>
        <v>DELETE</v>
      </c>
      <c r="V457" s="383" t="b">
        <f>M457=M1745</f>
        <v>1</v>
      </c>
      <c r="W457" s="383"/>
      <c r="X457" s="383" t="b">
        <f>O457=O1745</f>
        <v>1</v>
      </c>
    </row>
    <row r="458" spans="2:26" ht="31.5" customHeight="1" x14ac:dyDescent="0.45">
      <c r="B458" s="441"/>
      <c r="D458" s="400" t="s">
        <v>15</v>
      </c>
      <c r="K458" s="292">
        <f>B1762</f>
        <v>21</v>
      </c>
      <c r="L458" s="292"/>
      <c r="M458" s="354">
        <f>-SUM(TrialBalance!L176:L178)-SUM(TrialBalance!L180:L182)</f>
        <v>0</v>
      </c>
      <c r="N458" s="298"/>
      <c r="O458" s="367">
        <f>-SUM(TrialBalance!N176:N178)-SUM(TrialBalance!N180:N182)</f>
        <v>0</v>
      </c>
      <c r="P458" s="295"/>
      <c r="Q458" s="442"/>
      <c r="R458" s="403" t="str">
        <f>IF(M458=0,IF(O458=0,"DELETE"," ")," ")</f>
        <v>DELETE</v>
      </c>
      <c r="V458" s="383" t="b">
        <f>M458=M1780</f>
        <v>1</v>
      </c>
      <c r="W458" s="383"/>
      <c r="X458" s="383" t="b">
        <f>O458=O1780</f>
        <v>1</v>
      </c>
    </row>
    <row r="459" spans="2:26" ht="31.5" customHeight="1" x14ac:dyDescent="0.45">
      <c r="B459" s="441"/>
      <c r="D459" s="297" t="str">
        <f>IF((Y459+Z459)=3,"Retained income/(Accumulated loss)",(IF((Y459+Z459=4),"Retained income","Accumulated loss")))</f>
        <v>Retained income</v>
      </c>
      <c r="K459" s="292"/>
      <c r="L459" s="292"/>
      <c r="M459" s="356">
        <f>-TrialBalance!L183-SUM(TrialBalance!L5:L165)</f>
        <v>0</v>
      </c>
      <c r="N459" s="302"/>
      <c r="O459" s="369">
        <f>-TrialBalance!N183-SUM(TrialBalance!N5:N165)</f>
        <v>0</v>
      </c>
      <c r="P459" s="295"/>
      <c r="Q459" s="442"/>
      <c r="V459" s="383" t="b">
        <f>M459=M541</f>
        <v>1</v>
      </c>
      <c r="W459" s="383"/>
      <c r="X459" s="383" t="b">
        <f>O459=O541</f>
        <v>1</v>
      </c>
      <c r="Y459" s="378">
        <f>IF(M459&lt;0,1,IF(M459=0,IF(O459&lt;0,1,2),2))</f>
        <v>2</v>
      </c>
      <c r="Z459" s="378">
        <f>IF(O459&lt;0,1,IF(O459=0,IF(M459&lt;0,1,2),2))</f>
        <v>2</v>
      </c>
    </row>
    <row r="460" spans="2:26" ht="9" customHeight="1" x14ac:dyDescent="0.45">
      <c r="B460" s="441"/>
      <c r="K460" s="292"/>
      <c r="L460" s="292"/>
      <c r="M460" s="355"/>
      <c r="N460" s="300"/>
      <c r="O460" s="368"/>
      <c r="P460" s="295"/>
      <c r="Q460" s="442"/>
      <c r="X460" s="383"/>
    </row>
    <row r="461" spans="2:26" ht="9" customHeight="1" x14ac:dyDescent="0.45">
      <c r="B461" s="441"/>
      <c r="K461" s="292"/>
      <c r="L461" s="292"/>
      <c r="M461" s="347"/>
      <c r="N461" s="298"/>
      <c r="O461" s="347"/>
      <c r="P461" s="295"/>
      <c r="Q461" s="442"/>
    </row>
    <row r="462" spans="2:26" ht="31.5" customHeight="1" x14ac:dyDescent="0.45">
      <c r="B462" s="441"/>
      <c r="K462" s="292"/>
      <c r="L462" s="292"/>
      <c r="M462" s="347"/>
      <c r="N462" s="298"/>
      <c r="O462" s="347"/>
      <c r="P462" s="295"/>
      <c r="Q462" s="442"/>
      <c r="V462" s="383">
        <f>M459-M541</f>
        <v>0</v>
      </c>
      <c r="X462" s="383">
        <f>O459-O541</f>
        <v>0</v>
      </c>
    </row>
    <row r="463" spans="2:26" ht="31.5" customHeight="1" x14ac:dyDescent="0.45">
      <c r="B463" s="441"/>
      <c r="D463" s="400" t="s">
        <v>109</v>
      </c>
      <c r="K463" s="292"/>
      <c r="L463" s="292"/>
      <c r="M463" s="347">
        <f>SUM(M466:M469)</f>
        <v>0</v>
      </c>
      <c r="N463" s="298"/>
      <c r="O463" s="347">
        <f>SUM(O466:O469)</f>
        <v>0</v>
      </c>
      <c r="P463" s="295"/>
      <c r="Q463" s="442"/>
      <c r="R463" s="403" t="str">
        <f>IF(M463=0,IF(O463=0,"DELETE"," ")," ")</f>
        <v>DELETE</v>
      </c>
      <c r="S463" s="380">
        <f>M463</f>
        <v>0</v>
      </c>
      <c r="T463" s="380"/>
      <c r="U463" s="380">
        <f>O463</f>
        <v>0</v>
      </c>
      <c r="V463" s="380"/>
      <c r="W463" s="380"/>
      <c r="X463" s="380"/>
    </row>
    <row r="464" spans="2:26" ht="9" customHeight="1" x14ac:dyDescent="0.45">
      <c r="B464" s="441"/>
      <c r="K464" s="292"/>
      <c r="L464" s="292"/>
      <c r="M464" s="347"/>
      <c r="N464" s="298"/>
      <c r="O464" s="347"/>
      <c r="P464" s="295"/>
      <c r="Q464" s="442"/>
      <c r="R464" s="403" t="str">
        <f>R463</f>
        <v>DELETE</v>
      </c>
    </row>
    <row r="465" spans="2:24" ht="9" customHeight="1" x14ac:dyDescent="0.45">
      <c r="B465" s="441"/>
      <c r="K465" s="292"/>
      <c r="L465" s="292"/>
      <c r="M465" s="353"/>
      <c r="N465" s="299"/>
      <c r="O465" s="366"/>
      <c r="P465" s="295"/>
      <c r="Q465" s="442"/>
      <c r="R465" s="403" t="str">
        <f>R463</f>
        <v>DELETE</v>
      </c>
    </row>
    <row r="466" spans="2:24" ht="31.5" customHeight="1" x14ac:dyDescent="0.45">
      <c r="B466" s="441"/>
      <c r="D466" s="400" t="str">
        <f>IF(COUNTIF(TrialBalance!L185:L199,"&lt;0")&gt;1,"Interest bearing borrowings",IF(COUNTIF(TrialBalance!N185:N199,"&lt;0")&gt;1,"Interest bearing borrowings","Interest bearing borrowing"))</f>
        <v>Interest bearing borrowing</v>
      </c>
      <c r="K466" s="292">
        <f>B1797</f>
        <v>22</v>
      </c>
      <c r="L466" s="292"/>
      <c r="M466" s="354">
        <f>-SUM(TrialBalance!L185:L200)</f>
        <v>0</v>
      </c>
      <c r="N466" s="298"/>
      <c r="O466" s="367">
        <f>-SUM(TrialBalance!N185:N200)</f>
        <v>0</v>
      </c>
      <c r="P466" s="295"/>
      <c r="Q466" s="442"/>
      <c r="R466" s="403" t="str">
        <f>IF(M466=0,IF(O466=0,"DELETE"," ")," ")</f>
        <v>DELETE</v>
      </c>
      <c r="V466" s="378" t="b">
        <f>M466=M1819</f>
        <v>1</v>
      </c>
      <c r="X466" s="378" t="b">
        <f>O466=O1819</f>
        <v>1</v>
      </c>
    </row>
    <row r="467" spans="2:24" ht="31.5" customHeight="1" x14ac:dyDescent="0.45">
      <c r="B467" s="441"/>
      <c r="D467" s="400" t="str">
        <f>IF(COUNTIF(TrialBalance!L202:L218,"&lt;0")&gt;1,"Interest free borrowings",IF(COUNTIF(TrialBalance!N202:N218,"&lt;0")&gt;1,"Interest free borrowings","Interest free borrowing"))</f>
        <v>Interest free borrowing</v>
      </c>
      <c r="K467" s="292">
        <f>B1836</f>
        <v>23</v>
      </c>
      <c r="L467" s="292"/>
      <c r="M467" s="354">
        <f>-SUM(TrialBalance!L202:L218)</f>
        <v>0</v>
      </c>
      <c r="N467" s="298"/>
      <c r="O467" s="367">
        <f>-SUM(TrialBalance!N202:N218)</f>
        <v>0</v>
      </c>
      <c r="P467" s="295"/>
      <c r="Q467" s="442"/>
      <c r="R467" s="403" t="str">
        <f>IF(M467=0,IF(O467=0,"DELETE"," ")," ")</f>
        <v>DELETE</v>
      </c>
      <c r="V467" s="378" t="b">
        <f>M467=M1856</f>
        <v>1</v>
      </c>
      <c r="X467" s="378" t="b">
        <f>O467=O1856</f>
        <v>1</v>
      </c>
    </row>
    <row r="468" spans="2:24" ht="31.5" customHeight="1" x14ac:dyDescent="0.45">
      <c r="B468" s="441"/>
      <c r="D468" s="400" t="s">
        <v>552</v>
      </c>
      <c r="K468" s="292">
        <f>B1874</f>
        <v>24</v>
      </c>
      <c r="L468" s="292"/>
      <c r="M468" s="354">
        <f>IF(SUM(TrialBalance!L220:L227)&gt;0,0,-SUM(TrialBalance!L220:L227))</f>
        <v>0</v>
      </c>
      <c r="N468" s="298"/>
      <c r="O468" s="367">
        <f>IF(SUM(TrialBalance!N220:N227)&gt;0,0,-SUM(TrialBalance!N220:N227))</f>
        <v>0</v>
      </c>
      <c r="P468" s="295"/>
      <c r="Q468" s="442"/>
      <c r="R468" s="403" t="str">
        <f>IF(M468=0,IF(O468=0,"DELETE"," ")," ")</f>
        <v>DELETE</v>
      </c>
      <c r="V468" s="383" t="str">
        <f>IF(M468=0,"TRUE",M468=M1916)</f>
        <v>TRUE</v>
      </c>
      <c r="W468" s="383"/>
      <c r="X468" s="383" t="str">
        <f>IF(O468=0,"TRUE",O468=O1916)</f>
        <v>TRUE</v>
      </c>
    </row>
    <row r="469" spans="2:24" ht="9" customHeight="1" x14ac:dyDescent="0.45">
      <c r="B469" s="441"/>
      <c r="K469" s="292"/>
      <c r="L469" s="292"/>
      <c r="M469" s="355"/>
      <c r="N469" s="300"/>
      <c r="O469" s="368"/>
      <c r="P469" s="295"/>
      <c r="Q469" s="442"/>
      <c r="R469" s="403" t="str">
        <f>R463</f>
        <v>DELETE</v>
      </c>
    </row>
    <row r="470" spans="2:24" ht="9" customHeight="1" x14ac:dyDescent="0.45">
      <c r="B470" s="441"/>
      <c r="K470" s="292"/>
      <c r="L470" s="292"/>
      <c r="M470" s="347"/>
      <c r="N470" s="298"/>
      <c r="O470" s="347"/>
      <c r="P470" s="295"/>
      <c r="Q470" s="442"/>
      <c r="R470" s="403" t="str">
        <f>R463</f>
        <v>DELETE</v>
      </c>
    </row>
    <row r="471" spans="2:24" ht="31.5" customHeight="1" x14ac:dyDescent="0.45">
      <c r="B471" s="441"/>
      <c r="K471" s="292"/>
      <c r="L471" s="292"/>
      <c r="M471" s="347"/>
      <c r="N471" s="298"/>
      <c r="O471" s="347"/>
      <c r="P471" s="295"/>
      <c r="Q471" s="442"/>
      <c r="R471" s="403" t="str">
        <f>R463</f>
        <v>DELETE</v>
      </c>
    </row>
    <row r="472" spans="2:24" ht="31.5" customHeight="1" x14ac:dyDescent="0.45">
      <c r="B472" s="441"/>
      <c r="D472" s="400" t="s">
        <v>110</v>
      </c>
      <c r="K472" s="292"/>
      <c r="L472" s="292"/>
      <c r="M472" s="347">
        <f>SUM(M475:M480)</f>
        <v>0</v>
      </c>
      <c r="N472" s="298"/>
      <c r="O472" s="347">
        <f>SUM(O475:O480)</f>
        <v>0</v>
      </c>
      <c r="P472" s="295"/>
      <c r="Q472" s="442"/>
      <c r="R472" s="403" t="str">
        <f>IF(M472=0,IF(O472=0,"DELETE"," ")," ")</f>
        <v>DELETE</v>
      </c>
      <c r="S472" s="380">
        <f>M472</f>
        <v>0</v>
      </c>
      <c r="T472" s="380"/>
      <c r="U472" s="380">
        <f>O472</f>
        <v>0</v>
      </c>
      <c r="V472" s="380"/>
      <c r="W472" s="380"/>
      <c r="X472" s="380"/>
    </row>
    <row r="473" spans="2:24" ht="9" customHeight="1" x14ac:dyDescent="0.45">
      <c r="B473" s="441"/>
      <c r="K473" s="292"/>
      <c r="L473" s="292"/>
      <c r="M473" s="347"/>
      <c r="N473" s="298"/>
      <c r="O473" s="347"/>
      <c r="P473" s="295"/>
      <c r="Q473" s="442"/>
      <c r="R473" s="403" t="str">
        <f>R472</f>
        <v>DELETE</v>
      </c>
    </row>
    <row r="474" spans="2:24" ht="9" customHeight="1" x14ac:dyDescent="0.45">
      <c r="B474" s="441"/>
      <c r="K474" s="292"/>
      <c r="L474" s="292"/>
      <c r="M474" s="353"/>
      <c r="N474" s="299"/>
      <c r="O474" s="366"/>
      <c r="P474" s="295"/>
      <c r="Q474" s="442"/>
      <c r="R474" s="403" t="str">
        <f>R472</f>
        <v>DELETE</v>
      </c>
    </row>
    <row r="475" spans="2:24" ht="31.5" customHeight="1" x14ac:dyDescent="0.45">
      <c r="B475" s="441"/>
      <c r="D475" s="400" t="s">
        <v>731</v>
      </c>
      <c r="K475" s="292">
        <f>B1938</f>
        <v>25</v>
      </c>
      <c r="L475" s="292"/>
      <c r="M475" s="354">
        <f>-SUM(TrialBalance!L378:L383)-IF(TrialBalance!L398&lt;0,TrialBalance!L398,0)</f>
        <v>0</v>
      </c>
      <c r="N475" s="298"/>
      <c r="O475" s="367">
        <f>-SUM(TrialBalance!N378:N383)-IF(TrialBalance!N398&lt;0,TrialBalance!N398,0)</f>
        <v>0</v>
      </c>
      <c r="P475" s="295"/>
      <c r="Q475" s="442"/>
      <c r="R475" s="403" t="str">
        <f t="shared" ref="R475:R480" si="3">IF(M475=0,IF(O475=0,"DELETE"," ")," ")</f>
        <v>DELETE</v>
      </c>
      <c r="V475" s="378" t="b">
        <f>M475=M1947</f>
        <v>1</v>
      </c>
      <c r="X475" s="378" t="b">
        <f>O475=O1947</f>
        <v>1</v>
      </c>
    </row>
    <row r="476" spans="2:24" ht="31.5" customHeight="1" x14ac:dyDescent="0.45">
      <c r="B476" s="441"/>
      <c r="D476" s="400" t="str">
        <f>IF(COUNTIF(TrialBalance!L366:L371,"&lt;0")&gt;1,"Bank overdrafts",IF(COUNTIF(TrialBalance!N366:N371,"&lt;0")&gt;1,"Bank overdrafts","Bank overdraft"))</f>
        <v>Bank overdraft</v>
      </c>
      <c r="K476" s="292">
        <f>B1964</f>
        <v>26</v>
      </c>
      <c r="L476" s="292"/>
      <c r="M476" s="354">
        <f>IF(TrialBalance!L366&lt;0,-TrialBalance!L366,0)+IF(TrialBalance!L367&lt;0,-TrialBalance!L367,0)+IF(TrialBalance!L368&lt;0,-TrialBalance!L368,0)+IF(TrialBalance!L369&lt;0,-TrialBalance!L369,0)+IF(TrialBalance!L370&lt;0,-TrialBalance!L370,0)+IF(TrialBalance!L371&lt;0,-TrialBalance!L371,0)</f>
        <v>0</v>
      </c>
      <c r="N476" s="298"/>
      <c r="O476" s="367">
        <f>IF(TrialBalance!N366&lt;0,-TrialBalance!N366,0)+IF(TrialBalance!N367&lt;0,-TrialBalance!N367,0)+IF(TrialBalance!N368&lt;0,-TrialBalance!N368,0)+IF(TrialBalance!N369&lt;0,-TrialBalance!N369,0)+IF(TrialBalance!N370&lt;0,-TrialBalance!N370,0)+IF(TrialBalance!N371&lt;0,-TrialBalance!N371,0)</f>
        <v>0</v>
      </c>
      <c r="P476" s="295"/>
      <c r="Q476" s="442"/>
      <c r="R476" s="403" t="str">
        <f t="shared" si="3"/>
        <v>DELETE</v>
      </c>
      <c r="V476" s="378" t="b">
        <f>M476=M1973</f>
        <v>1</v>
      </c>
      <c r="X476" s="378" t="b">
        <f>O476=O1973</f>
        <v>1</v>
      </c>
    </row>
    <row r="477" spans="2:24" ht="31.5" customHeight="1" x14ac:dyDescent="0.45">
      <c r="B477" s="441"/>
      <c r="D477" s="400" t="str">
        <f>IF(COUNTIF(TrialBalance!L374:L376,"&lt;0")&gt;1,"Short term loans",IF(COUNTIF(TrialBalance!N374:N376,"&lt;0")&gt;1,"Short term loans","Short term loan"))</f>
        <v>Short term loan</v>
      </c>
      <c r="K477" s="292">
        <f>B1990</f>
        <v>27</v>
      </c>
      <c r="L477" s="292"/>
      <c r="M477" s="354">
        <f>-SUM(TrialBalance!L374:L376)</f>
        <v>0</v>
      </c>
      <c r="N477" s="298"/>
      <c r="O477" s="367">
        <f>-SUM(TrialBalance!N374:N376)</f>
        <v>0</v>
      </c>
      <c r="P477" s="295"/>
      <c r="Q477" s="442"/>
      <c r="R477" s="403" t="str">
        <f t="shared" si="3"/>
        <v>DELETE</v>
      </c>
      <c r="V477" s="378" t="b">
        <f>M477=M1996</f>
        <v>1</v>
      </c>
      <c r="X477" s="378" t="b">
        <f>O477=O1996</f>
        <v>1</v>
      </c>
    </row>
    <row r="478" spans="2:24" ht="31.5" customHeight="1" x14ac:dyDescent="0.45">
      <c r="B478" s="441"/>
      <c r="D478" s="400" t="str">
        <f>IF(COUNTIF(TrialBalance!L185:L199,"&lt;0")&gt;1,"Current portion of interest bearing borrowings",IF(COUNTIF(TrialBalance!N185:N199,"&lt;0")&gt;1,"Current portion of interest bearing borrowings","Current portion of interest bearing borrowing"))</f>
        <v>Current portion of interest bearing borrowing</v>
      </c>
      <c r="K478" s="292">
        <f>B1797</f>
        <v>22</v>
      </c>
      <c r="L478" s="292"/>
      <c r="M478" s="354">
        <f>-TrialBalance!L377</f>
        <v>0</v>
      </c>
      <c r="N478" s="298"/>
      <c r="O478" s="367">
        <f>-TrialBalance!N377</f>
        <v>0</v>
      </c>
      <c r="P478" s="295"/>
      <c r="Q478" s="442"/>
      <c r="R478" s="403" t="str">
        <f t="shared" si="3"/>
        <v>DELETE</v>
      </c>
      <c r="V478" s="378" t="b">
        <f>M478=M1816</f>
        <v>1</v>
      </c>
      <c r="X478" s="378" t="b">
        <f>O478=O1816</f>
        <v>1</v>
      </c>
    </row>
    <row r="479" spans="2:24" ht="31.5" customHeight="1" x14ac:dyDescent="0.45">
      <c r="B479" s="441"/>
      <c r="D479" s="400" t="str">
        <f>IF(COUNTIF(TrialBalance!L392:L396,"&lt;0")&gt;1,"Provisions",IF(COUNTIF(TrialBalance!N392:N396,"&lt;0")&gt;1,"Provisions","Provision"))</f>
        <v>Provision</v>
      </c>
      <c r="K479" s="292">
        <f>B2013</f>
        <v>28</v>
      </c>
      <c r="L479" s="292"/>
      <c r="M479" s="354">
        <f>-SUM(TrialBalance!L392:L396)</f>
        <v>0</v>
      </c>
      <c r="N479" s="298"/>
      <c r="O479" s="367">
        <f>-SUM(TrialBalance!N392:N396)</f>
        <v>0</v>
      </c>
      <c r="P479" s="295"/>
      <c r="Q479" s="442"/>
      <c r="R479" s="403" t="str">
        <f t="shared" si="3"/>
        <v>DELETE</v>
      </c>
      <c r="V479" s="378" t="b">
        <f>M479=M2021</f>
        <v>1</v>
      </c>
      <c r="X479" s="378" t="b">
        <f>O479=O2021</f>
        <v>1</v>
      </c>
    </row>
    <row r="480" spans="2:24" ht="31.5" customHeight="1" x14ac:dyDescent="0.45">
      <c r="B480" s="441"/>
      <c r="D480" s="400" t="s">
        <v>553</v>
      </c>
      <c r="K480" s="292">
        <f>B2038</f>
        <v>29</v>
      </c>
      <c r="L480" s="292"/>
      <c r="M480" s="354">
        <f>IF(-SUM(TrialBalance!L385:L391)&gt;0,-SUM(TrialBalance!L385:L391),0)</f>
        <v>0</v>
      </c>
      <c r="N480" s="298"/>
      <c r="O480" s="367">
        <f>IF(-SUM(TrialBalance!N385:N391)&gt;0,-SUM(TrialBalance!N385:N391),0)</f>
        <v>0</v>
      </c>
      <c r="P480" s="295"/>
      <c r="Q480" s="442"/>
      <c r="R480" s="403" t="str">
        <f t="shared" si="3"/>
        <v>DELETE</v>
      </c>
      <c r="V480" s="383" t="str">
        <f>IF(M480=0,"TRUE",M480=M2048)</f>
        <v>TRUE</v>
      </c>
      <c r="X480" s="383" t="str">
        <f>IF(O480=0,"TRUE",O480=O2048)</f>
        <v>TRUE</v>
      </c>
    </row>
    <row r="481" spans="2:18" ht="9" customHeight="1" x14ac:dyDescent="0.45">
      <c r="B481" s="441"/>
      <c r="K481" s="292"/>
      <c r="L481" s="292"/>
      <c r="M481" s="355"/>
      <c r="N481" s="300"/>
      <c r="O481" s="368"/>
      <c r="P481" s="295"/>
      <c r="Q481" s="442"/>
      <c r="R481" s="403" t="str">
        <f>R472</f>
        <v>DELETE</v>
      </c>
    </row>
    <row r="482" spans="2:18" ht="9" customHeight="1" x14ac:dyDescent="0.45">
      <c r="B482" s="441"/>
      <c r="K482" s="292"/>
      <c r="L482" s="292"/>
      <c r="M482" s="347"/>
      <c r="N482" s="298"/>
      <c r="O482" s="347"/>
      <c r="P482" s="295"/>
      <c r="Q482" s="442"/>
      <c r="R482" s="403" t="str">
        <f>R472</f>
        <v>DELETE</v>
      </c>
    </row>
    <row r="483" spans="2:18" ht="31.5" customHeight="1" x14ac:dyDescent="0.45">
      <c r="B483" s="441"/>
      <c r="K483" s="292"/>
      <c r="L483" s="292"/>
      <c r="M483" s="347"/>
      <c r="N483" s="298"/>
      <c r="O483" s="347"/>
      <c r="P483" s="295"/>
      <c r="Q483" s="442"/>
      <c r="R483" s="403" t="str">
        <f>R472</f>
        <v>DELETE</v>
      </c>
    </row>
    <row r="484" spans="2:18" ht="9" customHeight="1" x14ac:dyDescent="0.45">
      <c r="B484" s="441"/>
      <c r="K484" s="292"/>
      <c r="L484" s="292"/>
      <c r="M484" s="349"/>
      <c r="N484" s="300"/>
      <c r="O484" s="349"/>
      <c r="P484" s="295"/>
      <c r="Q484" s="442"/>
    </row>
    <row r="485" spans="2:18" ht="9" customHeight="1" x14ac:dyDescent="0.45">
      <c r="B485" s="441"/>
      <c r="K485" s="292"/>
      <c r="L485" s="292"/>
      <c r="M485" s="347"/>
      <c r="N485" s="298"/>
      <c r="O485" s="347"/>
      <c r="P485" s="295"/>
      <c r="Q485" s="442"/>
    </row>
    <row r="486" spans="2:18" ht="31.5" customHeight="1" x14ac:dyDescent="0.45">
      <c r="B486" s="441"/>
      <c r="D486" s="400" t="s">
        <v>111</v>
      </c>
      <c r="J486" s="449"/>
      <c r="K486" s="292"/>
      <c r="L486" s="292"/>
      <c r="M486" s="347">
        <f>SUM(S453:S483)</f>
        <v>0</v>
      </c>
      <c r="N486" s="298"/>
      <c r="O486" s="347">
        <f>SUM(U453:U483)</f>
        <v>0</v>
      </c>
      <c r="P486" s="295"/>
      <c r="Q486" s="442"/>
      <c r="R486" s="450"/>
    </row>
    <row r="487" spans="2:18" ht="9" customHeight="1" thickBot="1" x14ac:dyDescent="0.5">
      <c r="B487" s="441"/>
      <c r="J487" s="449"/>
      <c r="K487" s="292"/>
      <c r="L487" s="292"/>
      <c r="M487" s="351"/>
      <c r="N487" s="301"/>
      <c r="O487" s="351"/>
      <c r="P487" s="295"/>
      <c r="Q487" s="442"/>
    </row>
    <row r="488" spans="2:18" ht="9" customHeight="1" thickTop="1" x14ac:dyDescent="0.45">
      <c r="B488" s="441"/>
      <c r="J488" s="449"/>
      <c r="K488" s="292"/>
      <c r="L488" s="292"/>
      <c r="M488" s="347"/>
      <c r="N488" s="298"/>
      <c r="O488" s="347"/>
      <c r="P488" s="295"/>
      <c r="Q488" s="442"/>
    </row>
    <row r="489" spans="2:18" ht="31.5" customHeight="1" x14ac:dyDescent="0.45">
      <c r="B489" s="441"/>
      <c r="J489" s="449"/>
      <c r="K489" s="292"/>
      <c r="L489" s="292"/>
      <c r="M489" s="347"/>
      <c r="N489" s="298"/>
      <c r="O489" s="347"/>
      <c r="P489" s="295"/>
      <c r="Q489" s="442"/>
    </row>
    <row r="490" spans="2:18" ht="31.5" customHeight="1" x14ac:dyDescent="0.45">
      <c r="B490" s="445"/>
      <c r="C490" s="429"/>
      <c r="D490" s="429"/>
      <c r="E490" s="429"/>
      <c r="F490" s="429"/>
      <c r="G490" s="429"/>
      <c r="H490" s="429"/>
      <c r="I490" s="429"/>
      <c r="J490" s="451"/>
      <c r="K490" s="429"/>
      <c r="L490" s="429"/>
      <c r="M490" s="432"/>
      <c r="N490" s="433"/>
      <c r="O490" s="432"/>
      <c r="P490" s="433"/>
      <c r="Q490" s="446"/>
    </row>
    <row r="491" spans="2:18" ht="31.5" customHeight="1" x14ac:dyDescent="0.45"/>
    <row r="492" spans="2:18" ht="31.5" customHeight="1" x14ac:dyDescent="0.45"/>
    <row r="493" spans="2:18" ht="31.5" customHeight="1" x14ac:dyDescent="0.45">
      <c r="D493" s="417" t="str">
        <f>Criteria!E9</f>
        <v>HOLDING COMPANY 268 (PROPRIETARY) LIMITED</v>
      </c>
      <c r="O493" s="346" t="s">
        <v>96</v>
      </c>
      <c r="Q493" s="292">
        <f>MAX($Q$114:Q492)+1</f>
        <v>7</v>
      </c>
    </row>
    <row r="494" spans="2:18" ht="31.5" customHeight="1" x14ac:dyDescent="0.45">
      <c r="D494" s="417" t="str">
        <f>Criteria!E10</f>
        <v>CONSOLIDATED FINANCIAL STATEMENTS</v>
      </c>
      <c r="R494" s="403" t="str">
        <f>IF(D494=0,"DELETE"," ")</f>
        <v xml:space="preserve"> </v>
      </c>
    </row>
    <row r="495" spans="2:18" ht="31.5" customHeight="1" x14ac:dyDescent="0.45"/>
    <row r="496" spans="2:18" ht="31.5" customHeight="1" x14ac:dyDescent="0.45">
      <c r="D496" s="417" t="s">
        <v>1167</v>
      </c>
    </row>
    <row r="497" spans="2:24" ht="31.5" customHeight="1" x14ac:dyDescent="0.45">
      <c r="D497" s="417" t="str">
        <f>Criteria!E20</f>
        <v>29 FEBRUARY 2024</v>
      </c>
    </row>
    <row r="498" spans="2:24" ht="31.5" customHeight="1" x14ac:dyDescent="0.45">
      <c r="K498" s="429"/>
      <c r="L498" s="429"/>
      <c r="M498" s="432"/>
      <c r="N498" s="433"/>
      <c r="O498" s="432"/>
    </row>
    <row r="499" spans="2:24" ht="31.5" customHeight="1" x14ac:dyDescent="0.45">
      <c r="B499" s="438"/>
      <c r="C499" s="439"/>
      <c r="D499" s="439"/>
      <c r="E499" s="439"/>
      <c r="F499" s="439"/>
      <c r="G499" s="439"/>
      <c r="H499" s="439"/>
      <c r="I499" s="439"/>
      <c r="J499" s="439"/>
      <c r="K499" s="292"/>
      <c r="L499" s="292"/>
      <c r="M499" s="344"/>
      <c r="N499" s="294"/>
      <c r="O499" s="344"/>
      <c r="P499" s="303"/>
      <c r="Q499" s="440"/>
    </row>
    <row r="500" spans="2:24" ht="31.5" customHeight="1" x14ac:dyDescent="0.45">
      <c r="B500" s="441"/>
      <c r="K500" s="292"/>
      <c r="L500" s="292"/>
      <c r="M500" s="344">
        <f>Criteria!E22</f>
        <v>2024</v>
      </c>
      <c r="N500" s="294"/>
      <c r="O500" s="344">
        <f>Criteria!E27</f>
        <v>2023</v>
      </c>
      <c r="P500" s="294"/>
      <c r="Q500" s="442"/>
    </row>
    <row r="501" spans="2:24" ht="31.5" customHeight="1" x14ac:dyDescent="0.45">
      <c r="B501" s="441"/>
      <c r="K501" s="292"/>
      <c r="L501" s="292"/>
      <c r="M501" s="346"/>
      <c r="N501" s="295"/>
      <c r="O501" s="346"/>
      <c r="P501" s="295"/>
      <c r="Q501" s="442"/>
    </row>
    <row r="502" spans="2:24" ht="31.5" customHeight="1" x14ac:dyDescent="0.45">
      <c r="B502" s="308">
        <v>1</v>
      </c>
      <c r="C502" s="417" t="s">
        <v>493</v>
      </c>
      <c r="M502" s="357"/>
      <c r="N502" s="309"/>
      <c r="O502" s="347"/>
      <c r="P502" s="295"/>
      <c r="Q502" s="442"/>
    </row>
    <row r="503" spans="2:24" ht="31.5" customHeight="1" x14ac:dyDescent="0.45">
      <c r="B503" s="308"/>
      <c r="M503" s="357"/>
      <c r="N503" s="309"/>
      <c r="O503" s="347"/>
      <c r="P503" s="295"/>
      <c r="Q503" s="442"/>
    </row>
    <row r="504" spans="2:24" ht="31.5" customHeight="1" x14ac:dyDescent="0.45">
      <c r="B504" s="308"/>
      <c r="D504" s="400" t="s">
        <v>495</v>
      </c>
      <c r="M504" s="358">
        <f>O508</f>
        <v>0</v>
      </c>
      <c r="N504" s="310"/>
      <c r="O504" s="347">
        <f>-TrialBalance!N169</f>
        <v>0</v>
      </c>
      <c r="P504" s="295"/>
      <c r="Q504" s="442"/>
    </row>
    <row r="505" spans="2:24" ht="31.5" customHeight="1" x14ac:dyDescent="0.45">
      <c r="B505" s="308"/>
      <c r="D505" s="400" t="s">
        <v>496</v>
      </c>
      <c r="M505" s="358">
        <f>-TrialBalance!L170</f>
        <v>0</v>
      </c>
      <c r="N505" s="310"/>
      <c r="O505" s="347">
        <f>-TrialBalance!N170</f>
        <v>0</v>
      </c>
      <c r="P505" s="295"/>
      <c r="Q505" s="442"/>
    </row>
    <row r="506" spans="2:24" ht="9" customHeight="1" x14ac:dyDescent="0.45">
      <c r="B506" s="308"/>
      <c r="M506" s="359"/>
      <c r="N506" s="311"/>
      <c r="O506" s="370"/>
      <c r="P506" s="295"/>
      <c r="Q506" s="442"/>
    </row>
    <row r="507" spans="2:24" ht="9" customHeight="1" x14ac:dyDescent="0.45">
      <c r="B507" s="308"/>
      <c r="M507" s="358"/>
      <c r="N507" s="310"/>
      <c r="O507" s="347"/>
      <c r="P507" s="295"/>
      <c r="Q507" s="442"/>
    </row>
    <row r="508" spans="2:24" ht="31.5" customHeight="1" x14ac:dyDescent="0.45">
      <c r="B508" s="308"/>
      <c r="D508" s="400" t="s">
        <v>497</v>
      </c>
      <c r="M508" s="347">
        <f>SUM(M504:M507)</f>
        <v>0</v>
      </c>
      <c r="N508" s="310"/>
      <c r="O508" s="347">
        <f>SUM(O504:O507)</f>
        <v>0</v>
      </c>
      <c r="P508" s="295"/>
      <c r="Q508" s="442"/>
      <c r="V508" s="378" t="b">
        <f>M508=M1723</f>
        <v>1</v>
      </c>
      <c r="X508" s="378" t="b">
        <f>O508=O1723</f>
        <v>1</v>
      </c>
    </row>
    <row r="509" spans="2:24" ht="9" customHeight="1" thickBot="1" x14ac:dyDescent="0.5">
      <c r="B509" s="308"/>
      <c r="M509" s="360"/>
      <c r="N509" s="312"/>
      <c r="O509" s="351"/>
      <c r="P509" s="295"/>
      <c r="Q509" s="442"/>
    </row>
    <row r="510" spans="2:24" ht="9" customHeight="1" thickTop="1" x14ac:dyDescent="0.45">
      <c r="B510" s="308"/>
      <c r="M510" s="361"/>
      <c r="N510" s="313"/>
      <c r="O510" s="363"/>
      <c r="P510" s="295"/>
      <c r="Q510" s="442"/>
    </row>
    <row r="511" spans="2:24" ht="31.5" customHeight="1" x14ac:dyDescent="0.45">
      <c r="B511" s="308"/>
      <c r="M511" s="358"/>
      <c r="N511" s="310"/>
      <c r="O511" s="347"/>
      <c r="P511" s="295"/>
      <c r="Q511" s="442"/>
      <c r="R511" s="403" t="str">
        <f>R512</f>
        <v>DELETE</v>
      </c>
    </row>
    <row r="512" spans="2:24" ht="31.5" customHeight="1" x14ac:dyDescent="0.45">
      <c r="B512" s="308">
        <f>MAX(B$502:B511)+1</f>
        <v>2</v>
      </c>
      <c r="C512" s="417" t="s">
        <v>498</v>
      </c>
      <c r="M512" s="358"/>
      <c r="N512" s="310"/>
      <c r="O512" s="347"/>
      <c r="P512" s="295"/>
      <c r="Q512" s="442"/>
      <c r="R512" s="403" t="str">
        <f>R519</f>
        <v>DELETE</v>
      </c>
    </row>
    <row r="513" spans="2:24" ht="31.5" customHeight="1" x14ac:dyDescent="0.45">
      <c r="B513" s="308"/>
      <c r="M513" s="358"/>
      <c r="N513" s="310"/>
      <c r="O513" s="347"/>
      <c r="P513" s="295"/>
      <c r="Q513" s="442"/>
      <c r="R513" s="403" t="str">
        <f>R519</f>
        <v>DELETE</v>
      </c>
    </row>
    <row r="514" spans="2:24" ht="31.5" customHeight="1" x14ac:dyDescent="0.45">
      <c r="B514" s="308"/>
      <c r="D514" s="400" t="s">
        <v>499</v>
      </c>
      <c r="M514" s="358">
        <f>O519</f>
        <v>0</v>
      </c>
      <c r="N514" s="310"/>
      <c r="O514" s="350">
        <f>-TrialBalance!N172</f>
        <v>0</v>
      </c>
      <c r="P514" s="295"/>
      <c r="Q514" s="442"/>
      <c r="R514" s="403" t="str">
        <f>R519</f>
        <v>DELETE</v>
      </c>
    </row>
    <row r="515" spans="2:24" ht="31.5" customHeight="1" x14ac:dyDescent="0.45">
      <c r="B515" s="308"/>
      <c r="D515" s="400" t="s">
        <v>500</v>
      </c>
      <c r="M515" s="358">
        <f>-TrialBalance!L173</f>
        <v>0</v>
      </c>
      <c r="N515" s="310"/>
      <c r="O515" s="350">
        <f>-TrialBalance!N173</f>
        <v>0</v>
      </c>
      <c r="P515" s="295"/>
      <c r="Q515" s="442"/>
      <c r="R515" s="403" t="str">
        <f>IF(M515=0,IF(O515=0,"DELETE"," ")," ")</f>
        <v>DELETE</v>
      </c>
    </row>
    <row r="516" spans="2:24" ht="31.5" customHeight="1" x14ac:dyDescent="0.45">
      <c r="B516" s="308"/>
      <c r="D516" s="400" t="s">
        <v>501</v>
      </c>
      <c r="M516" s="358">
        <f>-TrialBalance!L174</f>
        <v>0</v>
      </c>
      <c r="N516" s="310"/>
      <c r="O516" s="350">
        <f>-TrialBalance!N174</f>
        <v>0</v>
      </c>
      <c r="P516" s="295"/>
      <c r="Q516" s="442"/>
      <c r="R516" s="403" t="str">
        <f>IF(M516=0,IF(O516=0,"DELETE"," ")," ")</f>
        <v>DELETE</v>
      </c>
    </row>
    <row r="517" spans="2:24" ht="9" customHeight="1" x14ac:dyDescent="0.45">
      <c r="B517" s="308"/>
      <c r="M517" s="359"/>
      <c r="N517" s="311"/>
      <c r="O517" s="370"/>
      <c r="P517" s="295"/>
      <c r="Q517" s="442"/>
      <c r="R517" s="403" t="str">
        <f>R519</f>
        <v>DELETE</v>
      </c>
    </row>
    <row r="518" spans="2:24" ht="9" customHeight="1" x14ac:dyDescent="0.45">
      <c r="B518" s="308"/>
      <c r="M518" s="358"/>
      <c r="N518" s="310"/>
      <c r="O518" s="347"/>
      <c r="P518" s="295"/>
      <c r="Q518" s="442"/>
      <c r="R518" s="403" t="str">
        <f>R519</f>
        <v>DELETE</v>
      </c>
    </row>
    <row r="519" spans="2:24" ht="31.5" customHeight="1" x14ac:dyDescent="0.45">
      <c r="B519" s="308"/>
      <c r="D519" s="400" t="s">
        <v>502</v>
      </c>
      <c r="M519" s="347">
        <f>SUM(M514:M517)</f>
        <v>0</v>
      </c>
      <c r="N519" s="310"/>
      <c r="O519" s="347">
        <f>SUM(O514:O517)</f>
        <v>0</v>
      </c>
      <c r="P519" s="295"/>
      <c r="Q519" s="442"/>
      <c r="R519" s="403" t="str">
        <f>IF(COUNTIF(O514:O516,"&gt;0")&gt;0," ",IF(COUNTIF(M514:M516,"&gt;0")&gt;0," ","DELETE"))</f>
        <v>DELETE</v>
      </c>
      <c r="V519" s="378" t="b">
        <f>M519=M1745</f>
        <v>1</v>
      </c>
      <c r="X519" s="378" t="b">
        <f>O519=O1745</f>
        <v>1</v>
      </c>
    </row>
    <row r="520" spans="2:24" ht="9" customHeight="1" thickBot="1" x14ac:dyDescent="0.5">
      <c r="B520" s="308"/>
      <c r="M520" s="360"/>
      <c r="N520" s="312"/>
      <c r="O520" s="351"/>
      <c r="P520" s="295"/>
      <c r="Q520" s="442"/>
      <c r="R520" s="403" t="str">
        <f>R519</f>
        <v>DELETE</v>
      </c>
    </row>
    <row r="521" spans="2:24" ht="9" customHeight="1" thickTop="1" x14ac:dyDescent="0.45">
      <c r="B521" s="308"/>
      <c r="M521" s="361"/>
      <c r="N521" s="313"/>
      <c r="O521" s="363"/>
      <c r="P521" s="295"/>
      <c r="Q521" s="442"/>
      <c r="R521" s="403" t="str">
        <f>R520</f>
        <v>DELETE</v>
      </c>
    </row>
    <row r="522" spans="2:24" ht="31.5" customHeight="1" x14ac:dyDescent="0.45">
      <c r="B522" s="308"/>
      <c r="M522" s="358"/>
      <c r="N522" s="310"/>
      <c r="O522" s="347"/>
      <c r="P522" s="295"/>
      <c r="Q522" s="442"/>
      <c r="R522" s="403" t="str">
        <f>R520</f>
        <v>DELETE</v>
      </c>
    </row>
    <row r="523" spans="2:24" ht="31.5" customHeight="1" x14ac:dyDescent="0.45">
      <c r="B523" s="308">
        <f>MAX(B$502:B522)+1</f>
        <v>3</v>
      </c>
      <c r="C523" s="417" t="s">
        <v>117</v>
      </c>
      <c r="M523" s="358"/>
      <c r="N523" s="310"/>
      <c r="O523" s="347"/>
      <c r="P523" s="295"/>
      <c r="Q523" s="442"/>
      <c r="R523" s="403" t="str">
        <f>R$530</f>
        <v>DELETE</v>
      </c>
    </row>
    <row r="524" spans="2:24" ht="31.5" customHeight="1" x14ac:dyDescent="0.45">
      <c r="B524" s="308"/>
      <c r="M524" s="358"/>
      <c r="N524" s="310"/>
      <c r="O524" s="347"/>
      <c r="P524" s="295"/>
      <c r="Q524" s="442"/>
      <c r="R524" s="403" t="str">
        <f>R$530</f>
        <v>DELETE</v>
      </c>
    </row>
    <row r="525" spans="2:24" ht="31.5" customHeight="1" x14ac:dyDescent="0.45">
      <c r="B525" s="308"/>
      <c r="D525" s="400" t="s">
        <v>118</v>
      </c>
      <c r="M525" s="358">
        <f>O530</f>
        <v>0</v>
      </c>
      <c r="N525" s="310"/>
      <c r="O525" s="350">
        <f>-TrialBalance!N176-TrialBalance!N180</f>
        <v>0</v>
      </c>
      <c r="P525" s="295"/>
      <c r="Q525" s="442"/>
      <c r="R525" s="403" t="str">
        <f>R$530</f>
        <v>DELETE</v>
      </c>
    </row>
    <row r="526" spans="2:24" ht="31.5" customHeight="1" x14ac:dyDescent="0.45">
      <c r="B526" s="308"/>
      <c r="D526" s="400" t="s">
        <v>720</v>
      </c>
      <c r="M526" s="350">
        <f>-TrialBalance!L177-TrialBalance!L181</f>
        <v>0</v>
      </c>
      <c r="N526" s="310"/>
      <c r="O526" s="350">
        <f>-TrialBalance!N177-TrialBalance!N181</f>
        <v>0</v>
      </c>
      <c r="P526" s="295"/>
      <c r="Q526" s="442"/>
      <c r="R526" s="403" t="str">
        <f>IF(M526+O526=0,"DELETE"," ")</f>
        <v>DELETE</v>
      </c>
    </row>
    <row r="527" spans="2:24" ht="31.5" customHeight="1" x14ac:dyDescent="0.45">
      <c r="B527" s="308"/>
      <c r="D527" s="400" t="s">
        <v>721</v>
      </c>
      <c r="M527" s="347">
        <f>-TrialBalance!L178-TrialBalance!L182</f>
        <v>0</v>
      </c>
      <c r="N527" s="302"/>
      <c r="O527" s="347">
        <f>-TrialBalance!N178-TrialBalance!N182</f>
        <v>0</v>
      </c>
      <c r="P527" s="295"/>
      <c r="Q527" s="442"/>
      <c r="R527" s="403" t="str">
        <f>IF(M527+O527=0,"DELETE"," ")</f>
        <v>DELETE</v>
      </c>
    </row>
    <row r="528" spans="2:24" ht="9" customHeight="1" x14ac:dyDescent="0.45">
      <c r="B528" s="308"/>
      <c r="M528" s="359"/>
      <c r="N528" s="311"/>
      <c r="O528" s="370"/>
      <c r="P528" s="295"/>
      <c r="Q528" s="442"/>
      <c r="R528" s="403" t="str">
        <f>R$530</f>
        <v>DELETE</v>
      </c>
    </row>
    <row r="529" spans="2:26" ht="9" customHeight="1" x14ac:dyDescent="0.45">
      <c r="B529" s="308"/>
      <c r="M529" s="358"/>
      <c r="N529" s="310"/>
      <c r="O529" s="347"/>
      <c r="P529" s="295"/>
      <c r="Q529" s="442"/>
      <c r="R529" s="403" t="str">
        <f>R$530</f>
        <v>DELETE</v>
      </c>
    </row>
    <row r="530" spans="2:26" ht="31.5" customHeight="1" x14ac:dyDescent="0.45">
      <c r="B530" s="308"/>
      <c r="D530" s="400" t="s">
        <v>503</v>
      </c>
      <c r="M530" s="347">
        <f>SUM(M525:M528)</f>
        <v>0</v>
      </c>
      <c r="N530" s="310"/>
      <c r="O530" s="347">
        <f>SUM(O525:O528)</f>
        <v>0</v>
      </c>
      <c r="P530" s="295"/>
      <c r="Q530" s="442"/>
      <c r="R530" s="403" t="str">
        <f>IF(COUNTIF(O525:O527,"&gt;0")&gt;0," ",IF(COUNTIF(M525:M527,"&gt;0")&gt;0," ","DELETE"))</f>
        <v>DELETE</v>
      </c>
      <c r="V530" s="378" t="b">
        <f>M530=M1780</f>
        <v>1</v>
      </c>
      <c r="X530" s="378" t="b">
        <f>O530=O1780</f>
        <v>1</v>
      </c>
    </row>
    <row r="531" spans="2:26" ht="9" customHeight="1" thickBot="1" x14ac:dyDescent="0.5">
      <c r="B531" s="308"/>
      <c r="M531" s="360"/>
      <c r="N531" s="312"/>
      <c r="O531" s="351"/>
      <c r="P531" s="295"/>
      <c r="Q531" s="442"/>
      <c r="R531" s="403" t="str">
        <f>R$530</f>
        <v>DELETE</v>
      </c>
    </row>
    <row r="532" spans="2:26" ht="9" customHeight="1" thickTop="1" x14ac:dyDescent="0.45">
      <c r="B532" s="308"/>
      <c r="M532" s="358"/>
      <c r="N532" s="310"/>
      <c r="O532" s="350"/>
      <c r="P532" s="295"/>
      <c r="Q532" s="442"/>
      <c r="R532" s="403" t="str">
        <f>R$530</f>
        <v>DELETE</v>
      </c>
    </row>
    <row r="533" spans="2:26" ht="31.5" customHeight="1" x14ac:dyDescent="0.45">
      <c r="B533" s="308"/>
      <c r="M533" s="358"/>
      <c r="N533" s="310"/>
      <c r="O533" s="347"/>
      <c r="P533" s="295"/>
      <c r="Q533" s="442"/>
    </row>
    <row r="534" spans="2:26" ht="31.5" customHeight="1" x14ac:dyDescent="0.45">
      <c r="B534" s="308">
        <f>MAX(B$502:B533)+1</f>
        <v>4</v>
      </c>
      <c r="C534" s="315" t="str">
        <f>IF((Y534+Z534)=3,"RETAINED INCOME/(ACCUMULATED LOSS)",(IF((Y534+Z534=4),"RETAINED INCOME","ACCUMULATED LOSS")))</f>
        <v>RETAINED INCOME</v>
      </c>
      <c r="M534" s="358"/>
      <c r="N534" s="310"/>
      <c r="O534" s="347"/>
      <c r="P534" s="295"/>
      <c r="Q534" s="442"/>
      <c r="Y534" s="378">
        <f>IF(M541&lt;0,1,IF(M541=0,IF(O541&lt;0,1,2),2))</f>
        <v>2</v>
      </c>
      <c r="Z534" s="378">
        <f>IF(O541&lt;0,1,IF(O541=0,IF(M541&lt;0,1,2),2))</f>
        <v>2</v>
      </c>
    </row>
    <row r="535" spans="2:26" ht="31.5" customHeight="1" x14ac:dyDescent="0.45">
      <c r="B535" s="308"/>
      <c r="M535" s="358"/>
      <c r="N535" s="310"/>
      <c r="O535" s="347"/>
      <c r="P535" s="295"/>
      <c r="Q535" s="442"/>
    </row>
    <row r="536" spans="2:26" ht="31.5" customHeight="1" x14ac:dyDescent="0.45">
      <c r="B536" s="308"/>
      <c r="D536" s="400" t="s">
        <v>118</v>
      </c>
      <c r="M536" s="358">
        <f>O541</f>
        <v>0</v>
      </c>
      <c r="N536" s="405"/>
      <c r="O536" s="358">
        <f>-TrialBalance!N183</f>
        <v>0</v>
      </c>
      <c r="P536" s="295"/>
      <c r="Q536" s="442"/>
      <c r="S536" s="380"/>
      <c r="T536" s="380"/>
      <c r="U536" s="380"/>
    </row>
    <row r="537" spans="2:26" ht="31.5" customHeight="1" x14ac:dyDescent="0.45">
      <c r="B537" s="308"/>
      <c r="D537" s="297" t="str">
        <f>IF((Y537+Z537)=3,"Net profit/(loss) for the year after taxation",(IF((Y537+Z537=4),"Net profit for the year after taxation","Net loss for the year after taxation")))</f>
        <v>Net profit for the year after taxation</v>
      </c>
      <c r="M537" s="347">
        <f>M384</f>
        <v>0</v>
      </c>
      <c r="N537" s="310"/>
      <c r="O537" s="347">
        <f>O384</f>
        <v>0</v>
      </c>
      <c r="P537" s="295"/>
      <c r="Q537" s="442"/>
      <c r="S537" s="380"/>
      <c r="T537" s="380"/>
      <c r="U537" s="380"/>
      <c r="Y537" s="378">
        <f>IF(M537&lt;0,1,IF(M537=0,IF(O537&lt;0,1,2),2))</f>
        <v>2</v>
      </c>
      <c r="Z537" s="378">
        <f>IF(O537&lt;0,1,IF(O537=0,IF(M537&lt;0,1,2),2))</f>
        <v>2</v>
      </c>
    </row>
    <row r="538" spans="2:26" ht="31.5" customHeight="1" x14ac:dyDescent="0.45">
      <c r="B538" s="308"/>
      <c r="D538" s="400" t="s">
        <v>690</v>
      </c>
      <c r="M538" s="347">
        <f>-SUM(TrialBalance!L163:L164)</f>
        <v>0</v>
      </c>
      <c r="N538" s="310"/>
      <c r="O538" s="347">
        <f>-SUM(TrialBalance!N163:N164)</f>
        <v>0</v>
      </c>
      <c r="P538" s="295"/>
      <c r="Q538" s="442"/>
      <c r="R538" s="403" t="str">
        <f>IF(M538=0,IF(O538=0,"DELETE"," ")," ")</f>
        <v>DELETE</v>
      </c>
      <c r="S538" s="380"/>
      <c r="T538" s="380"/>
      <c r="U538" s="380"/>
    </row>
    <row r="539" spans="2:26" ht="9" customHeight="1" x14ac:dyDescent="0.45">
      <c r="B539" s="308"/>
      <c r="M539" s="359"/>
      <c r="N539" s="311"/>
      <c r="O539" s="370"/>
      <c r="P539" s="295"/>
      <c r="Q539" s="442"/>
    </row>
    <row r="540" spans="2:26" ht="9" customHeight="1" x14ac:dyDescent="0.45">
      <c r="B540" s="308"/>
      <c r="M540" s="358"/>
      <c r="N540" s="310"/>
      <c r="O540" s="347"/>
      <c r="P540" s="295"/>
      <c r="Q540" s="442"/>
    </row>
    <row r="541" spans="2:26" ht="31.5" customHeight="1" x14ac:dyDescent="0.45">
      <c r="B541" s="308"/>
      <c r="D541" s="400" t="s">
        <v>503</v>
      </c>
      <c r="M541" s="347">
        <f>SUM(M536:M539)</f>
        <v>0</v>
      </c>
      <c r="N541" s="310"/>
      <c r="O541" s="347">
        <f>SUM(O536:O539)</f>
        <v>0</v>
      </c>
      <c r="P541" s="295"/>
      <c r="Q541" s="442"/>
    </row>
    <row r="542" spans="2:26" ht="9" customHeight="1" thickBot="1" x14ac:dyDescent="0.5">
      <c r="B542" s="308"/>
      <c r="M542" s="360"/>
      <c r="N542" s="312"/>
      <c r="O542" s="351"/>
      <c r="P542" s="295"/>
      <c r="Q542" s="442"/>
    </row>
    <row r="543" spans="2:26" ht="9" customHeight="1" thickTop="1" x14ac:dyDescent="0.45">
      <c r="B543" s="308"/>
      <c r="M543" s="358"/>
      <c r="N543" s="310"/>
      <c r="O543" s="347"/>
      <c r="P543" s="295"/>
      <c r="Q543" s="442"/>
    </row>
    <row r="544" spans="2:26" ht="31.5" customHeight="1" x14ac:dyDescent="0.45">
      <c r="B544" s="308"/>
      <c r="M544" s="358"/>
      <c r="N544" s="310"/>
      <c r="O544" s="347"/>
      <c r="P544" s="295"/>
      <c r="Q544" s="442"/>
    </row>
    <row r="545" spans="2:18" ht="31.5" customHeight="1" x14ac:dyDescent="0.45">
      <c r="B545" s="308"/>
      <c r="M545" s="358"/>
      <c r="N545" s="310"/>
      <c r="O545" s="347"/>
      <c r="P545" s="295"/>
      <c r="Q545" s="442"/>
    </row>
    <row r="546" spans="2:18" ht="31.5" customHeight="1" x14ac:dyDescent="0.45">
      <c r="B546" s="308"/>
      <c r="M546" s="358"/>
      <c r="N546" s="310"/>
      <c r="O546" s="347"/>
      <c r="P546" s="295"/>
      <c r="Q546" s="442"/>
    </row>
    <row r="547" spans="2:18" ht="31.5" customHeight="1" x14ac:dyDescent="0.45">
      <c r="B547" s="308"/>
      <c r="M547" s="358"/>
      <c r="N547" s="310"/>
      <c r="O547" s="347"/>
      <c r="P547" s="295"/>
      <c r="Q547" s="442"/>
    </row>
    <row r="548" spans="2:18" ht="31.5" customHeight="1" x14ac:dyDescent="0.45">
      <c r="B548" s="308"/>
      <c r="M548" s="358"/>
      <c r="N548" s="310"/>
      <c r="O548" s="347"/>
      <c r="P548" s="295"/>
      <c r="Q548" s="442"/>
    </row>
    <row r="549" spans="2:18" ht="31.5" customHeight="1" x14ac:dyDescent="0.45">
      <c r="B549" s="445"/>
      <c r="C549" s="429"/>
      <c r="D549" s="429"/>
      <c r="E549" s="429"/>
      <c r="F549" s="429"/>
      <c r="G549" s="429"/>
      <c r="H549" s="429"/>
      <c r="I549" s="429"/>
      <c r="J549" s="429"/>
      <c r="K549" s="306"/>
      <c r="L549" s="306"/>
      <c r="M549" s="352"/>
      <c r="N549" s="307"/>
      <c r="O549" s="352"/>
      <c r="P549" s="307"/>
      <c r="Q549" s="446"/>
    </row>
    <row r="550" spans="2:18" ht="31.5" customHeight="1" x14ac:dyDescent="0.45">
      <c r="C550" s="422"/>
    </row>
    <row r="551" spans="2:18" ht="31.5" customHeight="1" x14ac:dyDescent="0.45">
      <c r="C551" s="422"/>
    </row>
    <row r="552" spans="2:18" ht="31.5" customHeight="1" x14ac:dyDescent="0.45">
      <c r="C552" s="422"/>
      <c r="D552" s="417" t="str">
        <f>Criteria!E9</f>
        <v>HOLDING COMPANY 268 (PROPRIETARY) LIMITED</v>
      </c>
      <c r="O552" s="346" t="s">
        <v>96</v>
      </c>
      <c r="Q552" s="292">
        <f>MAX($Q$114:Q551)+1</f>
        <v>8</v>
      </c>
    </row>
    <row r="553" spans="2:18" ht="31.5" customHeight="1" x14ac:dyDescent="0.45">
      <c r="C553" s="422"/>
      <c r="D553" s="417" t="str">
        <f>Criteria!E10</f>
        <v>CONSOLIDATED FINANCIAL STATEMENTS</v>
      </c>
      <c r="R553" s="403" t="str">
        <f>IF(D553=0,"DELETE"," ")</f>
        <v xml:space="preserve"> </v>
      </c>
    </row>
    <row r="554" spans="2:18" ht="31.5" customHeight="1" x14ac:dyDescent="0.45">
      <c r="C554" s="422"/>
    </row>
    <row r="555" spans="2:18" ht="31.5" customHeight="1" x14ac:dyDescent="0.45">
      <c r="C555" s="422"/>
      <c r="D555" s="417" t="s">
        <v>377</v>
      </c>
    </row>
    <row r="556" spans="2:18" ht="31.5" customHeight="1" x14ac:dyDescent="0.45">
      <c r="C556" s="422"/>
      <c r="D556" s="417" t="str">
        <f>Criteria!E20</f>
        <v>29 FEBRUARY 2024</v>
      </c>
    </row>
    <row r="557" spans="2:18" ht="31.5" customHeight="1" x14ac:dyDescent="0.45">
      <c r="C557" s="422"/>
    </row>
    <row r="558" spans="2:18" ht="31.5" customHeight="1" x14ac:dyDescent="0.45">
      <c r="B558" s="438"/>
      <c r="C558" s="452"/>
      <c r="D558" s="439"/>
      <c r="E558" s="439"/>
      <c r="F558" s="439"/>
      <c r="G558" s="439"/>
      <c r="H558" s="439"/>
      <c r="I558" s="439"/>
      <c r="J558" s="439"/>
      <c r="K558" s="439"/>
      <c r="L558" s="439"/>
      <c r="M558" s="447"/>
      <c r="N558" s="448"/>
      <c r="O558" s="447"/>
      <c r="P558" s="448"/>
      <c r="Q558" s="440"/>
    </row>
    <row r="559" spans="2:18" ht="31.5" customHeight="1" x14ac:dyDescent="0.45">
      <c r="B559" s="323">
        <v>1</v>
      </c>
      <c r="C559" s="417" t="s">
        <v>1010</v>
      </c>
      <c r="Q559" s="442"/>
    </row>
    <row r="560" spans="2:18" ht="31.5" customHeight="1" x14ac:dyDescent="0.45">
      <c r="B560" s="323"/>
      <c r="C560" s="453"/>
      <c r="D560" s="400" t="s">
        <v>1169</v>
      </c>
      <c r="Q560" s="442"/>
    </row>
    <row r="561" spans="2:18" ht="31.5" customHeight="1" x14ac:dyDescent="0.45">
      <c r="B561" s="323"/>
      <c r="C561" s="453"/>
      <c r="D561" s="400" t="s">
        <v>1168</v>
      </c>
      <c r="Q561" s="442"/>
    </row>
    <row r="562" spans="2:18" ht="31.5" customHeight="1" x14ac:dyDescent="0.45">
      <c r="B562" s="323"/>
      <c r="C562" s="453"/>
      <c r="D562" s="400" t="str">
        <f>IF(Criteria!E24="No","The principal accounting policies and which are consistent with those of the previous year,","The principal accounting policies are as follows:")</f>
        <v>The principal accounting policies and which are consistent with those of the previous year,</v>
      </c>
      <c r="Q562" s="442"/>
    </row>
    <row r="563" spans="2:18" ht="31.5" customHeight="1" x14ac:dyDescent="0.45">
      <c r="B563" s="323"/>
      <c r="C563" s="453"/>
      <c r="D563" s="400" t="str">
        <f>IF(Criteria!E24="No","except where stated otherwise, are as follows:"," ")</f>
        <v>except where stated otherwise, are as follows:</v>
      </c>
      <c r="Q563" s="442"/>
      <c r="R563" s="403" t="str">
        <f>IF(D563=" ","DELETE"," ")</f>
        <v xml:space="preserve"> </v>
      </c>
    </row>
    <row r="564" spans="2:18" ht="31.5" customHeight="1" x14ac:dyDescent="0.45">
      <c r="B564" s="323"/>
      <c r="C564" s="453"/>
      <c r="Q564" s="442"/>
    </row>
    <row r="565" spans="2:18" ht="31.5" customHeight="1" x14ac:dyDescent="0.45">
      <c r="B565" s="323"/>
      <c r="C565" s="422">
        <f>B559+0.1</f>
        <v>1.1000000000000001</v>
      </c>
      <c r="D565" s="417" t="s">
        <v>927</v>
      </c>
      <c r="Q565" s="442"/>
    </row>
    <row r="566" spans="2:18" ht="31.5" customHeight="1" x14ac:dyDescent="0.45">
      <c r="B566" s="323"/>
      <c r="C566" s="422"/>
      <c r="D566" s="400" t="s">
        <v>1170</v>
      </c>
      <c r="Q566" s="442"/>
    </row>
    <row r="567" spans="2:18" ht="31.5" customHeight="1" x14ac:dyDescent="0.45">
      <c r="B567" s="323"/>
      <c r="C567" s="453"/>
      <c r="D567" s="400" t="str">
        <f>CONCATENATE("its wholly-owned ",IF(Criteria!E15=0,"subsidiary.","subsidiaries.")," All intragroup transactions, balances, income and expenses are")</f>
        <v>its wholly-owned subsidiaries. All intragroup transactions, balances, income and expenses are</v>
      </c>
      <c r="Q567" s="442"/>
    </row>
    <row r="568" spans="2:18" ht="31.5" customHeight="1" x14ac:dyDescent="0.45">
      <c r="B568" s="323"/>
      <c r="C568" s="453"/>
      <c r="D568" s="400" t="s">
        <v>928</v>
      </c>
      <c r="Q568" s="442"/>
    </row>
    <row r="569" spans="2:18" ht="31.5" customHeight="1" x14ac:dyDescent="0.45">
      <c r="B569" s="323"/>
      <c r="C569" s="453"/>
      <c r="Q569" s="442"/>
    </row>
    <row r="570" spans="2:18" ht="31.5" customHeight="1" x14ac:dyDescent="0.45">
      <c r="B570" s="323"/>
      <c r="C570" s="422">
        <f>MAX(C$559:C569)+0.1</f>
        <v>1.2000000000000002</v>
      </c>
      <c r="D570" s="417" t="s">
        <v>48</v>
      </c>
      <c r="Q570" s="442"/>
    </row>
    <row r="571" spans="2:18" ht="31.5" customHeight="1" x14ac:dyDescent="0.45">
      <c r="B571" s="323"/>
      <c r="C571" s="453"/>
      <c r="D571" s="400" t="s">
        <v>929</v>
      </c>
      <c r="Q571" s="442"/>
    </row>
    <row r="572" spans="2:18" ht="31.5" customHeight="1" x14ac:dyDescent="0.45">
      <c r="B572" s="323"/>
      <c r="C572" s="453"/>
      <c r="D572" s="400" t="s">
        <v>930</v>
      </c>
      <c r="Q572" s="442"/>
    </row>
    <row r="573" spans="2:18" ht="31.5" customHeight="1" x14ac:dyDescent="0.45">
      <c r="B573" s="323"/>
      <c r="C573" s="453"/>
      <c r="D573" s="400" t="s">
        <v>1007</v>
      </c>
      <c r="Q573" s="442"/>
    </row>
    <row r="574" spans="2:18" ht="31.5" customHeight="1" x14ac:dyDescent="0.45">
      <c r="B574" s="323"/>
      <c r="C574" s="453"/>
      <c r="D574" s="454" t="s">
        <v>907</v>
      </c>
      <c r="Q574" s="442"/>
    </row>
    <row r="575" spans="2:18" ht="31.5" customHeight="1" x14ac:dyDescent="0.45">
      <c r="B575" s="323"/>
      <c r="C575" s="453"/>
      <c r="D575" s="400" t="s">
        <v>931</v>
      </c>
      <c r="Q575" s="442"/>
    </row>
    <row r="576" spans="2:18" ht="31.5" customHeight="1" x14ac:dyDescent="0.45">
      <c r="B576" s="323"/>
      <c r="C576" s="453"/>
      <c r="D576" s="400" t="s">
        <v>932</v>
      </c>
      <c r="Q576" s="442"/>
    </row>
    <row r="577" spans="2:17" ht="31.5" customHeight="1" x14ac:dyDescent="0.45">
      <c r="B577" s="323"/>
      <c r="C577" s="453"/>
      <c r="D577" s="454" t="s">
        <v>908</v>
      </c>
      <c r="Q577" s="442"/>
    </row>
    <row r="578" spans="2:17" ht="31.5" customHeight="1" x14ac:dyDescent="0.45">
      <c r="B578" s="323"/>
      <c r="C578" s="453"/>
      <c r="D578" s="400" t="s">
        <v>933</v>
      </c>
      <c r="Q578" s="442"/>
    </row>
    <row r="579" spans="2:17" ht="31.5" customHeight="1" x14ac:dyDescent="0.45">
      <c r="B579" s="323"/>
      <c r="C579" s="453"/>
      <c r="D579" s="400" t="s">
        <v>934</v>
      </c>
      <c r="Q579" s="442"/>
    </row>
    <row r="580" spans="2:17" ht="31.5" customHeight="1" x14ac:dyDescent="0.45">
      <c r="B580" s="323"/>
      <c r="C580" s="453"/>
      <c r="D580" s="400" t="s">
        <v>935</v>
      </c>
      <c r="Q580" s="442"/>
    </row>
    <row r="581" spans="2:17" ht="31.5" customHeight="1" x14ac:dyDescent="0.45">
      <c r="B581" s="323"/>
      <c r="C581" s="453"/>
      <c r="Q581" s="442"/>
    </row>
    <row r="582" spans="2:17" ht="31.5" customHeight="1" x14ac:dyDescent="0.45">
      <c r="B582" s="323"/>
      <c r="C582" s="422">
        <f>MAX(C$559:C581)+0.1</f>
        <v>1.3000000000000003</v>
      </c>
      <c r="D582" s="417" t="s">
        <v>116</v>
      </c>
      <c r="Q582" s="442"/>
    </row>
    <row r="583" spans="2:17" ht="31.5" customHeight="1" x14ac:dyDescent="0.45">
      <c r="B583" s="323"/>
      <c r="C583" s="453"/>
      <c r="D583" s="454" t="s">
        <v>936</v>
      </c>
      <c r="Q583" s="442"/>
    </row>
    <row r="584" spans="2:17" ht="31.5" customHeight="1" x14ac:dyDescent="0.45">
      <c r="B584" s="323"/>
      <c r="C584" s="453"/>
      <c r="D584" s="400" t="s">
        <v>937</v>
      </c>
      <c r="Q584" s="442"/>
    </row>
    <row r="585" spans="2:17" ht="31.5" customHeight="1" x14ac:dyDescent="0.45">
      <c r="B585" s="323"/>
      <c r="C585" s="453"/>
      <c r="D585" s="400" t="s">
        <v>938</v>
      </c>
      <c r="Q585" s="442"/>
    </row>
    <row r="586" spans="2:17" ht="31.5" customHeight="1" x14ac:dyDescent="0.45">
      <c r="B586" s="323"/>
      <c r="C586" s="453"/>
      <c r="D586" s="400" t="s">
        <v>939</v>
      </c>
      <c r="Q586" s="442"/>
    </row>
    <row r="587" spans="2:17" ht="31.5" customHeight="1" x14ac:dyDescent="0.45">
      <c r="B587" s="323"/>
      <c r="C587" s="453"/>
      <c r="D587" s="400" t="s">
        <v>940</v>
      </c>
      <c r="Q587" s="442"/>
    </row>
    <row r="588" spans="2:17" ht="31.5" customHeight="1" x14ac:dyDescent="0.45">
      <c r="B588" s="323"/>
      <c r="C588" s="453"/>
      <c r="D588" s="454" t="s">
        <v>941</v>
      </c>
      <c r="Q588" s="442"/>
    </row>
    <row r="589" spans="2:17" ht="31.5" customHeight="1" x14ac:dyDescent="0.45">
      <c r="B589" s="323"/>
      <c r="C589" s="453"/>
      <c r="D589" s="400" t="s">
        <v>942</v>
      </c>
      <c r="Q589" s="442"/>
    </row>
    <row r="590" spans="2:17" ht="31.5" customHeight="1" x14ac:dyDescent="0.45">
      <c r="B590" s="323"/>
      <c r="C590" s="453"/>
      <c r="D590" s="400" t="s">
        <v>1171</v>
      </c>
      <c r="Q590" s="442"/>
    </row>
    <row r="591" spans="2:17" ht="31.5" customHeight="1" x14ac:dyDescent="0.45">
      <c r="B591" s="323"/>
      <c r="C591" s="453"/>
      <c r="D591" s="400" t="s">
        <v>1173</v>
      </c>
      <c r="Q591" s="442"/>
    </row>
    <row r="592" spans="2:17" ht="31.5" customHeight="1" x14ac:dyDescent="0.45">
      <c r="B592" s="323"/>
      <c r="C592" s="453"/>
      <c r="D592" s="400" t="s">
        <v>1172</v>
      </c>
      <c r="Q592" s="442"/>
    </row>
    <row r="593" spans="2:17" ht="31.5" customHeight="1" x14ac:dyDescent="0.45">
      <c r="B593" s="323"/>
      <c r="C593" s="453"/>
      <c r="D593" s="400" t="s">
        <v>943</v>
      </c>
      <c r="Q593" s="442"/>
    </row>
    <row r="594" spans="2:17" ht="31.5" customHeight="1" x14ac:dyDescent="0.45">
      <c r="B594" s="323"/>
      <c r="C594" s="453"/>
      <c r="D594" s="400" t="s">
        <v>944</v>
      </c>
      <c r="Q594" s="442"/>
    </row>
    <row r="595" spans="2:17" ht="31.5" customHeight="1" x14ac:dyDescent="0.45">
      <c r="B595" s="323"/>
      <c r="C595" s="453"/>
      <c r="D595" s="400" t="s">
        <v>945</v>
      </c>
      <c r="Q595" s="442"/>
    </row>
    <row r="596" spans="2:17" ht="31.5" customHeight="1" x14ac:dyDescent="0.45">
      <c r="B596" s="323"/>
      <c r="C596" s="453"/>
      <c r="D596" s="454" t="s">
        <v>946</v>
      </c>
      <c r="Q596" s="442"/>
    </row>
    <row r="597" spans="2:17" ht="31.5" customHeight="1" x14ac:dyDescent="0.45">
      <c r="B597" s="323"/>
      <c r="C597" s="453"/>
      <c r="D597" s="400" t="s">
        <v>947</v>
      </c>
      <c r="Q597" s="442"/>
    </row>
    <row r="598" spans="2:17" ht="31.5" customHeight="1" x14ac:dyDescent="0.45">
      <c r="B598" s="323"/>
      <c r="C598" s="453"/>
      <c r="D598" s="400" t="s">
        <v>948</v>
      </c>
      <c r="Q598" s="442"/>
    </row>
    <row r="599" spans="2:17" ht="31.5" customHeight="1" x14ac:dyDescent="0.45">
      <c r="B599" s="323"/>
      <c r="C599" s="453"/>
      <c r="Q599" s="442"/>
    </row>
    <row r="600" spans="2:17" ht="31.5" customHeight="1" x14ac:dyDescent="0.45">
      <c r="B600" s="323"/>
      <c r="C600" s="405"/>
      <c r="D600" s="405"/>
      <c r="E600" s="405"/>
      <c r="F600" s="405"/>
      <c r="G600" s="405"/>
      <c r="H600" s="405"/>
      <c r="I600" s="405"/>
      <c r="J600" s="405"/>
      <c r="K600" s="405"/>
      <c r="L600" s="405"/>
      <c r="M600" s="405"/>
      <c r="N600" s="405"/>
      <c r="O600" s="405"/>
      <c r="P600" s="405"/>
      <c r="Q600" s="405"/>
    </row>
    <row r="601" spans="2:17" ht="31.5" customHeight="1" x14ac:dyDescent="0.45">
      <c r="B601" s="323"/>
      <c r="C601" s="405"/>
      <c r="D601" s="405"/>
      <c r="E601" s="405"/>
      <c r="F601" s="405"/>
      <c r="G601" s="405"/>
      <c r="H601" s="405"/>
      <c r="I601" s="405"/>
      <c r="J601" s="405"/>
      <c r="K601" s="405"/>
      <c r="L601" s="405"/>
      <c r="M601" s="405"/>
      <c r="N601" s="405"/>
      <c r="O601" s="405"/>
      <c r="P601" s="405"/>
      <c r="Q601" s="405"/>
    </row>
    <row r="602" spans="2:17" ht="31.5" customHeight="1" x14ac:dyDescent="0.45">
      <c r="B602" s="323"/>
      <c r="C602" s="405"/>
      <c r="D602" s="405"/>
      <c r="E602" s="405"/>
      <c r="F602" s="405"/>
      <c r="G602" s="405"/>
      <c r="H602" s="405"/>
      <c r="I602" s="405"/>
      <c r="J602" s="405"/>
      <c r="K602" s="405"/>
      <c r="L602" s="405"/>
      <c r="M602" s="405"/>
      <c r="N602" s="405"/>
      <c r="O602" s="405"/>
      <c r="P602" s="405"/>
      <c r="Q602" s="405"/>
    </row>
    <row r="603" spans="2:17" ht="31.5" customHeight="1" x14ac:dyDescent="0.45">
      <c r="B603" s="323"/>
      <c r="C603" s="453"/>
      <c r="Q603" s="442"/>
    </row>
    <row r="604" spans="2:17" ht="31.5" customHeight="1" x14ac:dyDescent="0.45">
      <c r="B604" s="323"/>
      <c r="C604" s="453"/>
      <c r="Q604" s="442"/>
    </row>
    <row r="605" spans="2:17" ht="31.5" customHeight="1" x14ac:dyDescent="0.45">
      <c r="B605" s="445"/>
      <c r="C605" s="429"/>
      <c r="D605" s="429"/>
      <c r="E605" s="429"/>
      <c r="F605" s="429"/>
      <c r="G605" s="429"/>
      <c r="H605" s="429"/>
      <c r="I605" s="429"/>
      <c r="J605" s="429"/>
      <c r="K605" s="306"/>
      <c r="L605" s="306"/>
      <c r="M605" s="352"/>
      <c r="N605" s="307"/>
      <c r="O605" s="352"/>
      <c r="P605" s="307"/>
      <c r="Q605" s="446"/>
    </row>
    <row r="606" spans="2:17" ht="31.5" customHeight="1" x14ac:dyDescent="0.45">
      <c r="C606" s="422"/>
    </row>
    <row r="607" spans="2:17" ht="31.5" customHeight="1" x14ac:dyDescent="0.45">
      <c r="C607" s="422"/>
    </row>
    <row r="608" spans="2:17" ht="31.5" customHeight="1" x14ac:dyDescent="0.45">
      <c r="C608" s="422"/>
      <c r="D608" s="417" t="str">
        <f>Criteria!E9</f>
        <v>HOLDING COMPANY 268 (PROPRIETARY) LIMITED</v>
      </c>
      <c r="O608" s="346" t="s">
        <v>96</v>
      </c>
      <c r="Q608" s="292">
        <f>MAX($Q$114:Q607)+1</f>
        <v>9</v>
      </c>
    </row>
    <row r="609" spans="2:18" ht="31.5" customHeight="1" x14ac:dyDescent="0.45">
      <c r="C609" s="422"/>
      <c r="D609" s="417" t="str">
        <f>Criteria!E10</f>
        <v>CONSOLIDATED FINANCIAL STATEMENTS</v>
      </c>
      <c r="R609" s="403" t="str">
        <f>IF(D609=0,"DELETE"," ")</f>
        <v xml:space="preserve"> </v>
      </c>
    </row>
    <row r="610" spans="2:18" ht="31.5" customHeight="1" x14ac:dyDescent="0.45">
      <c r="C610" s="422"/>
    </row>
    <row r="611" spans="2:18" ht="31.5" customHeight="1" x14ac:dyDescent="0.45">
      <c r="C611" s="422"/>
      <c r="D611" s="417" t="s">
        <v>377</v>
      </c>
    </row>
    <row r="612" spans="2:18" ht="31.5" customHeight="1" x14ac:dyDescent="0.45">
      <c r="C612" s="422"/>
      <c r="D612" s="417" t="str">
        <f>Criteria!E20</f>
        <v>29 FEBRUARY 2024</v>
      </c>
      <c r="J612" s="400" t="s">
        <v>247</v>
      </c>
    </row>
    <row r="613" spans="2:18" ht="31.5" customHeight="1" x14ac:dyDescent="0.45">
      <c r="C613" s="422"/>
    </row>
    <row r="614" spans="2:18" ht="31.5" customHeight="1" x14ac:dyDescent="0.45">
      <c r="B614" s="438"/>
      <c r="C614" s="452"/>
      <c r="D614" s="439"/>
      <c r="E614" s="439"/>
      <c r="F614" s="439"/>
      <c r="G614" s="439"/>
      <c r="H614" s="439"/>
      <c r="I614" s="439"/>
      <c r="J614" s="439"/>
      <c r="K614" s="439"/>
      <c r="L614" s="439"/>
      <c r="M614" s="447"/>
      <c r="N614" s="448"/>
      <c r="O614" s="447"/>
      <c r="P614" s="448"/>
      <c r="Q614" s="440"/>
    </row>
    <row r="615" spans="2:18" ht="31.5" customHeight="1" x14ac:dyDescent="0.45">
      <c r="B615" s="441"/>
      <c r="C615" s="422">
        <f>MAX(C$559:C614)+0.1</f>
        <v>1.4000000000000004</v>
      </c>
      <c r="D615" s="417" t="s">
        <v>809</v>
      </c>
      <c r="Q615" s="442"/>
    </row>
    <row r="616" spans="2:18" ht="31.5" customHeight="1" x14ac:dyDescent="0.45">
      <c r="B616" s="441"/>
      <c r="C616" s="453"/>
      <c r="D616" s="400" t="s">
        <v>957</v>
      </c>
      <c r="Q616" s="442"/>
    </row>
    <row r="617" spans="2:18" ht="31.5" customHeight="1" x14ac:dyDescent="0.45">
      <c r="B617" s="441"/>
      <c r="C617" s="453"/>
      <c r="D617" s="400" t="s">
        <v>949</v>
      </c>
      <c r="Q617" s="442"/>
    </row>
    <row r="618" spans="2:18" ht="31.5" customHeight="1" x14ac:dyDescent="0.45">
      <c r="B618" s="441"/>
      <c r="C618" s="453"/>
      <c r="D618" s="400" t="s">
        <v>950</v>
      </c>
      <c r="Q618" s="442"/>
    </row>
    <row r="619" spans="2:18" ht="31.5" customHeight="1" x14ac:dyDescent="0.45">
      <c r="B619" s="441"/>
      <c r="C619" s="453"/>
      <c r="D619" s="400" t="s">
        <v>951</v>
      </c>
      <c r="Q619" s="442"/>
    </row>
    <row r="620" spans="2:18" ht="31.5" customHeight="1" x14ac:dyDescent="0.45">
      <c r="B620" s="441"/>
      <c r="C620" s="453"/>
      <c r="D620" s="400" t="s">
        <v>952</v>
      </c>
      <c r="Q620" s="442"/>
    </row>
    <row r="621" spans="2:18" ht="31.5" customHeight="1" x14ac:dyDescent="0.45">
      <c r="B621" s="441"/>
      <c r="C621" s="453"/>
      <c r="D621" s="400" t="s">
        <v>958</v>
      </c>
      <c r="Q621" s="442"/>
    </row>
    <row r="622" spans="2:18" ht="31.5" customHeight="1" x14ac:dyDescent="0.45">
      <c r="B622" s="441"/>
      <c r="C622" s="453"/>
      <c r="D622" s="400" t="s">
        <v>953</v>
      </c>
      <c r="Q622" s="442"/>
    </row>
    <row r="623" spans="2:18" ht="31.5" customHeight="1" x14ac:dyDescent="0.45">
      <c r="B623" s="441"/>
      <c r="C623" s="422"/>
      <c r="M623" s="424"/>
      <c r="N623" s="425"/>
      <c r="O623" s="424"/>
      <c r="P623" s="425"/>
      <c r="Q623" s="442"/>
    </row>
    <row r="624" spans="2:18" ht="31.5" customHeight="1" x14ac:dyDescent="0.45">
      <c r="B624" s="441"/>
      <c r="C624" s="422"/>
      <c r="M624" s="424"/>
      <c r="N624" s="425"/>
      <c r="O624" s="424"/>
      <c r="P624" s="425"/>
      <c r="Q624" s="442"/>
    </row>
    <row r="625" spans="2:18" ht="31.5" customHeight="1" x14ac:dyDescent="0.45">
      <c r="B625" s="445"/>
      <c r="C625" s="482"/>
      <c r="D625" s="429"/>
      <c r="E625" s="429"/>
      <c r="F625" s="429"/>
      <c r="G625" s="429"/>
      <c r="H625" s="429"/>
      <c r="I625" s="429"/>
      <c r="J625" s="429"/>
      <c r="K625" s="429"/>
      <c r="L625" s="429"/>
      <c r="M625" s="432"/>
      <c r="N625" s="433"/>
      <c r="O625" s="432"/>
      <c r="P625" s="433"/>
      <c r="Q625" s="446"/>
    </row>
    <row r="626" spans="2:18" ht="31.5" customHeight="1" x14ac:dyDescent="0.45">
      <c r="C626" s="422"/>
    </row>
    <row r="627" spans="2:18" ht="31.5" customHeight="1" x14ac:dyDescent="0.45">
      <c r="C627" s="422"/>
    </row>
    <row r="628" spans="2:18" ht="31.5" customHeight="1" x14ac:dyDescent="0.45">
      <c r="C628" s="422"/>
      <c r="D628" s="417" t="str">
        <f>Criteria!E9</f>
        <v>HOLDING COMPANY 268 (PROPRIETARY) LIMITED</v>
      </c>
      <c r="O628" s="346" t="s">
        <v>96</v>
      </c>
      <c r="Q628" s="292">
        <f>MAX($Q$114:Q627)+1</f>
        <v>10</v>
      </c>
    </row>
    <row r="629" spans="2:18" ht="31.5" customHeight="1" x14ac:dyDescent="0.45">
      <c r="C629" s="422"/>
      <c r="D629" s="417" t="str">
        <f>Criteria!E10</f>
        <v>CONSOLIDATED FINANCIAL STATEMENTS</v>
      </c>
      <c r="R629" s="403" t="str">
        <f>IF(D629=0,"DELETE"," ")</f>
        <v xml:space="preserve"> </v>
      </c>
    </row>
    <row r="630" spans="2:18" ht="31.5" customHeight="1" x14ac:dyDescent="0.45">
      <c r="C630" s="422"/>
    </row>
    <row r="631" spans="2:18" ht="31.5" customHeight="1" x14ac:dyDescent="0.45">
      <c r="C631" s="422"/>
      <c r="D631" s="417" t="s">
        <v>377</v>
      </c>
    </row>
    <row r="632" spans="2:18" ht="31.5" customHeight="1" x14ac:dyDescent="0.45">
      <c r="C632" s="422"/>
      <c r="D632" s="417" t="str">
        <f>Criteria!E20</f>
        <v>29 FEBRUARY 2024</v>
      </c>
      <c r="J632" s="400" t="s">
        <v>247</v>
      </c>
    </row>
    <row r="633" spans="2:18" ht="31.5" customHeight="1" x14ac:dyDescent="0.45">
      <c r="C633" s="422"/>
    </row>
    <row r="634" spans="2:18" ht="31.5" customHeight="1" x14ac:dyDescent="0.45">
      <c r="B634" s="438"/>
      <c r="C634" s="452"/>
      <c r="D634" s="439"/>
      <c r="E634" s="439"/>
      <c r="F634" s="439"/>
      <c r="G634" s="439"/>
      <c r="H634" s="439"/>
      <c r="I634" s="439"/>
      <c r="J634" s="439"/>
      <c r="K634" s="439"/>
      <c r="L634" s="439"/>
      <c r="M634" s="447"/>
      <c r="N634" s="448"/>
      <c r="O634" s="447"/>
      <c r="P634" s="448"/>
      <c r="Q634" s="440"/>
    </row>
    <row r="635" spans="2:18" ht="31.5" customHeight="1" x14ac:dyDescent="0.45">
      <c r="B635" s="323"/>
      <c r="C635" s="453"/>
      <c r="D635" s="400" t="s">
        <v>954</v>
      </c>
      <c r="Q635" s="442"/>
    </row>
    <row r="636" spans="2:18" ht="31.5" customHeight="1" x14ac:dyDescent="0.45">
      <c r="B636" s="323"/>
      <c r="C636" s="453"/>
      <c r="D636" s="400" t="s">
        <v>955</v>
      </c>
      <c r="Q636" s="442"/>
    </row>
    <row r="637" spans="2:18" ht="31.5" customHeight="1" x14ac:dyDescent="0.45">
      <c r="B637" s="323"/>
      <c r="C637" s="453"/>
      <c r="D637" s="400" t="s">
        <v>956</v>
      </c>
      <c r="Q637" s="442"/>
    </row>
    <row r="638" spans="2:18" ht="31.5" customHeight="1" x14ac:dyDescent="0.45">
      <c r="B638" s="323"/>
      <c r="C638" s="453"/>
      <c r="D638" s="400" t="str">
        <f>CONCATENATE("- ",Criteria!F207)</f>
        <v>- Property</v>
      </c>
      <c r="J638" s="316">
        <f>Criteria!F208</f>
        <v>0.02</v>
      </c>
      <c r="K638" s="400" t="str">
        <f>Criteria!F209</f>
        <v>Straight line</v>
      </c>
      <c r="Q638" s="442"/>
    </row>
    <row r="639" spans="2:18" ht="31.5" customHeight="1" x14ac:dyDescent="0.45">
      <c r="B639" s="323"/>
      <c r="C639" s="453"/>
      <c r="D639" s="400" t="str">
        <f>CONCATENATE("- ",Criteria!G206," ",Criteria!G207)</f>
        <v>- Plant and equipment</v>
      </c>
      <c r="J639" s="316">
        <f>Criteria!G208</f>
        <v>0.2</v>
      </c>
      <c r="K639" s="443" t="str">
        <f>Criteria!G209</f>
        <v>Straight line</v>
      </c>
      <c r="Q639" s="442"/>
    </row>
    <row r="640" spans="2:18" ht="31.5" customHeight="1" x14ac:dyDescent="0.45">
      <c r="B640" s="323"/>
      <c r="C640" s="453"/>
      <c r="D640" s="400" t="str">
        <f>CONCATENATE("- ",Criteria!H206," ",Criteria!H207)</f>
        <v>- Motor vehicles</v>
      </c>
      <c r="J640" s="316">
        <f>Criteria!H208</f>
        <v>0.2</v>
      </c>
      <c r="K640" s="443" t="str">
        <f>Criteria!H209</f>
        <v>Straight line</v>
      </c>
      <c r="Q640" s="442"/>
    </row>
    <row r="641" spans="2:18" ht="31.5" customHeight="1" x14ac:dyDescent="0.45">
      <c r="B641" s="323"/>
      <c r="C641" s="453"/>
      <c r="D641" s="400" t="str">
        <f>CONCATENATE("- ",Criteria!I206," ",Criteria!I207)</f>
        <v>- Electronic equipment</v>
      </c>
      <c r="J641" s="316">
        <f>Criteria!I208</f>
        <v>0.33339999999999997</v>
      </c>
      <c r="K641" s="443" t="str">
        <f>Criteria!I209</f>
        <v>Straight line</v>
      </c>
      <c r="Q641" s="442"/>
    </row>
    <row r="642" spans="2:18" ht="31.5" customHeight="1" x14ac:dyDescent="0.45">
      <c r="B642" s="323"/>
      <c r="C642" s="453"/>
      <c r="D642" s="400" t="str">
        <f>CONCATENATE("- ",Criteria!J206," ",Criteria!J207)</f>
        <v>- Furniture and fittings</v>
      </c>
      <c r="J642" s="316">
        <f>Criteria!J208</f>
        <v>0.2</v>
      </c>
      <c r="K642" s="443" t="str">
        <f>Criteria!J209</f>
        <v>Straight line</v>
      </c>
      <c r="Q642" s="442"/>
    </row>
    <row r="643" spans="2:18" ht="31.5" customHeight="1" x14ac:dyDescent="0.45">
      <c r="B643" s="323"/>
      <c r="C643" s="453"/>
      <c r="J643" s="317"/>
      <c r="K643" s="443"/>
      <c r="Q643" s="442"/>
    </row>
    <row r="644" spans="2:18" ht="31.5" customHeight="1" x14ac:dyDescent="0.45">
      <c r="B644" s="323"/>
      <c r="C644" s="453"/>
      <c r="D644" s="400" t="s">
        <v>894</v>
      </c>
      <c r="J644" s="317"/>
      <c r="K644" s="443"/>
      <c r="Q644" s="442"/>
    </row>
    <row r="645" spans="2:18" ht="31.5" customHeight="1" x14ac:dyDescent="0.45">
      <c r="B645" s="323"/>
      <c r="C645" s="453"/>
      <c r="D645" s="400" t="s">
        <v>895</v>
      </c>
      <c r="J645" s="317"/>
      <c r="K645" s="443"/>
      <c r="Q645" s="442"/>
    </row>
    <row r="646" spans="2:18" ht="31.5" customHeight="1" x14ac:dyDescent="0.45">
      <c r="B646" s="323"/>
      <c r="C646" s="453"/>
      <c r="D646" s="400" t="s">
        <v>896</v>
      </c>
      <c r="J646" s="317"/>
      <c r="K646" s="443"/>
      <c r="Q646" s="442"/>
    </row>
    <row r="647" spans="2:18" ht="31.5" customHeight="1" x14ac:dyDescent="0.45">
      <c r="B647" s="323"/>
      <c r="C647" s="453"/>
      <c r="Q647" s="442"/>
    </row>
    <row r="648" spans="2:18" ht="31.5" customHeight="1" x14ac:dyDescent="0.45">
      <c r="B648" s="323"/>
      <c r="C648" s="453"/>
      <c r="D648" s="400" t="s">
        <v>960</v>
      </c>
      <c r="Q648" s="442"/>
    </row>
    <row r="649" spans="2:18" ht="31.5" customHeight="1" x14ac:dyDescent="0.45">
      <c r="B649" s="323"/>
      <c r="C649" s="453"/>
      <c r="Q649" s="442"/>
    </row>
    <row r="650" spans="2:18" ht="31.5" customHeight="1" x14ac:dyDescent="0.45">
      <c r="B650" s="323"/>
      <c r="C650" s="453"/>
      <c r="Q650" s="442"/>
    </row>
    <row r="651" spans="2:18" ht="31.5" customHeight="1" x14ac:dyDescent="0.45">
      <c r="B651" s="445"/>
      <c r="C651" s="429"/>
      <c r="D651" s="429"/>
      <c r="E651" s="429"/>
      <c r="F651" s="429"/>
      <c r="G651" s="429"/>
      <c r="H651" s="429"/>
      <c r="I651" s="429"/>
      <c r="J651" s="429"/>
      <c r="K651" s="306"/>
      <c r="L651" s="306"/>
      <c r="M651" s="352"/>
      <c r="N651" s="307"/>
      <c r="O651" s="352"/>
      <c r="P651" s="307"/>
      <c r="Q651" s="446"/>
    </row>
    <row r="652" spans="2:18" ht="31.5" customHeight="1" x14ac:dyDescent="0.45">
      <c r="C652" s="422"/>
    </row>
    <row r="653" spans="2:18" ht="31.5" customHeight="1" x14ac:dyDescent="0.45">
      <c r="C653" s="422"/>
    </row>
    <row r="654" spans="2:18" ht="31.5" customHeight="1" x14ac:dyDescent="0.45">
      <c r="C654" s="422"/>
      <c r="D654" s="417" t="str">
        <f>Criteria!E9</f>
        <v>HOLDING COMPANY 268 (PROPRIETARY) LIMITED</v>
      </c>
      <c r="O654" s="346" t="s">
        <v>96</v>
      </c>
      <c r="Q654" s="292">
        <f>MAX($Q$114:Q653)+1</f>
        <v>11</v>
      </c>
    </row>
    <row r="655" spans="2:18" ht="31.5" customHeight="1" x14ac:dyDescent="0.45">
      <c r="C655" s="422"/>
      <c r="D655" s="417" t="str">
        <f>Criteria!E10</f>
        <v>CONSOLIDATED FINANCIAL STATEMENTS</v>
      </c>
      <c r="R655" s="403" t="str">
        <f>IF(D655=0,"DELETE"," ")</f>
        <v xml:space="preserve"> </v>
      </c>
    </row>
    <row r="656" spans="2:18" ht="31.5" customHeight="1" x14ac:dyDescent="0.45">
      <c r="C656" s="422"/>
    </row>
    <row r="657" spans="2:18" ht="31.5" customHeight="1" x14ac:dyDescent="0.45">
      <c r="C657" s="422"/>
      <c r="D657" s="417" t="s">
        <v>377</v>
      </c>
    </row>
    <row r="658" spans="2:18" ht="31.5" customHeight="1" x14ac:dyDescent="0.45">
      <c r="C658" s="422"/>
      <c r="D658" s="417" t="str">
        <f>Criteria!E20</f>
        <v>29 FEBRUARY 2024</v>
      </c>
      <c r="J658" s="400" t="s">
        <v>247</v>
      </c>
    </row>
    <row r="659" spans="2:18" ht="31.5" customHeight="1" x14ac:dyDescent="0.45">
      <c r="C659" s="422"/>
    </row>
    <row r="660" spans="2:18" ht="31.5" customHeight="1" x14ac:dyDescent="0.45">
      <c r="B660" s="438"/>
      <c r="C660" s="452"/>
      <c r="D660" s="439"/>
      <c r="E660" s="439"/>
      <c r="F660" s="439"/>
      <c r="G660" s="439"/>
      <c r="H660" s="439"/>
      <c r="I660" s="439"/>
      <c r="J660" s="439"/>
      <c r="K660" s="439"/>
      <c r="L660" s="439"/>
      <c r="M660" s="447"/>
      <c r="N660" s="448"/>
      <c r="O660" s="447"/>
      <c r="P660" s="448"/>
      <c r="Q660" s="440"/>
    </row>
    <row r="661" spans="2:18" ht="31.5" customHeight="1" x14ac:dyDescent="0.45">
      <c r="B661" s="323"/>
      <c r="C661" s="422">
        <f>MAX(C$559:C660)+0.1</f>
        <v>1.5000000000000004</v>
      </c>
      <c r="D661" s="417" t="s">
        <v>961</v>
      </c>
      <c r="Q661" s="442"/>
    </row>
    <row r="662" spans="2:18" ht="31.5" customHeight="1" x14ac:dyDescent="0.45">
      <c r="B662" s="323"/>
      <c r="C662" s="453"/>
      <c r="D662" s="400" t="s">
        <v>962</v>
      </c>
      <c r="Q662" s="442"/>
    </row>
    <row r="663" spans="2:18" ht="31.5" customHeight="1" x14ac:dyDescent="0.45">
      <c r="B663" s="323"/>
      <c r="C663" s="453"/>
      <c r="D663" s="400" t="s">
        <v>963</v>
      </c>
      <c r="Q663" s="442"/>
    </row>
    <row r="664" spans="2:18" ht="31.5" customHeight="1" x14ac:dyDescent="0.45">
      <c r="B664" s="323"/>
      <c r="C664" s="453"/>
      <c r="D664" s="400" t="s">
        <v>964</v>
      </c>
      <c r="Q664" s="442"/>
    </row>
    <row r="665" spans="2:18" ht="31.5" customHeight="1" x14ac:dyDescent="0.45">
      <c r="B665" s="323"/>
      <c r="C665" s="453"/>
      <c r="D665" s="400" t="s">
        <v>965</v>
      </c>
      <c r="Q665" s="442"/>
    </row>
    <row r="666" spans="2:18" ht="31.5" customHeight="1" x14ac:dyDescent="0.45">
      <c r="B666" s="323"/>
      <c r="C666" s="453"/>
      <c r="Q666" s="442"/>
    </row>
    <row r="667" spans="2:18" ht="31.5" customHeight="1" x14ac:dyDescent="0.45">
      <c r="B667" s="323"/>
      <c r="C667" s="453"/>
      <c r="Q667" s="442"/>
    </row>
    <row r="668" spans="2:18" ht="31.5" customHeight="1" x14ac:dyDescent="0.45">
      <c r="B668" s="445"/>
      <c r="C668" s="429"/>
      <c r="D668" s="429"/>
      <c r="E668" s="429"/>
      <c r="F668" s="429"/>
      <c r="G668" s="429"/>
      <c r="H668" s="429"/>
      <c r="I668" s="429"/>
      <c r="J668" s="429"/>
      <c r="K668" s="306"/>
      <c r="L668" s="306"/>
      <c r="M668" s="352"/>
      <c r="N668" s="307"/>
      <c r="O668" s="352"/>
      <c r="P668" s="307"/>
      <c r="Q668" s="446"/>
    </row>
    <row r="669" spans="2:18" ht="31.5" customHeight="1" x14ac:dyDescent="0.45">
      <c r="C669" s="422"/>
    </row>
    <row r="670" spans="2:18" ht="31.5" customHeight="1" x14ac:dyDescent="0.45">
      <c r="C670" s="422"/>
    </row>
    <row r="671" spans="2:18" ht="31.5" customHeight="1" x14ac:dyDescent="0.45">
      <c r="C671" s="422"/>
      <c r="D671" s="417" t="str">
        <f>Criteria!E9</f>
        <v>HOLDING COMPANY 268 (PROPRIETARY) LIMITED</v>
      </c>
      <c r="O671" s="346" t="s">
        <v>96</v>
      </c>
      <c r="Q671" s="292">
        <f>MAX($Q$114:Q670)+1</f>
        <v>12</v>
      </c>
    </row>
    <row r="672" spans="2:18" ht="31.5" customHeight="1" x14ac:dyDescent="0.45">
      <c r="C672" s="422"/>
      <c r="D672" s="417" t="str">
        <f>Criteria!E10</f>
        <v>CONSOLIDATED FINANCIAL STATEMENTS</v>
      </c>
      <c r="R672" s="403" t="str">
        <f>IF(D672=0,"DELETE"," ")</f>
        <v xml:space="preserve"> </v>
      </c>
    </row>
    <row r="673" spans="2:17" ht="31.5" customHeight="1" x14ac:dyDescent="0.45">
      <c r="C673" s="422"/>
    </row>
    <row r="674" spans="2:17" ht="31.5" customHeight="1" x14ac:dyDescent="0.45">
      <c r="C674" s="422"/>
      <c r="D674" s="417" t="s">
        <v>377</v>
      </c>
    </row>
    <row r="675" spans="2:17" ht="31.5" customHeight="1" x14ac:dyDescent="0.45">
      <c r="C675" s="422"/>
      <c r="D675" s="417" t="str">
        <f>Criteria!E20</f>
        <v>29 FEBRUARY 2024</v>
      </c>
      <c r="J675" s="400" t="s">
        <v>247</v>
      </c>
    </row>
    <row r="676" spans="2:17" ht="31.5" customHeight="1" x14ac:dyDescent="0.45">
      <c r="C676" s="422"/>
    </row>
    <row r="677" spans="2:17" ht="31.5" customHeight="1" x14ac:dyDescent="0.45">
      <c r="B677" s="438"/>
      <c r="C677" s="452"/>
      <c r="D677" s="439"/>
      <c r="E677" s="439"/>
      <c r="F677" s="439"/>
      <c r="G677" s="439"/>
      <c r="H677" s="439"/>
      <c r="I677" s="439"/>
      <c r="J677" s="439"/>
      <c r="K677" s="439"/>
      <c r="L677" s="439"/>
      <c r="M677" s="447"/>
      <c r="N677" s="448"/>
      <c r="O677" s="447"/>
      <c r="P677" s="448"/>
      <c r="Q677" s="440"/>
    </row>
    <row r="678" spans="2:17" ht="31.5" customHeight="1" x14ac:dyDescent="0.45">
      <c r="B678" s="323"/>
      <c r="C678" s="422">
        <f>MAX(C$559:C677)+0.1</f>
        <v>1.6000000000000005</v>
      </c>
      <c r="D678" s="417" t="s">
        <v>45</v>
      </c>
      <c r="Q678" s="442"/>
    </row>
    <row r="679" spans="2:17" ht="31.5" customHeight="1" x14ac:dyDescent="0.45">
      <c r="B679" s="323"/>
      <c r="C679" s="453"/>
      <c r="D679" s="400" t="s">
        <v>966</v>
      </c>
      <c r="Q679" s="442"/>
    </row>
    <row r="680" spans="2:17" ht="31.5" customHeight="1" x14ac:dyDescent="0.45">
      <c r="B680" s="323"/>
      <c r="C680" s="453"/>
      <c r="D680" s="454" t="s">
        <v>967</v>
      </c>
      <c r="Q680" s="442"/>
    </row>
    <row r="681" spans="2:17" ht="31.5" customHeight="1" x14ac:dyDescent="0.45">
      <c r="B681" s="323"/>
      <c r="C681" s="453"/>
      <c r="D681" s="400" t="s">
        <v>968</v>
      </c>
      <c r="Q681" s="442"/>
    </row>
    <row r="682" spans="2:17" ht="31.5" customHeight="1" x14ac:dyDescent="0.45">
      <c r="B682" s="323"/>
      <c r="C682" s="453"/>
      <c r="D682" s="400" t="s">
        <v>969</v>
      </c>
      <c r="Q682" s="442"/>
    </row>
    <row r="683" spans="2:17" ht="31.5" customHeight="1" x14ac:dyDescent="0.45">
      <c r="B683" s="323"/>
      <c r="C683" s="453"/>
      <c r="D683" s="400" t="s">
        <v>970</v>
      </c>
      <c r="Q683" s="442"/>
    </row>
    <row r="684" spans="2:17" ht="31.5" customHeight="1" x14ac:dyDescent="0.45">
      <c r="B684" s="323"/>
      <c r="C684" s="453"/>
      <c r="Q684" s="442"/>
    </row>
    <row r="685" spans="2:17" ht="31.5" customHeight="1" x14ac:dyDescent="0.45">
      <c r="B685" s="323"/>
      <c r="C685" s="453"/>
      <c r="Q685" s="442"/>
    </row>
    <row r="686" spans="2:17" ht="31.5" customHeight="1" x14ac:dyDescent="0.45">
      <c r="B686" s="445"/>
      <c r="C686" s="429"/>
      <c r="D686" s="429"/>
      <c r="E686" s="429"/>
      <c r="F686" s="429"/>
      <c r="G686" s="429"/>
      <c r="H686" s="429"/>
      <c r="I686" s="429"/>
      <c r="J686" s="429"/>
      <c r="K686" s="306"/>
      <c r="L686" s="306"/>
      <c r="M686" s="352"/>
      <c r="N686" s="307"/>
      <c r="O686" s="352"/>
      <c r="P686" s="307"/>
      <c r="Q686" s="446"/>
    </row>
    <row r="687" spans="2:17" ht="31.5" customHeight="1" x14ac:dyDescent="0.45">
      <c r="C687" s="422"/>
    </row>
    <row r="688" spans="2:17" ht="31.5" customHeight="1" x14ac:dyDescent="0.45">
      <c r="C688" s="422"/>
    </row>
    <row r="689" spans="2:18" ht="31.5" customHeight="1" x14ac:dyDescent="0.45">
      <c r="C689" s="422"/>
      <c r="D689" s="417" t="str">
        <f>Criteria!E9</f>
        <v>HOLDING COMPANY 268 (PROPRIETARY) LIMITED</v>
      </c>
      <c r="O689" s="346" t="s">
        <v>96</v>
      </c>
      <c r="Q689" s="292">
        <f>MAX($Q$114:Q688)+1</f>
        <v>13</v>
      </c>
    </row>
    <row r="690" spans="2:18" ht="31.5" customHeight="1" x14ac:dyDescent="0.45">
      <c r="C690" s="422"/>
      <c r="D690" s="417" t="str">
        <f>Criteria!E10</f>
        <v>CONSOLIDATED FINANCIAL STATEMENTS</v>
      </c>
      <c r="R690" s="403" t="str">
        <f>IF(D690=0,"DELETE"," ")</f>
        <v xml:space="preserve"> </v>
      </c>
    </row>
    <row r="691" spans="2:18" ht="31.5" customHeight="1" x14ac:dyDescent="0.45">
      <c r="C691" s="422"/>
    </row>
    <row r="692" spans="2:18" ht="31.5" customHeight="1" x14ac:dyDescent="0.45">
      <c r="C692" s="422"/>
      <c r="D692" s="417" t="s">
        <v>377</v>
      </c>
    </row>
    <row r="693" spans="2:18" ht="31.5" customHeight="1" x14ac:dyDescent="0.45">
      <c r="C693" s="422"/>
      <c r="D693" s="417" t="str">
        <f>Criteria!E20</f>
        <v>29 FEBRUARY 2024</v>
      </c>
      <c r="J693" s="400" t="s">
        <v>247</v>
      </c>
    </row>
    <row r="694" spans="2:18" ht="31.5" customHeight="1" x14ac:dyDescent="0.45">
      <c r="C694" s="422"/>
    </row>
    <row r="695" spans="2:18" ht="31.5" customHeight="1" x14ac:dyDescent="0.45">
      <c r="B695" s="438"/>
      <c r="C695" s="452"/>
      <c r="D695" s="439"/>
      <c r="E695" s="439"/>
      <c r="F695" s="439"/>
      <c r="G695" s="439"/>
      <c r="H695" s="439"/>
      <c r="I695" s="439"/>
      <c r="J695" s="439"/>
      <c r="K695" s="439"/>
      <c r="L695" s="439"/>
      <c r="M695" s="447"/>
      <c r="N695" s="448"/>
      <c r="O695" s="447"/>
      <c r="P695" s="448"/>
      <c r="Q695" s="440"/>
    </row>
    <row r="696" spans="2:18" ht="31.5" customHeight="1" x14ac:dyDescent="0.45">
      <c r="B696" s="323"/>
      <c r="C696" s="453"/>
      <c r="D696" s="454" t="s">
        <v>971</v>
      </c>
      <c r="Q696" s="442"/>
    </row>
    <row r="697" spans="2:18" ht="31.5" customHeight="1" x14ac:dyDescent="0.45">
      <c r="B697" s="323"/>
      <c r="C697" s="453"/>
      <c r="D697" s="400" t="s">
        <v>972</v>
      </c>
      <c r="Q697" s="442"/>
    </row>
    <row r="698" spans="2:18" ht="31.5" customHeight="1" x14ac:dyDescent="0.45">
      <c r="B698" s="323"/>
      <c r="C698" s="453"/>
      <c r="D698" s="400" t="s">
        <v>973</v>
      </c>
      <c r="Q698" s="442"/>
    </row>
    <row r="699" spans="2:18" ht="31.5" customHeight="1" x14ac:dyDescent="0.45">
      <c r="B699" s="323"/>
      <c r="C699" s="453"/>
      <c r="D699" s="400" t="s">
        <v>974</v>
      </c>
      <c r="Q699" s="442"/>
    </row>
    <row r="700" spans="2:18" ht="31.5" customHeight="1" x14ac:dyDescent="0.45">
      <c r="B700" s="323"/>
      <c r="C700" s="453"/>
      <c r="D700" s="400" t="s">
        <v>975</v>
      </c>
      <c r="Q700" s="442"/>
    </row>
    <row r="701" spans="2:18" ht="31.5" customHeight="1" x14ac:dyDescent="0.45">
      <c r="B701" s="323"/>
      <c r="C701" s="453"/>
      <c r="D701" s="400" t="str">
        <f>CONCATENATE("- ",Criteria!F229," years")</f>
        <v>- 10 years</v>
      </c>
      <c r="Q701" s="442"/>
    </row>
    <row r="702" spans="2:18" ht="31.5" customHeight="1" x14ac:dyDescent="0.45">
      <c r="B702" s="323"/>
      <c r="C702" s="453"/>
      <c r="Q702" s="442"/>
    </row>
    <row r="703" spans="2:18" ht="31.5" customHeight="1" x14ac:dyDescent="0.45">
      <c r="B703" s="323"/>
      <c r="C703" s="453"/>
      <c r="Q703" s="442"/>
    </row>
    <row r="704" spans="2:18" ht="31.5" customHeight="1" x14ac:dyDescent="0.45">
      <c r="B704" s="445"/>
      <c r="C704" s="429"/>
      <c r="D704" s="429"/>
      <c r="E704" s="429"/>
      <c r="F704" s="429"/>
      <c r="G704" s="429"/>
      <c r="H704" s="429"/>
      <c r="I704" s="429"/>
      <c r="J704" s="429"/>
      <c r="K704" s="306"/>
      <c r="L704" s="306"/>
      <c r="M704" s="352"/>
      <c r="N704" s="307"/>
      <c r="O704" s="352"/>
      <c r="P704" s="307"/>
      <c r="Q704" s="446"/>
    </row>
    <row r="705" spans="2:18" ht="31.5" customHeight="1" x14ac:dyDescent="0.45">
      <c r="C705" s="422"/>
    </row>
    <row r="706" spans="2:18" ht="31.5" customHeight="1" x14ac:dyDescent="0.45">
      <c r="C706" s="422"/>
    </row>
    <row r="707" spans="2:18" ht="31.5" customHeight="1" x14ac:dyDescent="0.45">
      <c r="C707" s="422"/>
      <c r="D707" s="417" t="str">
        <f>Criteria!E9</f>
        <v>HOLDING COMPANY 268 (PROPRIETARY) LIMITED</v>
      </c>
      <c r="O707" s="346" t="s">
        <v>96</v>
      </c>
      <c r="Q707" s="292">
        <f>MAX($Q$114:Q706)+1</f>
        <v>14</v>
      </c>
    </row>
    <row r="708" spans="2:18" ht="31.5" customHeight="1" x14ac:dyDescent="0.45">
      <c r="C708" s="422"/>
      <c r="D708" s="417" t="str">
        <f>Criteria!E10</f>
        <v>CONSOLIDATED FINANCIAL STATEMENTS</v>
      </c>
      <c r="R708" s="403" t="str">
        <f>IF(D708=0,"DELETE"," ")</f>
        <v xml:space="preserve"> </v>
      </c>
    </row>
    <row r="709" spans="2:18" ht="31.5" customHeight="1" x14ac:dyDescent="0.45">
      <c r="C709" s="422"/>
    </row>
    <row r="710" spans="2:18" ht="31.5" customHeight="1" x14ac:dyDescent="0.45">
      <c r="C710" s="422"/>
      <c r="D710" s="417" t="s">
        <v>377</v>
      </c>
    </row>
    <row r="711" spans="2:18" ht="31.5" customHeight="1" x14ac:dyDescent="0.45">
      <c r="C711" s="422"/>
      <c r="D711" s="417" t="str">
        <f>Criteria!E20</f>
        <v>29 FEBRUARY 2024</v>
      </c>
      <c r="J711" s="400" t="s">
        <v>247</v>
      </c>
    </row>
    <row r="712" spans="2:18" ht="31.5" customHeight="1" x14ac:dyDescent="0.45">
      <c r="C712" s="422"/>
    </row>
    <row r="713" spans="2:18" ht="31.5" customHeight="1" x14ac:dyDescent="0.45">
      <c r="B713" s="438"/>
      <c r="C713" s="452"/>
      <c r="D713" s="439"/>
      <c r="E713" s="439"/>
      <c r="F713" s="439"/>
      <c r="G713" s="439"/>
      <c r="H713" s="439"/>
      <c r="I713" s="439"/>
      <c r="J713" s="439"/>
      <c r="K713" s="439"/>
      <c r="L713" s="439"/>
      <c r="M713" s="447"/>
      <c r="N713" s="448"/>
      <c r="O713" s="447"/>
      <c r="P713" s="448"/>
      <c r="Q713" s="440"/>
    </row>
    <row r="714" spans="2:18" ht="31.5" customHeight="1" x14ac:dyDescent="0.45">
      <c r="B714" s="323"/>
      <c r="C714" s="422">
        <f>MAX(C$559:C713)+0.1</f>
        <v>1.7000000000000006</v>
      </c>
      <c r="D714" s="417" t="s">
        <v>978</v>
      </c>
      <c r="Q714" s="442"/>
    </row>
    <row r="715" spans="2:18" ht="31.5" customHeight="1" x14ac:dyDescent="0.45">
      <c r="B715" s="323"/>
      <c r="C715" s="453"/>
      <c r="D715" s="400" t="s">
        <v>979</v>
      </c>
      <c r="Q715" s="442"/>
    </row>
    <row r="716" spans="2:18" ht="31.5" customHeight="1" x14ac:dyDescent="0.45">
      <c r="B716" s="323"/>
      <c r="C716" s="453"/>
      <c r="D716" s="400" t="s">
        <v>980</v>
      </c>
      <c r="Q716" s="442"/>
    </row>
    <row r="717" spans="2:18" ht="31.5" customHeight="1" x14ac:dyDescent="0.45">
      <c r="B717" s="323"/>
      <c r="C717" s="453"/>
      <c r="D717" s="400" t="s">
        <v>981</v>
      </c>
      <c r="Q717" s="442"/>
    </row>
    <row r="718" spans="2:18" ht="31.5" customHeight="1" x14ac:dyDescent="0.45">
      <c r="B718" s="323"/>
      <c r="C718" s="453"/>
      <c r="D718" s="454" t="s">
        <v>982</v>
      </c>
      <c r="Q718" s="442"/>
    </row>
    <row r="719" spans="2:18" ht="31.5" customHeight="1" x14ac:dyDescent="0.45">
      <c r="B719" s="323"/>
      <c r="C719" s="453"/>
      <c r="D719" s="400" t="s">
        <v>983</v>
      </c>
      <c r="Q719" s="442"/>
    </row>
    <row r="720" spans="2:18" ht="31.5" customHeight="1" x14ac:dyDescent="0.45">
      <c r="B720" s="323"/>
      <c r="C720" s="453"/>
      <c r="D720" s="400" t="s">
        <v>1009</v>
      </c>
      <c r="Q720" s="442"/>
    </row>
    <row r="721" spans="2:18" ht="31.5" customHeight="1" x14ac:dyDescent="0.45">
      <c r="B721" s="323"/>
      <c r="C721" s="453"/>
      <c r="D721" s="454" t="s">
        <v>984</v>
      </c>
      <c r="Q721" s="442"/>
    </row>
    <row r="722" spans="2:18" ht="31.5" customHeight="1" x14ac:dyDescent="0.45">
      <c r="B722" s="323"/>
      <c r="C722" s="453"/>
      <c r="D722" s="400" t="s">
        <v>985</v>
      </c>
      <c r="Q722" s="442"/>
    </row>
    <row r="723" spans="2:18" ht="31.5" customHeight="1" x14ac:dyDescent="0.45">
      <c r="B723" s="323"/>
      <c r="C723" s="453"/>
      <c r="D723" s="400" t="s">
        <v>986</v>
      </c>
      <c r="Q723" s="442"/>
    </row>
    <row r="724" spans="2:18" ht="31.5" customHeight="1" x14ac:dyDescent="0.45">
      <c r="B724" s="323"/>
      <c r="C724" s="453"/>
      <c r="Q724" s="442"/>
    </row>
    <row r="725" spans="2:18" ht="31.5" customHeight="1" x14ac:dyDescent="0.45">
      <c r="B725" s="323"/>
      <c r="C725" s="453"/>
      <c r="Q725" s="442"/>
    </row>
    <row r="726" spans="2:18" ht="31.5" customHeight="1" x14ac:dyDescent="0.45">
      <c r="B726" s="445"/>
      <c r="C726" s="429"/>
      <c r="D726" s="429"/>
      <c r="E726" s="429"/>
      <c r="F726" s="429"/>
      <c r="G726" s="429"/>
      <c r="H726" s="429"/>
      <c r="I726" s="429"/>
      <c r="J726" s="429"/>
      <c r="K726" s="306"/>
      <c r="L726" s="306"/>
      <c r="M726" s="352"/>
      <c r="N726" s="307"/>
      <c r="O726" s="352"/>
      <c r="P726" s="307"/>
      <c r="Q726" s="446"/>
    </row>
    <row r="727" spans="2:18" ht="31.5" customHeight="1" x14ac:dyDescent="0.45">
      <c r="C727" s="422"/>
    </row>
    <row r="728" spans="2:18" ht="31.5" customHeight="1" x14ac:dyDescent="0.45">
      <c r="C728" s="422"/>
    </row>
    <row r="729" spans="2:18" ht="31.5" customHeight="1" x14ac:dyDescent="0.45">
      <c r="C729" s="422"/>
      <c r="D729" s="417" t="str">
        <f>Criteria!E9</f>
        <v>HOLDING COMPANY 268 (PROPRIETARY) LIMITED</v>
      </c>
      <c r="O729" s="346" t="s">
        <v>96</v>
      </c>
      <c r="Q729" s="292">
        <f>MAX($Q$114:Q728)+1</f>
        <v>15</v>
      </c>
    </row>
    <row r="730" spans="2:18" ht="31.5" customHeight="1" x14ac:dyDescent="0.45">
      <c r="C730" s="422"/>
      <c r="D730" s="417" t="str">
        <f>Criteria!E10</f>
        <v>CONSOLIDATED FINANCIAL STATEMENTS</v>
      </c>
      <c r="R730" s="403" t="str">
        <f>IF(D730=0,"DELETE"," ")</f>
        <v xml:space="preserve"> </v>
      </c>
    </row>
    <row r="731" spans="2:18" ht="31.5" customHeight="1" x14ac:dyDescent="0.45">
      <c r="C731" s="422"/>
    </row>
    <row r="732" spans="2:18" ht="31.5" customHeight="1" x14ac:dyDescent="0.45">
      <c r="C732" s="422"/>
      <c r="D732" s="417" t="s">
        <v>377</v>
      </c>
    </row>
    <row r="733" spans="2:18" ht="31.5" customHeight="1" x14ac:dyDescent="0.45">
      <c r="C733" s="422"/>
      <c r="D733" s="417" t="str">
        <f>Criteria!E20</f>
        <v>29 FEBRUARY 2024</v>
      </c>
      <c r="J733" s="400" t="s">
        <v>247</v>
      </c>
    </row>
    <row r="734" spans="2:18" ht="31.5" customHeight="1" x14ac:dyDescent="0.45">
      <c r="C734" s="422"/>
    </row>
    <row r="735" spans="2:18" ht="31.5" customHeight="1" x14ac:dyDescent="0.45">
      <c r="B735" s="438"/>
      <c r="C735" s="452"/>
      <c r="D735" s="439"/>
      <c r="E735" s="439"/>
      <c r="F735" s="439"/>
      <c r="G735" s="439"/>
      <c r="H735" s="439"/>
      <c r="I735" s="439"/>
      <c r="J735" s="439"/>
      <c r="K735" s="439"/>
      <c r="L735" s="439"/>
      <c r="M735" s="447"/>
      <c r="N735" s="448"/>
      <c r="O735" s="447"/>
      <c r="P735" s="448"/>
      <c r="Q735" s="440"/>
    </row>
    <row r="736" spans="2:18" ht="31.5" customHeight="1" x14ac:dyDescent="0.45">
      <c r="B736" s="323"/>
      <c r="C736" s="422">
        <f>MAX(C$559:C735)+0.1</f>
        <v>1.8000000000000007</v>
      </c>
      <c r="D736" s="417" t="s">
        <v>915</v>
      </c>
      <c r="Q736" s="442"/>
    </row>
    <row r="737" spans="2:18" ht="31.5" customHeight="1" x14ac:dyDescent="0.45">
      <c r="B737" s="323"/>
      <c r="C737" s="453"/>
      <c r="D737" s="400" t="s">
        <v>987</v>
      </c>
      <c r="Q737" s="442"/>
    </row>
    <row r="738" spans="2:18" ht="31.5" customHeight="1" x14ac:dyDescent="0.45">
      <c r="B738" s="323"/>
      <c r="C738" s="453"/>
      <c r="D738" s="400" t="s">
        <v>988</v>
      </c>
      <c r="Q738" s="442"/>
    </row>
    <row r="739" spans="2:18" ht="31.5" customHeight="1" x14ac:dyDescent="0.45">
      <c r="B739" s="323"/>
      <c r="C739" s="453"/>
      <c r="Q739" s="442"/>
    </row>
    <row r="740" spans="2:18" ht="31.5" customHeight="1" x14ac:dyDescent="0.45">
      <c r="B740" s="323"/>
      <c r="C740" s="453"/>
      <c r="Q740" s="442"/>
    </row>
    <row r="741" spans="2:18" ht="31.5" customHeight="1" x14ac:dyDescent="0.45">
      <c r="B741" s="445"/>
      <c r="C741" s="429"/>
      <c r="D741" s="429"/>
      <c r="E741" s="429"/>
      <c r="F741" s="429"/>
      <c r="G741" s="429"/>
      <c r="H741" s="429"/>
      <c r="I741" s="429"/>
      <c r="J741" s="429"/>
      <c r="K741" s="306"/>
      <c r="L741" s="306"/>
      <c r="M741" s="352"/>
      <c r="N741" s="307"/>
      <c r="O741" s="352"/>
      <c r="P741" s="307"/>
      <c r="Q741" s="446"/>
    </row>
    <row r="742" spans="2:18" ht="31.5" customHeight="1" x14ac:dyDescent="0.45">
      <c r="C742" s="422"/>
    </row>
    <row r="743" spans="2:18" ht="31.5" customHeight="1" x14ac:dyDescent="0.45">
      <c r="C743" s="422"/>
    </row>
    <row r="744" spans="2:18" ht="31.5" customHeight="1" x14ac:dyDescent="0.45">
      <c r="C744" s="422"/>
      <c r="D744" s="417" t="str">
        <f>Criteria!E9</f>
        <v>HOLDING COMPANY 268 (PROPRIETARY) LIMITED</v>
      </c>
      <c r="O744" s="346" t="s">
        <v>96</v>
      </c>
      <c r="Q744" s="292">
        <f>MAX($Q$114:Q743)+1</f>
        <v>16</v>
      </c>
    </row>
    <row r="745" spans="2:18" ht="31.5" customHeight="1" x14ac:dyDescent="0.45">
      <c r="C745" s="422"/>
      <c r="D745" s="417" t="str">
        <f>Criteria!E10</f>
        <v>CONSOLIDATED FINANCIAL STATEMENTS</v>
      </c>
      <c r="R745" s="403" t="str">
        <f>IF(D745=0,"DELETE"," ")</f>
        <v xml:space="preserve"> </v>
      </c>
    </row>
    <row r="746" spans="2:18" ht="31.5" customHeight="1" x14ac:dyDescent="0.45">
      <c r="C746" s="422"/>
    </row>
    <row r="747" spans="2:18" ht="31.5" customHeight="1" x14ac:dyDescent="0.45">
      <c r="C747" s="422"/>
      <c r="D747" s="417" t="s">
        <v>377</v>
      </c>
    </row>
    <row r="748" spans="2:18" ht="31.5" customHeight="1" x14ac:dyDescent="0.45">
      <c r="C748" s="422"/>
      <c r="D748" s="417" t="str">
        <f>Criteria!E20</f>
        <v>29 FEBRUARY 2024</v>
      </c>
      <c r="J748" s="400" t="s">
        <v>247</v>
      </c>
    </row>
    <row r="749" spans="2:18" ht="31.5" customHeight="1" x14ac:dyDescent="0.45">
      <c r="C749" s="422"/>
    </row>
    <row r="750" spans="2:18" ht="31.5" customHeight="1" x14ac:dyDescent="0.45">
      <c r="B750" s="438"/>
      <c r="C750" s="452"/>
      <c r="D750" s="439"/>
      <c r="E750" s="439"/>
      <c r="F750" s="439"/>
      <c r="G750" s="439"/>
      <c r="H750" s="439"/>
      <c r="I750" s="439"/>
      <c r="J750" s="439"/>
      <c r="K750" s="439"/>
      <c r="L750" s="439"/>
      <c r="M750" s="447"/>
      <c r="N750" s="448"/>
      <c r="O750" s="447"/>
      <c r="P750" s="448"/>
      <c r="Q750" s="440"/>
    </row>
    <row r="751" spans="2:18" ht="31.5" customHeight="1" x14ac:dyDescent="0.45">
      <c r="B751" s="323"/>
      <c r="C751" s="422">
        <f>MAX(C$559:C750)+0.1</f>
        <v>1.9000000000000008</v>
      </c>
      <c r="D751" s="417" t="s">
        <v>252</v>
      </c>
      <c r="Q751" s="442"/>
    </row>
    <row r="752" spans="2:18" ht="31.5" customHeight="1" x14ac:dyDescent="0.45">
      <c r="B752" s="323"/>
      <c r="C752" s="453"/>
      <c r="D752" s="454" t="s">
        <v>813</v>
      </c>
      <c r="Q752" s="442"/>
    </row>
    <row r="753" spans="2:18" ht="31.5" customHeight="1" x14ac:dyDescent="0.45">
      <c r="B753" s="323"/>
      <c r="C753" s="453"/>
      <c r="D753" s="400" t="s">
        <v>997</v>
      </c>
      <c r="Q753" s="442"/>
    </row>
    <row r="754" spans="2:18" ht="31.5" customHeight="1" x14ac:dyDescent="0.45">
      <c r="B754" s="323"/>
      <c r="C754" s="453"/>
      <c r="D754" s="400" t="s">
        <v>897</v>
      </c>
      <c r="Q754" s="442"/>
    </row>
    <row r="755" spans="2:18" ht="31.5" customHeight="1" x14ac:dyDescent="0.45">
      <c r="B755" s="323"/>
      <c r="C755" s="453"/>
      <c r="D755" s="400" t="s">
        <v>998</v>
      </c>
      <c r="Q755" s="442"/>
    </row>
    <row r="756" spans="2:18" ht="31.5" customHeight="1" x14ac:dyDescent="0.45">
      <c r="B756" s="323"/>
      <c r="C756" s="453"/>
      <c r="D756" s="400" t="s">
        <v>999</v>
      </c>
      <c r="Q756" s="442"/>
    </row>
    <row r="757" spans="2:18" ht="31.5" customHeight="1" x14ac:dyDescent="0.45">
      <c r="B757" s="323"/>
      <c r="C757" s="453"/>
      <c r="D757" s="400" t="s">
        <v>898</v>
      </c>
      <c r="Q757" s="442"/>
    </row>
    <row r="758" spans="2:18" ht="31.5" customHeight="1" x14ac:dyDescent="0.45">
      <c r="B758" s="323"/>
      <c r="C758" s="453"/>
      <c r="Q758" s="442"/>
    </row>
    <row r="759" spans="2:18" ht="31.5" customHeight="1" x14ac:dyDescent="0.45">
      <c r="B759" s="323"/>
      <c r="C759" s="453"/>
      <c r="Q759" s="442"/>
    </row>
    <row r="760" spans="2:18" ht="31.5" customHeight="1" x14ac:dyDescent="0.45">
      <c r="B760" s="445"/>
      <c r="C760" s="429"/>
      <c r="D760" s="429"/>
      <c r="E760" s="429"/>
      <c r="F760" s="429"/>
      <c r="G760" s="429"/>
      <c r="H760" s="429"/>
      <c r="I760" s="429"/>
      <c r="J760" s="429"/>
      <c r="K760" s="306"/>
      <c r="L760" s="306"/>
      <c r="M760" s="352"/>
      <c r="N760" s="307"/>
      <c r="O760" s="352"/>
      <c r="P760" s="307"/>
      <c r="Q760" s="446"/>
    </row>
    <row r="761" spans="2:18" ht="31.5" customHeight="1" x14ac:dyDescent="0.45">
      <c r="C761" s="422"/>
    </row>
    <row r="762" spans="2:18" ht="31.5" customHeight="1" x14ac:dyDescent="0.45">
      <c r="C762" s="422"/>
    </row>
    <row r="763" spans="2:18" ht="31.5" customHeight="1" x14ac:dyDescent="0.45">
      <c r="C763" s="422"/>
      <c r="D763" s="417" t="str">
        <f>Criteria!E9</f>
        <v>HOLDING COMPANY 268 (PROPRIETARY) LIMITED</v>
      </c>
      <c r="O763" s="346" t="s">
        <v>96</v>
      </c>
      <c r="Q763" s="292">
        <f>MAX($Q$114:Q762)+1</f>
        <v>17</v>
      </c>
    </row>
    <row r="764" spans="2:18" ht="31.5" customHeight="1" x14ac:dyDescent="0.45">
      <c r="C764" s="422"/>
      <c r="D764" s="417" t="str">
        <f>Criteria!E10</f>
        <v>CONSOLIDATED FINANCIAL STATEMENTS</v>
      </c>
      <c r="R764" s="403" t="str">
        <f>IF(D764=0,"DELETE"," ")</f>
        <v xml:space="preserve"> </v>
      </c>
    </row>
    <row r="765" spans="2:18" ht="31.5" customHeight="1" x14ac:dyDescent="0.45">
      <c r="C765" s="422"/>
    </row>
    <row r="766" spans="2:18" ht="31.5" customHeight="1" x14ac:dyDescent="0.45">
      <c r="C766" s="422"/>
      <c r="D766" s="417" t="s">
        <v>377</v>
      </c>
    </row>
    <row r="767" spans="2:18" ht="31.5" customHeight="1" x14ac:dyDescent="0.45">
      <c r="C767" s="422"/>
      <c r="D767" s="417" t="str">
        <f>Criteria!E20</f>
        <v>29 FEBRUARY 2024</v>
      </c>
      <c r="J767" s="400" t="s">
        <v>247</v>
      </c>
    </row>
    <row r="768" spans="2:18" ht="31.5" customHeight="1" x14ac:dyDescent="0.45">
      <c r="C768" s="422"/>
    </row>
    <row r="769" spans="2:17" ht="31.5" customHeight="1" x14ac:dyDescent="0.45">
      <c r="B769" s="438"/>
      <c r="C769" s="452"/>
      <c r="D769" s="439"/>
      <c r="E769" s="439"/>
      <c r="F769" s="439"/>
      <c r="G769" s="439"/>
      <c r="H769" s="439"/>
      <c r="I769" s="439"/>
      <c r="J769" s="439"/>
      <c r="K769" s="439"/>
      <c r="L769" s="439"/>
      <c r="M769" s="447"/>
      <c r="N769" s="448"/>
      <c r="O769" s="447"/>
      <c r="P769" s="448"/>
      <c r="Q769" s="440"/>
    </row>
    <row r="770" spans="2:17" ht="31.5" customHeight="1" x14ac:dyDescent="0.45">
      <c r="B770" s="323"/>
      <c r="C770" s="453"/>
      <c r="D770" s="454" t="s">
        <v>1000</v>
      </c>
      <c r="Q770" s="442"/>
    </row>
    <row r="771" spans="2:17" ht="31.5" customHeight="1" x14ac:dyDescent="0.45">
      <c r="B771" s="323"/>
      <c r="C771" s="453"/>
      <c r="D771" s="400" t="s">
        <v>899</v>
      </c>
      <c r="Q771" s="442"/>
    </row>
    <row r="772" spans="2:17" ht="31.5" customHeight="1" x14ac:dyDescent="0.45">
      <c r="B772" s="323"/>
      <c r="C772" s="453"/>
      <c r="D772" s="400" t="s">
        <v>900</v>
      </c>
      <c r="Q772" s="442"/>
    </row>
    <row r="773" spans="2:17" ht="31.5" customHeight="1" x14ac:dyDescent="0.45">
      <c r="B773" s="323"/>
      <c r="C773" s="453"/>
      <c r="D773" s="400" t="s">
        <v>1001</v>
      </c>
      <c r="Q773" s="442"/>
    </row>
    <row r="774" spans="2:17" ht="31.5" customHeight="1" x14ac:dyDescent="0.45">
      <c r="B774" s="323"/>
      <c r="C774" s="453"/>
      <c r="D774" s="400" t="s">
        <v>1002</v>
      </c>
      <c r="Q774" s="442"/>
    </row>
    <row r="775" spans="2:17" ht="31.5" customHeight="1" x14ac:dyDescent="0.45">
      <c r="B775" s="323"/>
      <c r="C775" s="453"/>
      <c r="D775" s="400" t="s">
        <v>1003</v>
      </c>
      <c r="Q775" s="442"/>
    </row>
    <row r="776" spans="2:17" ht="31.5" customHeight="1" x14ac:dyDescent="0.45">
      <c r="B776" s="323"/>
      <c r="C776" s="453"/>
      <c r="D776" s="400" t="s">
        <v>1004</v>
      </c>
      <c r="Q776" s="442"/>
    </row>
    <row r="777" spans="2:17" ht="31.5" customHeight="1" x14ac:dyDescent="0.45">
      <c r="B777" s="323"/>
      <c r="C777" s="453"/>
      <c r="D777" s="400" t="s">
        <v>1008</v>
      </c>
      <c r="Q777" s="442"/>
    </row>
    <row r="778" spans="2:17" ht="31.5" customHeight="1" x14ac:dyDescent="0.45">
      <c r="B778" s="323"/>
      <c r="C778" s="453"/>
      <c r="D778" s="400" t="s">
        <v>901</v>
      </c>
      <c r="Q778" s="442"/>
    </row>
    <row r="779" spans="2:17" ht="31.5" customHeight="1" x14ac:dyDescent="0.45">
      <c r="B779" s="323"/>
      <c r="C779" s="453"/>
      <c r="Q779" s="442"/>
    </row>
    <row r="780" spans="2:17" ht="31.5" customHeight="1" x14ac:dyDescent="0.45">
      <c r="B780" s="323"/>
      <c r="C780" s="453"/>
      <c r="Q780" s="442"/>
    </row>
    <row r="781" spans="2:17" ht="31.5" customHeight="1" x14ac:dyDescent="0.45">
      <c r="B781" s="445"/>
      <c r="C781" s="429"/>
      <c r="D781" s="429"/>
      <c r="E781" s="429"/>
      <c r="F781" s="429"/>
      <c r="G781" s="429"/>
      <c r="H781" s="429"/>
      <c r="I781" s="429"/>
      <c r="J781" s="429"/>
      <c r="K781" s="306"/>
      <c r="L781" s="306"/>
      <c r="M781" s="352"/>
      <c r="N781" s="307"/>
      <c r="O781" s="352"/>
      <c r="P781" s="307"/>
      <c r="Q781" s="446"/>
    </row>
    <row r="782" spans="2:17" ht="31.5" customHeight="1" x14ac:dyDescent="0.45">
      <c r="C782" s="422"/>
    </row>
    <row r="783" spans="2:17" ht="31.5" customHeight="1" x14ac:dyDescent="0.45">
      <c r="C783" s="422"/>
    </row>
    <row r="784" spans="2:17" ht="31.5" customHeight="1" x14ac:dyDescent="0.45">
      <c r="C784" s="422"/>
      <c r="D784" s="417" t="str">
        <f>Criteria!E9</f>
        <v>HOLDING COMPANY 268 (PROPRIETARY) LIMITED</v>
      </c>
      <c r="O784" s="346" t="s">
        <v>96</v>
      </c>
      <c r="Q784" s="292">
        <f>MAX($Q$114:Q783)+1</f>
        <v>18</v>
      </c>
    </row>
    <row r="785" spans="2:18" ht="31.5" customHeight="1" x14ac:dyDescent="0.45">
      <c r="C785" s="422"/>
      <c r="D785" s="417" t="str">
        <f>Criteria!E10</f>
        <v>CONSOLIDATED FINANCIAL STATEMENTS</v>
      </c>
      <c r="R785" s="403" t="str">
        <f>IF(D785=0,"DELETE"," ")</f>
        <v xml:space="preserve"> </v>
      </c>
    </row>
    <row r="786" spans="2:18" ht="31.5" customHeight="1" x14ac:dyDescent="0.45">
      <c r="C786" s="422"/>
    </row>
    <row r="787" spans="2:18" ht="31.5" customHeight="1" x14ac:dyDescent="0.45">
      <c r="C787" s="422"/>
      <c r="D787" s="417" t="s">
        <v>377</v>
      </c>
    </row>
    <row r="788" spans="2:18" ht="31.5" customHeight="1" x14ac:dyDescent="0.45">
      <c r="C788" s="422"/>
      <c r="D788" s="417" t="str">
        <f>Criteria!E20</f>
        <v>29 FEBRUARY 2024</v>
      </c>
      <c r="J788" s="400" t="s">
        <v>247</v>
      </c>
    </row>
    <row r="789" spans="2:18" ht="31.5" customHeight="1" x14ac:dyDescent="0.45">
      <c r="C789" s="422"/>
    </row>
    <row r="790" spans="2:18" ht="31.5" customHeight="1" x14ac:dyDescent="0.45">
      <c r="B790" s="438"/>
      <c r="C790" s="452"/>
      <c r="D790" s="439"/>
      <c r="E790" s="439"/>
      <c r="F790" s="439"/>
      <c r="G790" s="439"/>
      <c r="H790" s="439"/>
      <c r="I790" s="439"/>
      <c r="J790" s="439"/>
      <c r="K790" s="439"/>
      <c r="L790" s="439"/>
      <c r="M790" s="447"/>
      <c r="N790" s="448"/>
      <c r="O790" s="447"/>
      <c r="P790" s="448"/>
      <c r="Q790" s="440"/>
    </row>
    <row r="791" spans="2:18" ht="31.5" customHeight="1" x14ac:dyDescent="0.45">
      <c r="B791" s="323">
        <f>MAX(B$559:B790)+1</f>
        <v>2</v>
      </c>
      <c r="C791" s="453" t="s">
        <v>49</v>
      </c>
      <c r="D791" s="405"/>
      <c r="Q791" s="442"/>
    </row>
    <row r="792" spans="2:18" ht="31.5" customHeight="1" x14ac:dyDescent="0.45">
      <c r="B792" s="323"/>
      <c r="C792" s="453"/>
      <c r="D792" s="400" t="s">
        <v>1005</v>
      </c>
      <c r="Q792" s="442"/>
    </row>
    <row r="793" spans="2:18" ht="31.5" customHeight="1" x14ac:dyDescent="0.45">
      <c r="B793" s="323"/>
      <c r="C793" s="453"/>
      <c r="Q793" s="442"/>
    </row>
    <row r="794" spans="2:18" ht="31.5" customHeight="1" x14ac:dyDescent="0.45">
      <c r="B794" s="323"/>
      <c r="C794" s="453"/>
      <c r="Q794" s="442"/>
    </row>
    <row r="795" spans="2:18" ht="31.5" customHeight="1" x14ac:dyDescent="0.45">
      <c r="B795" s="455"/>
      <c r="C795" s="456"/>
      <c r="D795" s="429"/>
      <c r="E795" s="429"/>
      <c r="F795" s="429"/>
      <c r="G795" s="429"/>
      <c r="H795" s="429"/>
      <c r="I795" s="429"/>
      <c r="J795" s="429"/>
      <c r="K795" s="429"/>
      <c r="L795" s="429"/>
      <c r="M795" s="432"/>
      <c r="N795" s="433"/>
      <c r="O795" s="432"/>
      <c r="P795" s="433"/>
      <c r="Q795" s="446"/>
    </row>
    <row r="796" spans="2:18" ht="31.5" customHeight="1" x14ac:dyDescent="0.45">
      <c r="B796" s="422"/>
      <c r="C796" s="453"/>
    </row>
    <row r="797" spans="2:18" ht="31.5" customHeight="1" x14ac:dyDescent="0.45">
      <c r="B797" s="422"/>
    </row>
    <row r="798" spans="2:18" ht="31.5" customHeight="1" x14ac:dyDescent="0.45">
      <c r="B798" s="422"/>
      <c r="D798" s="417" t="str">
        <f>Criteria!E9</f>
        <v>HOLDING COMPANY 268 (PROPRIETARY) LIMITED</v>
      </c>
      <c r="O798" s="346" t="s">
        <v>96</v>
      </c>
      <c r="Q798" s="292">
        <f>MAX($Q$114:Q797)+1</f>
        <v>19</v>
      </c>
    </row>
    <row r="799" spans="2:18" ht="31.5" customHeight="1" x14ac:dyDescent="0.45">
      <c r="B799" s="422"/>
      <c r="D799" s="417" t="str">
        <f>Criteria!E10</f>
        <v>CONSOLIDATED FINANCIAL STATEMENTS</v>
      </c>
      <c r="R799" s="403" t="str">
        <f>IF(D799=0,"DELETE"," ")</f>
        <v xml:space="preserve"> </v>
      </c>
    </row>
    <row r="800" spans="2:18" ht="31.5" customHeight="1" x14ac:dyDescent="0.45">
      <c r="B800" s="422"/>
    </row>
    <row r="801" spans="2:18" ht="31.5" customHeight="1" x14ac:dyDescent="0.45">
      <c r="B801" s="422"/>
      <c r="D801" s="417" t="s">
        <v>377</v>
      </c>
    </row>
    <row r="802" spans="2:18" ht="31.5" customHeight="1" x14ac:dyDescent="0.45">
      <c r="B802" s="422"/>
      <c r="D802" s="417" t="str">
        <f>Criteria!E20</f>
        <v>29 FEBRUARY 2024</v>
      </c>
      <c r="J802" s="400" t="s">
        <v>247</v>
      </c>
    </row>
    <row r="803" spans="2:18" ht="31.5" customHeight="1" x14ac:dyDescent="0.45">
      <c r="B803" s="422"/>
      <c r="D803" s="417"/>
    </row>
    <row r="804" spans="2:18" ht="31.5" customHeight="1" x14ac:dyDescent="0.45">
      <c r="B804" s="457"/>
      <c r="C804" s="439"/>
      <c r="D804" s="458"/>
      <c r="E804" s="439"/>
      <c r="F804" s="439"/>
      <c r="G804" s="439"/>
      <c r="H804" s="439"/>
      <c r="I804" s="439"/>
      <c r="J804" s="439"/>
      <c r="K804" s="439"/>
      <c r="L804" s="439"/>
      <c r="M804" s="447"/>
      <c r="N804" s="448"/>
      <c r="O804" s="447"/>
      <c r="P804" s="448"/>
      <c r="Q804" s="440"/>
    </row>
    <row r="805" spans="2:18" ht="31.5" customHeight="1" x14ac:dyDescent="0.45">
      <c r="B805" s="459"/>
      <c r="D805" s="417"/>
      <c r="M805" s="344">
        <f>Criteria!E22</f>
        <v>2024</v>
      </c>
      <c r="N805" s="294"/>
      <c r="O805" s="344">
        <f>Criteria!E27</f>
        <v>2023</v>
      </c>
      <c r="P805" s="425"/>
      <c r="Q805" s="442"/>
    </row>
    <row r="806" spans="2:18" ht="31.5" customHeight="1" x14ac:dyDescent="0.45">
      <c r="B806" s="459"/>
      <c r="D806" s="417"/>
      <c r="M806" s="424"/>
      <c r="N806" s="425"/>
      <c r="O806" s="424"/>
      <c r="P806" s="425"/>
      <c r="Q806" s="442"/>
    </row>
    <row r="807" spans="2:18" ht="31.5" customHeight="1" x14ac:dyDescent="0.45">
      <c r="B807" s="323">
        <f>MAX(B$559:B806)+1</f>
        <v>3</v>
      </c>
      <c r="C807" s="417" t="s">
        <v>112</v>
      </c>
      <c r="D807" s="417"/>
      <c r="M807" s="424"/>
      <c r="N807" s="425"/>
      <c r="O807" s="424"/>
      <c r="P807" s="425"/>
      <c r="Q807" s="442"/>
    </row>
    <row r="808" spans="2:18" ht="31.5" customHeight="1" x14ac:dyDescent="0.45">
      <c r="B808" s="459"/>
      <c r="D808" s="400" t="str">
        <f>TrialBalance!C5</f>
        <v>Sale of goods</v>
      </c>
      <c r="M808" s="436">
        <f>-TrialBalance!L5-TrialBalanceA!I5-TrialBalanceB!I5-TrialBalanceC!I5</f>
        <v>0</v>
      </c>
      <c r="N808" s="460"/>
      <c r="O808" s="436">
        <f>-TrialBalance!N5-TrialBalanceA!K5-TrialBalanceB!K5-TrialBalanceC!K5</f>
        <v>0</v>
      </c>
      <c r="P808" s="425"/>
      <c r="Q808" s="442"/>
      <c r="R808" s="403" t="str">
        <f>IF(M808+O808=0,IF(SUM(M809:M814)+SUM(O809:O814)&gt;0,"DELETE"," ")," ")</f>
        <v xml:space="preserve"> </v>
      </c>
    </row>
    <row r="809" spans="2:18" ht="31.5" customHeight="1" x14ac:dyDescent="0.45">
      <c r="B809" s="459"/>
      <c r="D809" s="400" t="str">
        <f>TrialBalance!C6</f>
        <v>Rendering of services</v>
      </c>
      <c r="M809" s="436">
        <f>-TrialBalance!L6-TrialBalanceA!I6-TrialBalanceB!I6-TrialBalanceC!I6</f>
        <v>0</v>
      </c>
      <c r="N809" s="460"/>
      <c r="O809" s="436">
        <f>-TrialBalance!N6-TrialBalanceA!K6-TrialBalanceB!K6-TrialBalanceC!K6</f>
        <v>0</v>
      </c>
      <c r="P809" s="425"/>
      <c r="Q809" s="442"/>
      <c r="R809" s="403" t="str">
        <f>IF(M809+O809=0,"DELETE"," ")</f>
        <v>DELETE</v>
      </c>
    </row>
    <row r="810" spans="2:18" ht="31.5" customHeight="1" x14ac:dyDescent="0.45">
      <c r="B810" s="459"/>
      <c r="D810" s="400" t="str">
        <f>TrialBalance!C7</f>
        <v>Commissions received</v>
      </c>
      <c r="M810" s="436">
        <f>-TrialBalance!L7-TrialBalanceA!I7-TrialBalanceB!I7-TrialBalanceC!I7</f>
        <v>0</v>
      </c>
      <c r="N810" s="460"/>
      <c r="O810" s="436">
        <f>-TrialBalance!N7-TrialBalanceA!K7-TrialBalanceB!K7-TrialBalanceC!K7</f>
        <v>0</v>
      </c>
      <c r="P810" s="425"/>
      <c r="Q810" s="442"/>
      <c r="R810" s="403" t="str">
        <f t="shared" ref="R810:R813" si="4">IF(M810+O810=0,"DELETE"," ")</f>
        <v>DELETE</v>
      </c>
    </row>
    <row r="811" spans="2:18" ht="31.5" customHeight="1" x14ac:dyDescent="0.45">
      <c r="B811" s="459"/>
      <c r="D811" s="400">
        <f>TrialBalance!C8</f>
        <v>0</v>
      </c>
      <c r="M811" s="436">
        <f>-TrialBalance!L8-TrialBalanceA!I8-TrialBalanceB!I8-TrialBalanceC!I8</f>
        <v>0</v>
      </c>
      <c r="N811" s="460"/>
      <c r="O811" s="436">
        <f>-TrialBalance!N8-TrialBalanceA!K8-TrialBalanceB!K8-TrialBalanceC!K8</f>
        <v>0</v>
      </c>
      <c r="P811" s="425"/>
      <c r="Q811" s="442"/>
      <c r="R811" s="403" t="str">
        <f t="shared" si="4"/>
        <v>DELETE</v>
      </c>
    </row>
    <row r="812" spans="2:18" ht="31.5" customHeight="1" x14ac:dyDescent="0.45">
      <c r="B812" s="459"/>
      <c r="D812" s="400">
        <f>TrialBalance!C9</f>
        <v>0</v>
      </c>
      <c r="M812" s="436">
        <f>-TrialBalance!L9-TrialBalanceA!I9-TrialBalanceB!I9-TrialBalanceC!I9</f>
        <v>0</v>
      </c>
      <c r="N812" s="460"/>
      <c r="O812" s="436">
        <f>-TrialBalance!N9-TrialBalanceA!K9-TrialBalanceB!K9-TrialBalanceC!K9</f>
        <v>0</v>
      </c>
      <c r="P812" s="425"/>
      <c r="Q812" s="442"/>
      <c r="R812" s="403" t="str">
        <f t="shared" si="4"/>
        <v>DELETE</v>
      </c>
    </row>
    <row r="813" spans="2:18" ht="31.5" customHeight="1" x14ac:dyDescent="0.45">
      <c r="B813" s="459"/>
      <c r="D813" s="400">
        <f>TrialBalance!C10</f>
        <v>0</v>
      </c>
      <c r="M813" s="436">
        <f>-TrialBalance!L10-TrialBalanceA!I10-TrialBalanceB!I10-TrialBalanceC!I10</f>
        <v>0</v>
      </c>
      <c r="N813" s="460"/>
      <c r="O813" s="436">
        <f>-TrialBalance!N10-TrialBalanceA!K10-TrialBalanceB!K10-TrialBalanceC!K10</f>
        <v>0</v>
      </c>
      <c r="P813" s="425"/>
      <c r="Q813" s="442"/>
      <c r="R813" s="403" t="str">
        <f t="shared" si="4"/>
        <v>DELETE</v>
      </c>
    </row>
    <row r="814" spans="2:18" ht="31.5" customHeight="1" x14ac:dyDescent="0.45">
      <c r="B814" s="459"/>
      <c r="D814" s="400" t="str">
        <f>TrialBalance!C11</f>
        <v>Rent received</v>
      </c>
      <c r="M814" s="436">
        <f>-TrialBalance!L11-TrialBalanceA!I11-TrialBalanceB!I11-TrialBalanceC!I11</f>
        <v>0</v>
      </c>
      <c r="N814" s="460"/>
      <c r="O814" s="436">
        <f>-TrialBalance!N11-TrialBalanceA!K11-TrialBalanceB!K11-TrialBalanceC!K11</f>
        <v>0</v>
      </c>
      <c r="P814" s="425"/>
      <c r="Q814" s="442"/>
      <c r="R814" s="403" t="str">
        <f>IF(M814+O814=0,"DELETE"," ")</f>
        <v>DELETE</v>
      </c>
    </row>
    <row r="815" spans="2:18" ht="9" customHeight="1" x14ac:dyDescent="0.45">
      <c r="B815" s="459"/>
      <c r="M815" s="437"/>
      <c r="N815" s="461"/>
      <c r="O815" s="437"/>
      <c r="P815" s="425"/>
      <c r="Q815" s="442"/>
    </row>
    <row r="816" spans="2:18" ht="9" customHeight="1" x14ac:dyDescent="0.45">
      <c r="B816" s="459"/>
      <c r="M816" s="436"/>
      <c r="N816" s="460"/>
      <c r="O816" s="436"/>
      <c r="P816" s="425"/>
      <c r="Q816" s="442"/>
    </row>
    <row r="817" spans="2:18" ht="31.5" customHeight="1" x14ac:dyDescent="0.45">
      <c r="B817" s="459"/>
      <c r="D817" s="417"/>
      <c r="M817" s="436">
        <f>SUM(M808:M816)</f>
        <v>0</v>
      </c>
      <c r="N817" s="460"/>
      <c r="O817" s="436">
        <f>SUM(O808:O816)</f>
        <v>0</v>
      </c>
      <c r="P817" s="425"/>
      <c r="Q817" s="442"/>
    </row>
    <row r="818" spans="2:18" ht="9" customHeight="1" thickBot="1" x14ac:dyDescent="0.5">
      <c r="B818" s="459"/>
      <c r="D818" s="417"/>
      <c r="M818" s="435"/>
      <c r="N818" s="462"/>
      <c r="O818" s="435"/>
      <c r="P818" s="425"/>
      <c r="Q818" s="442"/>
    </row>
    <row r="819" spans="2:18" ht="9" customHeight="1" thickTop="1" x14ac:dyDescent="0.45">
      <c r="B819" s="459"/>
      <c r="D819" s="417"/>
      <c r="M819" s="436"/>
      <c r="N819" s="460"/>
      <c r="O819" s="436"/>
      <c r="P819" s="425"/>
      <c r="Q819" s="442"/>
    </row>
    <row r="820" spans="2:18" ht="31.5" customHeight="1" x14ac:dyDescent="0.45">
      <c r="B820" s="459"/>
      <c r="D820" s="417"/>
      <c r="M820" s="424"/>
      <c r="N820" s="425"/>
      <c r="O820" s="424"/>
      <c r="P820" s="425"/>
      <c r="Q820" s="442"/>
    </row>
    <row r="821" spans="2:18" ht="31.5" customHeight="1" x14ac:dyDescent="0.45">
      <c r="B821" s="459"/>
      <c r="D821" s="417"/>
      <c r="M821" s="424"/>
      <c r="N821" s="425"/>
      <c r="O821" s="424"/>
      <c r="P821" s="425"/>
      <c r="Q821" s="442"/>
    </row>
    <row r="822" spans="2:18" ht="31.5" customHeight="1" x14ac:dyDescent="0.45">
      <c r="B822" s="455"/>
      <c r="C822" s="456"/>
      <c r="D822" s="429"/>
      <c r="E822" s="429"/>
      <c r="F822" s="429"/>
      <c r="G822" s="429"/>
      <c r="H822" s="429"/>
      <c r="I822" s="429"/>
      <c r="J822" s="429"/>
      <c r="K822" s="429"/>
      <c r="L822" s="429"/>
      <c r="M822" s="432"/>
      <c r="N822" s="433"/>
      <c r="O822" s="432"/>
      <c r="P822" s="433"/>
      <c r="Q822" s="446"/>
    </row>
    <row r="823" spans="2:18" ht="31.5" customHeight="1" x14ac:dyDescent="0.45">
      <c r="B823" s="422"/>
      <c r="C823" s="453"/>
    </row>
    <row r="824" spans="2:18" ht="31.5" customHeight="1" x14ac:dyDescent="0.45">
      <c r="B824" s="422"/>
      <c r="R824" s="403" t="str">
        <f t="shared" ref="R824:R833" si="5">R$861</f>
        <v>DELETE</v>
      </c>
    </row>
    <row r="825" spans="2:18" ht="31.5" customHeight="1" x14ac:dyDescent="0.45">
      <c r="B825" s="422"/>
      <c r="D825" s="417" t="str">
        <f>Criteria!E9</f>
        <v>HOLDING COMPANY 268 (PROPRIETARY) LIMITED</v>
      </c>
      <c r="O825" s="346" t="s">
        <v>96</v>
      </c>
      <c r="Q825" s="292">
        <f>MAX($Q$114:Q824)+1</f>
        <v>20</v>
      </c>
      <c r="R825" s="403" t="str">
        <f t="shared" si="5"/>
        <v>DELETE</v>
      </c>
    </row>
    <row r="826" spans="2:18" ht="31.5" customHeight="1" x14ac:dyDescent="0.45">
      <c r="B826" s="422"/>
      <c r="D826" s="417" t="str">
        <f>Criteria!E10</f>
        <v>CONSOLIDATED FINANCIAL STATEMENTS</v>
      </c>
      <c r="R826" s="403" t="str">
        <f>IF(R$861="DELETE","DELETE",IF(D826=0,"DELETE"," "))</f>
        <v>DELETE</v>
      </c>
    </row>
    <row r="827" spans="2:18" ht="31.5" customHeight="1" x14ac:dyDescent="0.45">
      <c r="B827" s="422"/>
      <c r="R827" s="403" t="str">
        <f t="shared" si="5"/>
        <v>DELETE</v>
      </c>
    </row>
    <row r="828" spans="2:18" ht="31.5" customHeight="1" x14ac:dyDescent="0.45">
      <c r="B828" s="422"/>
      <c r="D828" s="417" t="s">
        <v>377</v>
      </c>
      <c r="R828" s="403" t="str">
        <f t="shared" si="5"/>
        <v>DELETE</v>
      </c>
    </row>
    <row r="829" spans="2:18" ht="31.5" customHeight="1" x14ac:dyDescent="0.45">
      <c r="B829" s="422"/>
      <c r="D829" s="417" t="str">
        <f>Criteria!E20</f>
        <v>29 FEBRUARY 2024</v>
      </c>
      <c r="J829" s="400" t="s">
        <v>247</v>
      </c>
      <c r="R829" s="403" t="str">
        <f t="shared" si="5"/>
        <v>DELETE</v>
      </c>
    </row>
    <row r="830" spans="2:18" ht="31.5" customHeight="1" x14ac:dyDescent="0.45">
      <c r="B830" s="422"/>
      <c r="D830" s="417"/>
      <c r="R830" s="403" t="str">
        <f t="shared" si="5"/>
        <v>DELETE</v>
      </c>
    </row>
    <row r="831" spans="2:18" ht="31.5" customHeight="1" x14ac:dyDescent="0.45">
      <c r="B831" s="457"/>
      <c r="C831" s="439"/>
      <c r="D831" s="458"/>
      <c r="E831" s="439"/>
      <c r="F831" s="439"/>
      <c r="G831" s="439"/>
      <c r="H831" s="439"/>
      <c r="I831" s="439"/>
      <c r="J831" s="439"/>
      <c r="K831" s="439"/>
      <c r="L831" s="439"/>
      <c r="M831" s="447"/>
      <c r="N831" s="448"/>
      <c r="O831" s="447"/>
      <c r="P831" s="448"/>
      <c r="Q831" s="440"/>
      <c r="R831" s="403" t="str">
        <f t="shared" si="5"/>
        <v>DELETE</v>
      </c>
    </row>
    <row r="832" spans="2:18" ht="31.5" customHeight="1" x14ac:dyDescent="0.45">
      <c r="B832" s="459"/>
      <c r="D832" s="417"/>
      <c r="M832" s="344">
        <f>Criteria!E22</f>
        <v>2024</v>
      </c>
      <c r="N832" s="294"/>
      <c r="O832" s="344">
        <f>Criteria!E27</f>
        <v>2023</v>
      </c>
      <c r="P832" s="425"/>
      <c r="Q832" s="442"/>
      <c r="R832" s="403" t="str">
        <f t="shared" si="5"/>
        <v>DELETE</v>
      </c>
    </row>
    <row r="833" spans="2:18" ht="31.5" customHeight="1" x14ac:dyDescent="0.45">
      <c r="B833" s="459"/>
      <c r="D833" s="417"/>
      <c r="M833" s="424"/>
      <c r="N833" s="425"/>
      <c r="O833" s="424"/>
      <c r="P833" s="425"/>
      <c r="Q833" s="442"/>
      <c r="R833" s="403" t="str">
        <f t="shared" si="5"/>
        <v>DELETE</v>
      </c>
    </row>
    <row r="834" spans="2:18" ht="31.5" customHeight="1" x14ac:dyDescent="0.45">
      <c r="B834" s="323">
        <f>MAX(B$559:B833)+1</f>
        <v>4</v>
      </c>
      <c r="C834" s="417" t="s">
        <v>323</v>
      </c>
      <c r="M834" s="347"/>
      <c r="N834" s="298"/>
      <c r="O834" s="347"/>
      <c r="Q834" s="442"/>
      <c r="R834" s="403" t="str">
        <f>R$861</f>
        <v>DELETE</v>
      </c>
    </row>
    <row r="835" spans="2:18" ht="31.5" customHeight="1" x14ac:dyDescent="0.45">
      <c r="B835" s="323"/>
      <c r="C835" s="417"/>
      <c r="D835" s="400" t="str">
        <f>TrialBalance!C28</f>
        <v>Insurance claims - Investments in financial instruments</v>
      </c>
      <c r="M835" s="347">
        <f>-TrialBalance!L28</f>
        <v>0</v>
      </c>
      <c r="N835" s="298"/>
      <c r="O835" s="347">
        <f>-TrialBalance!N28</f>
        <v>0</v>
      </c>
      <c r="Q835" s="442"/>
      <c r="R835" s="403" t="str">
        <f t="shared" ref="R835:R840" si="6">IF(M835+O835=0,"DELETE"," ")</f>
        <v>DELETE</v>
      </c>
    </row>
    <row r="836" spans="2:18" ht="31.5" customHeight="1" x14ac:dyDescent="0.45">
      <c r="B836" s="323"/>
      <c r="C836" s="417"/>
      <c r="D836" s="400" t="str">
        <f>TrialBalance!C29</f>
        <v>Government grants received</v>
      </c>
      <c r="M836" s="347">
        <f>-TrialBalance!L29</f>
        <v>0</v>
      </c>
      <c r="N836" s="298"/>
      <c r="O836" s="347">
        <f>-TrialBalance!N29</f>
        <v>0</v>
      </c>
      <c r="Q836" s="442"/>
      <c r="R836" s="403" t="str">
        <f t="shared" si="6"/>
        <v>DELETE</v>
      </c>
    </row>
    <row r="837" spans="2:18" ht="31.5" customHeight="1" x14ac:dyDescent="0.45">
      <c r="B837" s="323"/>
      <c r="C837" s="417"/>
      <c r="D837" s="400">
        <f>TrialBalance!C30</f>
        <v>0</v>
      </c>
      <c r="M837" s="347">
        <f>-TrialBalance!L30</f>
        <v>0</v>
      </c>
      <c r="N837" s="298"/>
      <c r="O837" s="347">
        <f>-TrialBalance!N30</f>
        <v>0</v>
      </c>
      <c r="Q837" s="442"/>
      <c r="R837" s="403" t="str">
        <f t="shared" si="6"/>
        <v>DELETE</v>
      </c>
    </row>
    <row r="838" spans="2:18" ht="31.5" customHeight="1" x14ac:dyDescent="0.45">
      <c r="B838" s="323"/>
      <c r="C838" s="417"/>
      <c r="D838" s="400">
        <f>TrialBalance!C31</f>
        <v>0</v>
      </c>
      <c r="M838" s="347">
        <f>-TrialBalance!L31</f>
        <v>0</v>
      </c>
      <c r="N838" s="298"/>
      <c r="O838" s="347">
        <f>-TrialBalance!N31</f>
        <v>0</v>
      </c>
      <c r="Q838" s="442"/>
      <c r="R838" s="403" t="str">
        <f t="shared" si="6"/>
        <v>DELETE</v>
      </c>
    </row>
    <row r="839" spans="2:18" ht="31.5" customHeight="1" x14ac:dyDescent="0.45">
      <c r="B839" s="323"/>
      <c r="C839" s="417"/>
      <c r="D839" s="400">
        <f>TrialBalance!C32</f>
        <v>0</v>
      </c>
      <c r="M839" s="347">
        <f>-TrialBalance!L32</f>
        <v>0</v>
      </c>
      <c r="N839" s="298"/>
      <c r="O839" s="347">
        <f>-TrialBalance!N32</f>
        <v>0</v>
      </c>
      <c r="Q839" s="442"/>
      <c r="R839" s="403" t="str">
        <f t="shared" si="6"/>
        <v>DELETE</v>
      </c>
    </row>
    <row r="840" spans="2:18" ht="31.5" customHeight="1" x14ac:dyDescent="0.45">
      <c r="B840" s="323"/>
      <c r="C840" s="417"/>
      <c r="D840" s="400" t="str">
        <f>TrialBalance!C33</f>
        <v>Recoupment of depreciation</v>
      </c>
      <c r="M840" s="347">
        <f>-TrialBalance!L33</f>
        <v>0</v>
      </c>
      <c r="N840" s="298"/>
      <c r="O840" s="347">
        <f>-TrialBalance!N33</f>
        <v>0</v>
      </c>
      <c r="Q840" s="442"/>
      <c r="R840" s="403" t="str">
        <f t="shared" si="6"/>
        <v>DELETE</v>
      </c>
    </row>
    <row r="841" spans="2:18" ht="31.5" customHeight="1" x14ac:dyDescent="0.45">
      <c r="B841" s="323"/>
      <c r="C841" s="417"/>
      <c r="D841" s="400" t="str">
        <f>TrialBalanceA!C28</f>
        <v>Insurance claims - Subsidiary One 111 (Pty) Ltd</v>
      </c>
      <c r="M841" s="347">
        <f>-TrialBalanceA!I28</f>
        <v>0</v>
      </c>
      <c r="N841" s="298"/>
      <c r="O841" s="347">
        <f>-TrialBalanceA!K28</f>
        <v>0</v>
      </c>
      <c r="Q841" s="442"/>
      <c r="R841" s="403" t="str">
        <f t="shared" ref="R841:R847" si="7">IF(M841+O841=0,"DELETE"," ")</f>
        <v>DELETE</v>
      </c>
    </row>
    <row r="842" spans="2:18" ht="31.5" customHeight="1" x14ac:dyDescent="0.45">
      <c r="B842" s="323"/>
      <c r="C842" s="417"/>
      <c r="D842" s="400" t="str">
        <f>TrialBalanceA!C29</f>
        <v>Government grants received</v>
      </c>
      <c r="M842" s="347">
        <f>-TrialBalanceA!I29</f>
        <v>0</v>
      </c>
      <c r="N842" s="298"/>
      <c r="O842" s="347">
        <f>-TrialBalanceA!K29</f>
        <v>0</v>
      </c>
      <c r="Q842" s="442"/>
      <c r="R842" s="403" t="str">
        <f t="shared" si="7"/>
        <v>DELETE</v>
      </c>
    </row>
    <row r="843" spans="2:18" ht="31.5" customHeight="1" x14ac:dyDescent="0.45">
      <c r="B843" s="323"/>
      <c r="C843" s="417"/>
      <c r="D843" s="400">
        <f>TrialBalanceA!C30</f>
        <v>0</v>
      </c>
      <c r="M843" s="347">
        <f>-TrialBalanceA!I30</f>
        <v>0</v>
      </c>
      <c r="N843" s="298"/>
      <c r="O843" s="347">
        <f>-TrialBalanceA!K30</f>
        <v>0</v>
      </c>
      <c r="Q843" s="442"/>
      <c r="R843" s="403" t="str">
        <f t="shared" si="7"/>
        <v>DELETE</v>
      </c>
    </row>
    <row r="844" spans="2:18" ht="31.5" customHeight="1" x14ac:dyDescent="0.45">
      <c r="B844" s="323"/>
      <c r="C844" s="417"/>
      <c r="D844" s="400">
        <f>TrialBalanceA!C31</f>
        <v>0</v>
      </c>
      <c r="M844" s="347">
        <f>-TrialBalanceA!I31</f>
        <v>0</v>
      </c>
      <c r="N844" s="298"/>
      <c r="O844" s="347">
        <f>-TrialBalanceA!K31</f>
        <v>0</v>
      </c>
      <c r="Q844" s="442"/>
      <c r="R844" s="403" t="str">
        <f t="shared" si="7"/>
        <v>DELETE</v>
      </c>
    </row>
    <row r="845" spans="2:18" ht="31.5" customHeight="1" x14ac:dyDescent="0.45">
      <c r="B845" s="323"/>
      <c r="C845" s="417"/>
      <c r="D845" s="400">
        <f>TrialBalanceA!C32</f>
        <v>0</v>
      </c>
      <c r="M845" s="347">
        <f>-TrialBalanceA!I32</f>
        <v>0</v>
      </c>
      <c r="N845" s="298"/>
      <c r="O845" s="347">
        <f>-TrialBalanceA!K32</f>
        <v>0</v>
      </c>
      <c r="Q845" s="442"/>
      <c r="R845" s="403" t="str">
        <f t="shared" si="7"/>
        <v>DELETE</v>
      </c>
    </row>
    <row r="846" spans="2:18" ht="31.5" customHeight="1" x14ac:dyDescent="0.45">
      <c r="B846" s="323"/>
      <c r="C846" s="417"/>
      <c r="D846" s="400" t="str">
        <f>TrialBalanceA!C33</f>
        <v>Recoupment of depreciation</v>
      </c>
      <c r="M846" s="347">
        <f>-TrialBalanceA!I33</f>
        <v>0</v>
      </c>
      <c r="N846" s="298"/>
      <c r="O846" s="347">
        <f>-TrialBalanceA!K33</f>
        <v>0</v>
      </c>
      <c r="Q846" s="442"/>
      <c r="R846" s="403" t="str">
        <f t="shared" ref="R846" si="8">IF(M846+O846=0,"DELETE"," ")</f>
        <v>DELETE</v>
      </c>
    </row>
    <row r="847" spans="2:18" ht="31.5" customHeight="1" x14ac:dyDescent="0.45">
      <c r="B847" s="323"/>
      <c r="C847" s="417"/>
      <c r="D847" s="400" t="str">
        <f>TrialBalanceB!C28</f>
        <v>Insurance claims - Subsidiary Two 15 (Pty) Ltd</v>
      </c>
      <c r="M847" s="347">
        <f>-TrialBalanceB!I28</f>
        <v>0</v>
      </c>
      <c r="N847" s="298"/>
      <c r="O847" s="347">
        <f>-TrialBalanceB!K28</f>
        <v>0</v>
      </c>
      <c r="Q847" s="442"/>
      <c r="R847" s="403" t="str">
        <f t="shared" si="7"/>
        <v>DELETE</v>
      </c>
    </row>
    <row r="848" spans="2:18" ht="31.5" customHeight="1" x14ac:dyDescent="0.45">
      <c r="B848" s="323"/>
      <c r="C848" s="417"/>
      <c r="D848" s="400" t="str">
        <f>TrialBalanceB!C29</f>
        <v>Government grants received</v>
      </c>
      <c r="M848" s="347">
        <f>-TrialBalanceB!I29</f>
        <v>0</v>
      </c>
      <c r="N848" s="298"/>
      <c r="O848" s="347">
        <f>-TrialBalanceB!K29</f>
        <v>0</v>
      </c>
      <c r="Q848" s="442"/>
      <c r="R848" s="403" t="str">
        <f t="shared" ref="R848:R853" si="9">IF(M848+O848=0,"DELETE"," ")</f>
        <v>DELETE</v>
      </c>
    </row>
    <row r="849" spans="2:18" ht="31.5" customHeight="1" x14ac:dyDescent="0.45">
      <c r="B849" s="323"/>
      <c r="C849" s="417"/>
      <c r="D849" s="400">
        <f>TrialBalanceB!C30</f>
        <v>0</v>
      </c>
      <c r="M849" s="347">
        <f>-TrialBalanceB!I30</f>
        <v>0</v>
      </c>
      <c r="N849" s="298"/>
      <c r="O849" s="347">
        <f>-TrialBalanceB!K30</f>
        <v>0</v>
      </c>
      <c r="Q849" s="442"/>
      <c r="R849" s="403" t="str">
        <f t="shared" si="9"/>
        <v>DELETE</v>
      </c>
    </row>
    <row r="850" spans="2:18" ht="31.5" customHeight="1" x14ac:dyDescent="0.45">
      <c r="B850" s="323"/>
      <c r="C850" s="417"/>
      <c r="D850" s="400">
        <f>TrialBalanceB!C31</f>
        <v>0</v>
      </c>
      <c r="M850" s="347">
        <f>-TrialBalanceB!I31</f>
        <v>0</v>
      </c>
      <c r="N850" s="298"/>
      <c r="O850" s="347">
        <f>-TrialBalanceB!K31</f>
        <v>0</v>
      </c>
      <c r="Q850" s="442"/>
      <c r="R850" s="403" t="str">
        <f t="shared" si="9"/>
        <v>DELETE</v>
      </c>
    </row>
    <row r="851" spans="2:18" ht="31.5" customHeight="1" x14ac:dyDescent="0.45">
      <c r="B851" s="323"/>
      <c r="C851" s="417"/>
      <c r="D851" s="400">
        <f>TrialBalanceB!C32</f>
        <v>0</v>
      </c>
      <c r="M851" s="347">
        <f>-TrialBalanceB!I32</f>
        <v>0</v>
      </c>
      <c r="N851" s="298"/>
      <c r="O851" s="347">
        <f>-TrialBalanceB!K32</f>
        <v>0</v>
      </c>
      <c r="Q851" s="442"/>
      <c r="R851" s="403" t="str">
        <f t="shared" si="9"/>
        <v>DELETE</v>
      </c>
    </row>
    <row r="852" spans="2:18" ht="31.5" customHeight="1" x14ac:dyDescent="0.45">
      <c r="B852" s="323"/>
      <c r="C852" s="417"/>
      <c r="D852" s="400" t="str">
        <f>TrialBalanceB!C33</f>
        <v>Recoupment of depreciation</v>
      </c>
      <c r="M852" s="347">
        <f>-TrialBalanceB!I33</f>
        <v>0</v>
      </c>
      <c r="N852" s="298"/>
      <c r="O852" s="347">
        <f>-TrialBalanceB!K33</f>
        <v>0</v>
      </c>
      <c r="Q852" s="442"/>
      <c r="R852" s="403" t="str">
        <f t="shared" ref="R852" si="10">IF(M852+O852=0,"DELETE"," ")</f>
        <v>DELETE</v>
      </c>
    </row>
    <row r="853" spans="2:18" ht="31.5" customHeight="1" x14ac:dyDescent="0.45">
      <c r="B853" s="323"/>
      <c r="C853" s="417"/>
      <c r="D853" s="400" t="str">
        <f>TrialBalanceC!C28</f>
        <v xml:space="preserve">Insurance claims - </v>
      </c>
      <c r="M853" s="347">
        <f>-TrialBalanceC!I28</f>
        <v>0</v>
      </c>
      <c r="N853" s="298"/>
      <c r="O853" s="347">
        <f>-TrialBalanceC!K28</f>
        <v>0</v>
      </c>
      <c r="Q853" s="442"/>
      <c r="R853" s="403" t="str">
        <f t="shared" si="9"/>
        <v>DELETE</v>
      </c>
    </row>
    <row r="854" spans="2:18" ht="31.5" customHeight="1" x14ac:dyDescent="0.45">
      <c r="B854" s="323"/>
      <c r="C854" s="417"/>
      <c r="D854" s="400" t="str">
        <f>TrialBalanceC!C29</f>
        <v>Government grants received</v>
      </c>
      <c r="M854" s="347">
        <f>-TrialBalanceC!I29</f>
        <v>0</v>
      </c>
      <c r="N854" s="298"/>
      <c r="O854" s="347">
        <f>-TrialBalanceC!K29</f>
        <v>0</v>
      </c>
      <c r="Q854" s="442"/>
      <c r="R854" s="403" t="str">
        <f t="shared" ref="R854:R857" si="11">IF(M854+O854=0,"DELETE"," ")</f>
        <v>DELETE</v>
      </c>
    </row>
    <row r="855" spans="2:18" ht="31.5" customHeight="1" x14ac:dyDescent="0.45">
      <c r="B855" s="323"/>
      <c r="C855" s="417"/>
      <c r="D855" s="400">
        <f>TrialBalanceC!C30</f>
        <v>0</v>
      </c>
      <c r="M855" s="347">
        <f>-TrialBalanceC!I30</f>
        <v>0</v>
      </c>
      <c r="N855" s="298"/>
      <c r="O855" s="347">
        <f>-TrialBalanceC!K30</f>
        <v>0</v>
      </c>
      <c r="Q855" s="442"/>
      <c r="R855" s="403" t="str">
        <f t="shared" si="11"/>
        <v>DELETE</v>
      </c>
    </row>
    <row r="856" spans="2:18" ht="31.5" customHeight="1" x14ac:dyDescent="0.45">
      <c r="B856" s="323"/>
      <c r="C856" s="417"/>
      <c r="D856" s="400">
        <f>TrialBalanceC!C31</f>
        <v>0</v>
      </c>
      <c r="M856" s="347">
        <f>-TrialBalanceC!I31</f>
        <v>0</v>
      </c>
      <c r="N856" s="298"/>
      <c r="O856" s="347">
        <f>-TrialBalanceC!K31</f>
        <v>0</v>
      </c>
      <c r="Q856" s="442"/>
      <c r="R856" s="403" t="str">
        <f t="shared" si="11"/>
        <v>DELETE</v>
      </c>
    </row>
    <row r="857" spans="2:18" ht="31.5" customHeight="1" x14ac:dyDescent="0.45">
      <c r="B857" s="323"/>
      <c r="C857" s="417"/>
      <c r="D857" s="400">
        <f>TrialBalanceC!C32</f>
        <v>0</v>
      </c>
      <c r="M857" s="347">
        <f>-TrialBalanceC!I32</f>
        <v>0</v>
      </c>
      <c r="N857" s="298"/>
      <c r="O857" s="347">
        <f>-TrialBalanceC!K32</f>
        <v>0</v>
      </c>
      <c r="Q857" s="442"/>
      <c r="R857" s="403" t="str">
        <f t="shared" si="11"/>
        <v>DELETE</v>
      </c>
    </row>
    <row r="858" spans="2:18" ht="31.5" customHeight="1" x14ac:dyDescent="0.45">
      <c r="B858" s="323"/>
      <c r="C858" s="417"/>
      <c r="D858" s="400" t="str">
        <f>TrialBalanceC!C33</f>
        <v>Recoupment of depreciation</v>
      </c>
      <c r="M858" s="347">
        <f>-TrialBalanceC!I33</f>
        <v>0</v>
      </c>
      <c r="N858" s="298"/>
      <c r="O858" s="347">
        <f>-TrialBalanceC!K33</f>
        <v>0</v>
      </c>
      <c r="Q858" s="442"/>
      <c r="R858" s="403" t="str">
        <f t="shared" ref="R858" si="12">IF(M858+O858=0,"DELETE"," ")</f>
        <v>DELETE</v>
      </c>
    </row>
    <row r="859" spans="2:18" ht="9" customHeight="1" x14ac:dyDescent="0.45">
      <c r="B859" s="323"/>
      <c r="C859" s="417"/>
      <c r="M859" s="349"/>
      <c r="N859" s="300"/>
      <c r="O859" s="349"/>
      <c r="Q859" s="442"/>
      <c r="R859" s="403" t="str">
        <f>R$861</f>
        <v>DELETE</v>
      </c>
    </row>
    <row r="860" spans="2:18" ht="9" customHeight="1" x14ac:dyDescent="0.45">
      <c r="B860" s="323"/>
      <c r="C860" s="417"/>
      <c r="M860" s="347"/>
      <c r="N860" s="298"/>
      <c r="O860" s="347"/>
      <c r="Q860" s="442"/>
      <c r="R860" s="403" t="str">
        <f>R$861</f>
        <v>DELETE</v>
      </c>
    </row>
    <row r="861" spans="2:18" ht="31.5" customHeight="1" x14ac:dyDescent="0.45">
      <c r="B861" s="323"/>
      <c r="C861" s="417"/>
      <c r="M861" s="347">
        <f>SUM(M835:M860)</f>
        <v>0</v>
      </c>
      <c r="N861" s="298"/>
      <c r="O861" s="347">
        <f>SUM(O835:O860)</f>
        <v>0</v>
      </c>
      <c r="Q861" s="442"/>
      <c r="R861" s="403" t="str">
        <f>IF(M861+O861=0,"DELETE"," ")</f>
        <v>DELETE</v>
      </c>
    </row>
    <row r="862" spans="2:18" ht="9" customHeight="1" thickBot="1" x14ac:dyDescent="0.5">
      <c r="B862" s="323"/>
      <c r="C862" s="417"/>
      <c r="M862" s="351"/>
      <c r="N862" s="301"/>
      <c r="O862" s="351"/>
      <c r="Q862" s="442"/>
      <c r="R862" s="403" t="str">
        <f>R$861</f>
        <v>DELETE</v>
      </c>
    </row>
    <row r="863" spans="2:18" ht="9" customHeight="1" thickTop="1" x14ac:dyDescent="0.45">
      <c r="B863" s="323"/>
      <c r="C863" s="417"/>
      <c r="M863" s="363"/>
      <c r="N863" s="314"/>
      <c r="O863" s="363"/>
      <c r="Q863" s="442"/>
      <c r="R863" s="403" t="str">
        <f>R$861</f>
        <v>DELETE</v>
      </c>
    </row>
    <row r="864" spans="2:18" ht="31.5" customHeight="1" x14ac:dyDescent="0.45">
      <c r="B864" s="459"/>
      <c r="D864" s="417"/>
      <c r="M864" s="424"/>
      <c r="N864" s="425"/>
      <c r="O864" s="424"/>
      <c r="P864" s="425"/>
      <c r="Q864" s="442"/>
      <c r="R864" s="403" t="str">
        <f>R$861</f>
        <v>DELETE</v>
      </c>
    </row>
    <row r="865" spans="2:26" ht="31.5" customHeight="1" x14ac:dyDescent="0.45">
      <c r="B865" s="459"/>
      <c r="D865" s="417"/>
      <c r="M865" s="424"/>
      <c r="N865" s="425"/>
      <c r="O865" s="424"/>
      <c r="P865" s="425"/>
      <c r="Q865" s="442"/>
      <c r="R865" s="403" t="str">
        <f t="shared" ref="R865:R867" si="13">R$861</f>
        <v>DELETE</v>
      </c>
    </row>
    <row r="866" spans="2:26" ht="31.5" customHeight="1" x14ac:dyDescent="0.45">
      <c r="B866" s="455"/>
      <c r="C866" s="456"/>
      <c r="D866" s="429"/>
      <c r="E866" s="429"/>
      <c r="F866" s="429"/>
      <c r="G866" s="429"/>
      <c r="H866" s="429"/>
      <c r="I866" s="429"/>
      <c r="J866" s="429"/>
      <c r="K866" s="429"/>
      <c r="L866" s="429"/>
      <c r="M866" s="432"/>
      <c r="N866" s="433"/>
      <c r="O866" s="432"/>
      <c r="P866" s="433"/>
      <c r="Q866" s="446"/>
      <c r="R866" s="403" t="str">
        <f t="shared" si="13"/>
        <v>DELETE</v>
      </c>
    </row>
    <row r="867" spans="2:26" ht="31.5" customHeight="1" x14ac:dyDescent="0.45">
      <c r="B867" s="422"/>
      <c r="C867" s="453"/>
      <c r="R867" s="403" t="str">
        <f t="shared" si="13"/>
        <v>DELETE</v>
      </c>
    </row>
    <row r="868" spans="2:26" ht="31.5" customHeight="1" x14ac:dyDescent="0.45">
      <c r="B868" s="422"/>
    </row>
    <row r="869" spans="2:26" ht="31.5" customHeight="1" x14ac:dyDescent="0.45">
      <c r="B869" s="422"/>
      <c r="D869" s="417" t="str">
        <f>Criteria!E9</f>
        <v>HOLDING COMPANY 268 (PROPRIETARY) LIMITED</v>
      </c>
      <c r="O869" s="346" t="s">
        <v>96</v>
      </c>
      <c r="Q869" s="292">
        <f>MAX($Q$114:Q868)+1</f>
        <v>21</v>
      </c>
    </row>
    <row r="870" spans="2:26" ht="31.5" customHeight="1" x14ac:dyDescent="0.45">
      <c r="B870" s="422"/>
      <c r="D870" s="417" t="str">
        <f>Criteria!E10</f>
        <v>CONSOLIDATED FINANCIAL STATEMENTS</v>
      </c>
      <c r="R870" s="403" t="str">
        <f>IF(D870=0,"DELETE"," ")</f>
        <v xml:space="preserve"> </v>
      </c>
    </row>
    <row r="871" spans="2:26" ht="31.5" customHeight="1" x14ac:dyDescent="0.45">
      <c r="B871" s="422"/>
    </row>
    <row r="872" spans="2:26" ht="31.5" customHeight="1" x14ac:dyDescent="0.45">
      <c r="B872" s="422"/>
      <c r="D872" s="417" t="s">
        <v>377</v>
      </c>
    </row>
    <row r="873" spans="2:26" ht="31.5" customHeight="1" x14ac:dyDescent="0.45">
      <c r="B873" s="422"/>
      <c r="D873" s="417" t="str">
        <f>Criteria!E20</f>
        <v>29 FEBRUARY 2024</v>
      </c>
      <c r="J873" s="400" t="s">
        <v>247</v>
      </c>
    </row>
    <row r="874" spans="2:26" ht="31.5" customHeight="1" x14ac:dyDescent="0.45">
      <c r="B874" s="422"/>
      <c r="D874" s="417"/>
    </row>
    <row r="875" spans="2:26" ht="31.5" customHeight="1" x14ac:dyDescent="0.45">
      <c r="B875" s="457"/>
      <c r="C875" s="439"/>
      <c r="D875" s="458"/>
      <c r="E875" s="439"/>
      <c r="F875" s="439"/>
      <c r="G875" s="439"/>
      <c r="H875" s="439"/>
      <c r="I875" s="439"/>
      <c r="J875" s="439"/>
      <c r="K875" s="439"/>
      <c r="L875" s="439"/>
      <c r="M875" s="447"/>
      <c r="N875" s="448"/>
      <c r="O875" s="447"/>
      <c r="P875" s="448"/>
      <c r="Q875" s="440"/>
    </row>
    <row r="876" spans="2:26" ht="31.5" customHeight="1" x14ac:dyDescent="0.45">
      <c r="B876" s="459"/>
      <c r="D876" s="417"/>
      <c r="M876" s="344">
        <f>Criteria!E22</f>
        <v>2024</v>
      </c>
      <c r="N876" s="294"/>
      <c r="O876" s="344">
        <f>Criteria!E27</f>
        <v>2023</v>
      </c>
      <c r="P876" s="425"/>
      <c r="Q876" s="442"/>
    </row>
    <row r="877" spans="2:26" ht="31.5" customHeight="1" x14ac:dyDescent="0.45">
      <c r="B877" s="459"/>
      <c r="D877" s="417"/>
      <c r="M877" s="424"/>
      <c r="N877" s="425"/>
      <c r="O877" s="424"/>
      <c r="P877" s="425"/>
      <c r="Q877" s="442"/>
    </row>
    <row r="878" spans="2:26" ht="31.5" customHeight="1" x14ac:dyDescent="0.45">
      <c r="B878" s="323">
        <f>MAX(B$559:B877)+1</f>
        <v>5</v>
      </c>
      <c r="C878" s="315" t="str">
        <f>IF((Y878+Z878)=3,"OPERATING PROFIT/(LOSS)",(IF((Y878+Z878=4),"OPERATING PROFIT","OPERATING LOSS")))</f>
        <v>OPERATING PROFIT</v>
      </c>
      <c r="M878" s="347"/>
      <c r="N878" s="298"/>
      <c r="O878" s="347"/>
      <c r="Q878" s="442"/>
      <c r="Y878" s="378">
        <f>IF(SUM(S356:S370)&lt;0,1,IF(SUM(S356:S370)=0,IF(SUM(U356:U370)&lt;0,1,2),2))</f>
        <v>2</v>
      </c>
      <c r="Z878" s="378">
        <f>IF(SUM(U356:U370)&lt;0,1,IF(SUM(U356:U370)=0,IF(SUM(S356:S370)&lt;0,1,2),2))</f>
        <v>2</v>
      </c>
    </row>
    <row r="879" spans="2:26" ht="31.5" customHeight="1" x14ac:dyDescent="0.45">
      <c r="B879" s="323"/>
      <c r="C879" s="417"/>
      <c r="D879" s="297" t="str">
        <f>IF((Y879+Z879)=3,"The following items have been charged in arriving at the operating profit/(loss):",(IF((Y879+Z879=4),"The following items have been charged in arriving at the operating profit:","The following items have been charged in arriving at the operating loss:")))</f>
        <v>The following items have been charged in arriving at the operating profit:</v>
      </c>
      <c r="M879" s="347"/>
      <c r="N879" s="298"/>
      <c r="O879" s="347"/>
      <c r="Q879" s="442"/>
      <c r="Y879" s="378">
        <f>IF(SUM(S356:S370)&lt;0,1,IF(SUM(S356:S370)=0,IF(SUM(U356:U370)&lt;0,1,2),2))</f>
        <v>2</v>
      </c>
      <c r="Z879" s="378">
        <f>IF(SUM(U356:U370)&lt;0,1,IF(SUM(U356:U370)=0,IF(SUM(S356:S370)&lt;0,1,2),2))</f>
        <v>2</v>
      </c>
    </row>
    <row r="880" spans="2:26" ht="31.5" customHeight="1" x14ac:dyDescent="0.45">
      <c r="B880" s="323"/>
      <c r="C880" s="417"/>
      <c r="M880" s="347"/>
      <c r="N880" s="298"/>
      <c r="O880" s="347"/>
      <c r="Q880" s="442"/>
    </row>
    <row r="881" spans="2:24" ht="31.5" customHeight="1" x14ac:dyDescent="0.45">
      <c r="B881" s="323"/>
      <c r="C881" s="340">
        <f>B878+0.1</f>
        <v>5.0999999999999996</v>
      </c>
      <c r="D881" s="400" t="str">
        <f>IF(MAX(Criteria!I38:I42)&gt;1,"DIRECTORS' REMUNERATION","DIRECTOR'S REMUNERATION")</f>
        <v>DIRECTOR'S REMUNERATION</v>
      </c>
      <c r="M881" s="347"/>
      <c r="N881" s="298"/>
      <c r="O881" s="347"/>
      <c r="Q881" s="442"/>
    </row>
    <row r="882" spans="2:24" ht="31.5" customHeight="1" x14ac:dyDescent="0.45">
      <c r="B882" s="323"/>
      <c r="C882" s="463"/>
      <c r="D882" s="464" t="str">
        <f>TrialBalance!C111</f>
        <v>A Director</v>
      </c>
      <c r="M882" s="347">
        <f>TrialBalance!L111+TrialBalanceA!I111+TrialBalanceB!I111+TrialBalanceC!I111</f>
        <v>0</v>
      </c>
      <c r="N882" s="298"/>
      <c r="O882" s="347">
        <f>TrialBalance!N111+TrialBalanceA!K111+TrialBalanceB!K111+TrialBalanceC!K111</f>
        <v>0</v>
      </c>
      <c r="Q882" s="442"/>
      <c r="R882" s="403" t="str">
        <f>IF(M882+O882=0,"DELETE"," ")</f>
        <v>DELETE</v>
      </c>
    </row>
    <row r="883" spans="2:24" ht="31.5" customHeight="1" x14ac:dyDescent="0.45">
      <c r="B883" s="323"/>
      <c r="C883" s="463"/>
      <c r="D883" s="464">
        <f>TrialBalance!C112</f>
        <v>0</v>
      </c>
      <c r="M883" s="347">
        <f>TrialBalance!L112+TrialBalanceA!I112+TrialBalanceB!I112+TrialBalanceC!I112</f>
        <v>0</v>
      </c>
      <c r="N883" s="298"/>
      <c r="O883" s="347">
        <f>TrialBalance!N112+TrialBalanceA!K112+TrialBalanceB!K112+TrialBalanceC!K112</f>
        <v>0</v>
      </c>
      <c r="Q883" s="442"/>
      <c r="R883" s="403" t="str">
        <f>IF(M883+O883=0,"DELETE"," ")</f>
        <v>DELETE</v>
      </c>
    </row>
    <row r="884" spans="2:24" ht="31.5" customHeight="1" x14ac:dyDescent="0.45">
      <c r="B884" s="323"/>
      <c r="C884" s="463"/>
      <c r="D884" s="464">
        <f>TrialBalance!C113</f>
        <v>0</v>
      </c>
      <c r="M884" s="347">
        <f>TrialBalance!L113+TrialBalanceA!I113+TrialBalanceB!I113+TrialBalanceC!I113</f>
        <v>0</v>
      </c>
      <c r="N884" s="298"/>
      <c r="O884" s="347">
        <f>TrialBalance!N113+TrialBalanceA!K113+TrialBalanceB!K113+TrialBalanceC!K113</f>
        <v>0</v>
      </c>
      <c r="Q884" s="442"/>
      <c r="R884" s="403" t="str">
        <f>IF(M884+O884=0,"DELETE"," ")</f>
        <v>DELETE</v>
      </c>
    </row>
    <row r="885" spans="2:24" ht="31.5" customHeight="1" x14ac:dyDescent="0.45">
      <c r="B885" s="323"/>
      <c r="C885" s="463"/>
      <c r="D885" s="464">
        <f>TrialBalance!C114</f>
        <v>0</v>
      </c>
      <c r="M885" s="347">
        <f>TrialBalance!L114+TrialBalanceA!I114+TrialBalanceB!I114+TrialBalanceC!I114</f>
        <v>0</v>
      </c>
      <c r="N885" s="298"/>
      <c r="O885" s="347">
        <f>TrialBalance!N114+TrialBalanceA!K114+TrialBalanceB!K114+TrialBalanceC!K114</f>
        <v>0</v>
      </c>
      <c r="Q885" s="442"/>
      <c r="R885" s="403" t="str">
        <f>IF(M885+O885=0,"DELETE"," ")</f>
        <v>DELETE</v>
      </c>
    </row>
    <row r="886" spans="2:24" ht="31.5" customHeight="1" x14ac:dyDescent="0.45">
      <c r="B886" s="323"/>
      <c r="C886" s="463"/>
      <c r="D886" s="464">
        <f>TrialBalance!C115</f>
        <v>0</v>
      </c>
      <c r="M886" s="347">
        <f>TrialBalance!L115+TrialBalanceA!I115+TrialBalanceB!I115+TrialBalanceC!I115</f>
        <v>0</v>
      </c>
      <c r="N886" s="298"/>
      <c r="O886" s="347">
        <f>TrialBalance!N115+TrialBalanceA!K115+TrialBalanceB!K115+TrialBalanceC!K115</f>
        <v>0</v>
      </c>
      <c r="Q886" s="442"/>
      <c r="R886" s="403" t="str">
        <f>IF(M886+O886=0,"DELETE"," ")</f>
        <v>DELETE</v>
      </c>
    </row>
    <row r="887" spans="2:24" ht="9" customHeight="1" x14ac:dyDescent="0.45">
      <c r="B887" s="323"/>
      <c r="C887" s="463"/>
      <c r="M887" s="349"/>
      <c r="N887" s="300"/>
      <c r="O887" s="349"/>
      <c r="Q887" s="442"/>
      <c r="R887" s="403" t="str">
        <f>R889</f>
        <v>DELETE</v>
      </c>
    </row>
    <row r="888" spans="2:24" ht="9" customHeight="1" x14ac:dyDescent="0.45">
      <c r="B888" s="323"/>
      <c r="C888" s="463"/>
      <c r="M888" s="347"/>
      <c r="N888" s="298"/>
      <c r="O888" s="347"/>
      <c r="Q888" s="442"/>
      <c r="R888" s="403" t="str">
        <f>R889</f>
        <v>DELETE</v>
      </c>
    </row>
    <row r="889" spans="2:24" ht="31.5" customHeight="1" x14ac:dyDescent="0.45">
      <c r="B889" s="323"/>
      <c r="C889" s="463"/>
      <c r="M889" s="347">
        <f>SUM(M882:M888)</f>
        <v>0</v>
      </c>
      <c r="N889" s="298"/>
      <c r="O889" s="347">
        <f>SUM(O882:O888)</f>
        <v>0</v>
      </c>
      <c r="Q889" s="442"/>
      <c r="R889" s="403" t="str">
        <f>IF(M889+O889=0,"DELETE"," ")</f>
        <v>DELETE</v>
      </c>
      <c r="V889" s="378" t="b">
        <f>M889=SUM(TrialBalance!L111:L115)+SUM(TrialBalanceA!I111:I115)+SUM(TrialBalanceB!I111:I115)+SUM(TrialBalanceC!I111:I115)</f>
        <v>1</v>
      </c>
      <c r="X889" s="378" t="b">
        <f>O889=SUM(TrialBalance!N111:N115)+SUM(TrialBalanceA!K111:K115)+SUM(TrialBalanceB!K111:K115)+SUM(TrialBalanceC!K111:K115)</f>
        <v>1</v>
      </c>
    </row>
    <row r="890" spans="2:24" ht="9" customHeight="1" thickBot="1" x14ac:dyDescent="0.5">
      <c r="B890" s="323"/>
      <c r="C890" s="463"/>
      <c r="M890" s="351"/>
      <c r="N890" s="301"/>
      <c r="O890" s="351"/>
      <c r="Q890" s="442"/>
      <c r="R890" s="403" t="str">
        <f>R889</f>
        <v>DELETE</v>
      </c>
    </row>
    <row r="891" spans="2:24" ht="9" customHeight="1" thickTop="1" x14ac:dyDescent="0.45">
      <c r="B891" s="323"/>
      <c r="C891" s="463"/>
      <c r="M891" s="363"/>
      <c r="N891" s="314"/>
      <c r="O891" s="363"/>
      <c r="Q891" s="442"/>
      <c r="R891" s="403" t="str">
        <f>R890</f>
        <v>DELETE</v>
      </c>
    </row>
    <row r="892" spans="2:24" ht="31.5" customHeight="1" x14ac:dyDescent="0.45">
      <c r="B892" s="323"/>
      <c r="C892" s="463"/>
      <c r="M892" s="347"/>
      <c r="N892" s="298"/>
      <c r="O892" s="347"/>
      <c r="Q892" s="442"/>
      <c r="R892" s="403" t="str">
        <f>R889</f>
        <v>DELETE</v>
      </c>
    </row>
    <row r="893" spans="2:24" ht="31.5" customHeight="1" x14ac:dyDescent="0.45">
      <c r="B893" s="323"/>
      <c r="C893" s="463"/>
      <c r="D893" s="400" t="str">
        <f>IF(SUM(TrialBalance!L111:L115)+SUM(TrialBalance!N111:N115)+SUM(TrialBalanceA!I111:I115)+SUM(TrialBalanceA!K111:K115)+SUM(TrialBalanceB!I111:I115)+SUM(TrialBalanceB!K111:K115)+SUM(TrialBalanceC!I111:I115)+SUM(TrialBalanceC!K111:K115)&gt;0," ",IF(MAX(Criteria!I38:I42)&gt;1,"No remuneration was paid to the directors during the periods under review.","No remuneration was paid to the director during the periods under review."))</f>
        <v>No remuneration was paid to the director during the periods under review.</v>
      </c>
      <c r="M893" s="347"/>
      <c r="N893" s="298"/>
      <c r="O893" s="347"/>
      <c r="Q893" s="442"/>
      <c r="R893" s="403" t="str">
        <f>IF(D893=" ","DELETE"," ")</f>
        <v xml:space="preserve"> </v>
      </c>
    </row>
    <row r="894" spans="2:24" ht="31.5" customHeight="1" x14ac:dyDescent="0.45">
      <c r="B894" s="323"/>
      <c r="C894" s="463"/>
      <c r="M894" s="347"/>
      <c r="N894" s="298"/>
      <c r="O894" s="347"/>
      <c r="Q894" s="442"/>
    </row>
    <row r="895" spans="2:24" ht="31.5" customHeight="1" x14ac:dyDescent="0.45">
      <c r="B895" s="459"/>
      <c r="D895" s="417"/>
      <c r="M895" s="424"/>
      <c r="N895" s="425"/>
      <c r="O895" s="424"/>
      <c r="P895" s="425"/>
      <c r="Q895" s="442"/>
    </row>
    <row r="896" spans="2:24" ht="31.5" customHeight="1" x14ac:dyDescent="0.45">
      <c r="B896" s="455"/>
      <c r="C896" s="429"/>
      <c r="D896" s="465"/>
      <c r="E896" s="429"/>
      <c r="F896" s="429"/>
      <c r="G896" s="429"/>
      <c r="H896" s="429"/>
      <c r="I896" s="429"/>
      <c r="J896" s="429"/>
      <c r="K896" s="429"/>
      <c r="L896" s="429"/>
      <c r="M896" s="432"/>
      <c r="N896" s="433"/>
      <c r="O896" s="432"/>
      <c r="P896" s="433"/>
      <c r="Q896" s="446"/>
    </row>
    <row r="897" spans="2:18" ht="31.5" customHeight="1" x14ac:dyDescent="0.45">
      <c r="B897" s="422"/>
      <c r="D897" s="417"/>
    </row>
    <row r="898" spans="2:18" ht="31.5" customHeight="1" x14ac:dyDescent="0.45">
      <c r="B898" s="325"/>
      <c r="C898" s="463"/>
      <c r="M898" s="347"/>
      <c r="N898" s="298"/>
      <c r="O898" s="347"/>
      <c r="R898" s="403" t="str">
        <f>R$923</f>
        <v>DELETE</v>
      </c>
    </row>
    <row r="899" spans="2:18" ht="31.5" customHeight="1" x14ac:dyDescent="0.45">
      <c r="B899" s="422"/>
      <c r="C899" s="466"/>
      <c r="D899" s="417" t="str">
        <f>Criteria!E9</f>
        <v>HOLDING COMPANY 268 (PROPRIETARY) LIMITED</v>
      </c>
      <c r="M899" s="426"/>
      <c r="N899" s="406"/>
      <c r="O899" s="347" t="s">
        <v>96</v>
      </c>
      <c r="Q899" s="292">
        <f>MAX($Q$114:Q898)+1</f>
        <v>22</v>
      </c>
      <c r="R899" s="403" t="str">
        <f>R$923</f>
        <v>DELETE</v>
      </c>
    </row>
    <row r="900" spans="2:18" ht="31.5" customHeight="1" x14ac:dyDescent="0.45">
      <c r="B900" s="422"/>
      <c r="C900" s="466"/>
      <c r="D900" s="417" t="str">
        <f>Criteria!E10</f>
        <v>CONSOLIDATED FINANCIAL STATEMENTS</v>
      </c>
      <c r="M900" s="426"/>
      <c r="N900" s="406"/>
      <c r="O900" s="426"/>
      <c r="R900" s="403" t="str">
        <f>IF(R$923="DELETE","DELETE",IF(D900=0,"DELETE"," "))</f>
        <v>DELETE</v>
      </c>
    </row>
    <row r="901" spans="2:18" ht="31.5" customHeight="1" x14ac:dyDescent="0.45">
      <c r="B901" s="422"/>
      <c r="C901" s="466"/>
      <c r="M901" s="426"/>
      <c r="N901" s="406"/>
      <c r="O901" s="426"/>
      <c r="R901" s="403" t="str">
        <f t="shared" ref="R901:R908" si="14">R$923</f>
        <v>DELETE</v>
      </c>
    </row>
    <row r="902" spans="2:18" ht="31.5" customHeight="1" x14ac:dyDescent="0.45">
      <c r="B902" s="422"/>
      <c r="C902" s="466"/>
      <c r="D902" s="417" t="s">
        <v>377</v>
      </c>
      <c r="M902" s="426"/>
      <c r="N902" s="406"/>
      <c r="O902" s="426"/>
      <c r="R902" s="403" t="str">
        <f t="shared" si="14"/>
        <v>DELETE</v>
      </c>
    </row>
    <row r="903" spans="2:18" ht="31.5" customHeight="1" x14ac:dyDescent="0.45">
      <c r="B903" s="422"/>
      <c r="C903" s="466"/>
      <c r="D903" s="417" t="str">
        <f>Criteria!E20</f>
        <v>29 FEBRUARY 2024</v>
      </c>
      <c r="J903" s="400" t="s">
        <v>247</v>
      </c>
      <c r="M903" s="426"/>
      <c r="N903" s="406"/>
      <c r="O903" s="426"/>
      <c r="R903" s="403" t="str">
        <f t="shared" si="14"/>
        <v>DELETE</v>
      </c>
    </row>
    <row r="904" spans="2:18" ht="31.5" customHeight="1" x14ac:dyDescent="0.45">
      <c r="B904" s="422"/>
      <c r="C904" s="466"/>
      <c r="D904" s="417"/>
      <c r="M904" s="426"/>
      <c r="N904" s="406"/>
      <c r="O904" s="426"/>
      <c r="R904" s="403" t="str">
        <f t="shared" si="14"/>
        <v>DELETE</v>
      </c>
    </row>
    <row r="905" spans="2:18" ht="31.5" customHeight="1" x14ac:dyDescent="0.45">
      <c r="B905" s="326"/>
      <c r="C905" s="467"/>
      <c r="D905" s="439"/>
      <c r="E905" s="439"/>
      <c r="F905" s="439"/>
      <c r="G905" s="439"/>
      <c r="H905" s="439"/>
      <c r="I905" s="439"/>
      <c r="J905" s="439"/>
      <c r="K905" s="439"/>
      <c r="L905" s="439"/>
      <c r="M905" s="362"/>
      <c r="N905" s="299"/>
      <c r="O905" s="362"/>
      <c r="P905" s="448"/>
      <c r="Q905" s="440"/>
      <c r="R905" s="403" t="str">
        <f t="shared" si="14"/>
        <v>DELETE</v>
      </c>
    </row>
    <row r="906" spans="2:18" ht="31.5" customHeight="1" x14ac:dyDescent="0.45">
      <c r="B906" s="323"/>
      <c r="C906" s="463"/>
      <c r="M906" s="344">
        <f>Criteria!E22</f>
        <v>2024</v>
      </c>
      <c r="N906" s="294"/>
      <c r="O906" s="344">
        <f>Criteria!E27</f>
        <v>2023</v>
      </c>
      <c r="Q906" s="442"/>
      <c r="R906" s="403" t="str">
        <f t="shared" si="14"/>
        <v>DELETE</v>
      </c>
    </row>
    <row r="907" spans="2:18" ht="31.5" customHeight="1" x14ac:dyDescent="0.45">
      <c r="B907" s="323"/>
      <c r="C907" s="463"/>
      <c r="M907" s="347"/>
      <c r="N907" s="298"/>
      <c r="O907" s="347"/>
      <c r="Q907" s="442"/>
      <c r="R907" s="403" t="str">
        <f t="shared" si="14"/>
        <v>DELETE</v>
      </c>
    </row>
    <row r="908" spans="2:18" ht="31.5" customHeight="1" x14ac:dyDescent="0.45">
      <c r="B908" s="323"/>
      <c r="C908" s="340">
        <f>MAX(C879:C907)+0.1</f>
        <v>5.1999999999999993</v>
      </c>
      <c r="D908" s="400" t="s">
        <v>264</v>
      </c>
      <c r="M908" s="347"/>
      <c r="N908" s="298"/>
      <c r="O908" s="347"/>
      <c r="Q908" s="442"/>
      <c r="R908" s="403" t="str">
        <f t="shared" si="14"/>
        <v>DELETE</v>
      </c>
    </row>
    <row r="909" spans="2:18" ht="31.5" customHeight="1" x14ac:dyDescent="0.45">
      <c r="B909" s="323"/>
      <c r="C909" s="340"/>
      <c r="D909" s="400" t="str">
        <f>TrialBalance!C61</f>
        <v>Premises</v>
      </c>
      <c r="M909" s="347">
        <f>TrialBalance!L61</f>
        <v>0</v>
      </c>
      <c r="N909" s="298"/>
      <c r="O909" s="347">
        <f>TrialBalance!N61</f>
        <v>0</v>
      </c>
      <c r="Q909" s="442"/>
      <c r="R909" s="403" t="str">
        <f>IF(M909+O909=0,"DELETE"," ")</f>
        <v>DELETE</v>
      </c>
    </row>
    <row r="910" spans="2:18" ht="31.5" customHeight="1" x14ac:dyDescent="0.45">
      <c r="B910" s="323"/>
      <c r="C910" s="340"/>
      <c r="D910" s="400">
        <f>TrialBalance!C62</f>
        <v>0</v>
      </c>
      <c r="M910" s="347">
        <f>TrialBalance!L62</f>
        <v>0</v>
      </c>
      <c r="N910" s="298"/>
      <c r="O910" s="347">
        <f>TrialBalance!N62</f>
        <v>0</v>
      </c>
      <c r="Q910" s="442"/>
      <c r="R910" s="403" t="str">
        <f>IF(M910+O910=0,"DELETE"," ")</f>
        <v>DELETE</v>
      </c>
    </row>
    <row r="911" spans="2:18" ht="31.5" customHeight="1" x14ac:dyDescent="0.45">
      <c r="B911" s="323"/>
      <c r="C911" s="340"/>
      <c r="D911" s="400">
        <f>TrialBalance!C63</f>
        <v>0</v>
      </c>
      <c r="M911" s="347">
        <f>TrialBalance!L63</f>
        <v>0</v>
      </c>
      <c r="N911" s="298"/>
      <c r="O911" s="347">
        <f>TrialBalance!N63</f>
        <v>0</v>
      </c>
      <c r="Q911" s="442"/>
      <c r="R911" s="403" t="str">
        <f>IF(M911+O911=0,"DELETE"," ")</f>
        <v>DELETE</v>
      </c>
    </row>
    <row r="912" spans="2:18" ht="31.5" customHeight="1" x14ac:dyDescent="0.45">
      <c r="B912" s="323"/>
      <c r="C912" s="340"/>
      <c r="D912" s="400">
        <f>TrialBalanceA!C61</f>
        <v>0</v>
      </c>
      <c r="M912" s="347">
        <f>TrialBalanceA!I61</f>
        <v>0</v>
      </c>
      <c r="N912" s="298"/>
      <c r="O912" s="347">
        <f>TrialBalanceA!K61</f>
        <v>0</v>
      </c>
      <c r="Q912" s="442"/>
      <c r="R912" s="403" t="str">
        <f t="shared" ref="R912:R915" si="15">IF(M912+O912=0,"DELETE"," ")</f>
        <v>DELETE</v>
      </c>
    </row>
    <row r="913" spans="2:24" ht="31.5" customHeight="1" x14ac:dyDescent="0.45">
      <c r="B913" s="323"/>
      <c r="C913" s="340"/>
      <c r="D913" s="400">
        <f>TrialBalanceA!C62</f>
        <v>0</v>
      </c>
      <c r="M913" s="347">
        <f>TrialBalanceA!I62</f>
        <v>0</v>
      </c>
      <c r="N913" s="298"/>
      <c r="O913" s="347">
        <f>TrialBalanceA!K62</f>
        <v>0</v>
      </c>
      <c r="Q913" s="442"/>
      <c r="R913" s="403" t="str">
        <f t="shared" si="15"/>
        <v>DELETE</v>
      </c>
    </row>
    <row r="914" spans="2:24" ht="31.5" customHeight="1" x14ac:dyDescent="0.45">
      <c r="B914" s="323"/>
      <c r="C914" s="340"/>
      <c r="D914" s="400">
        <f>TrialBalanceA!C63</f>
        <v>0</v>
      </c>
      <c r="M914" s="347">
        <f>TrialBalanceA!I63</f>
        <v>0</v>
      </c>
      <c r="N914" s="298"/>
      <c r="O914" s="347">
        <f>TrialBalanceA!K63</f>
        <v>0</v>
      </c>
      <c r="Q914" s="442"/>
      <c r="R914" s="403" t="str">
        <f t="shared" si="15"/>
        <v>DELETE</v>
      </c>
    </row>
    <row r="915" spans="2:24" ht="31.5" customHeight="1" x14ac:dyDescent="0.45">
      <c r="B915" s="323"/>
      <c r="C915" s="340"/>
      <c r="D915" s="400">
        <f>TrialBalanceB!C61</f>
        <v>0</v>
      </c>
      <c r="M915" s="347">
        <f>TrialBalanceB!I61</f>
        <v>0</v>
      </c>
      <c r="N915" s="298"/>
      <c r="O915" s="347">
        <f>TrialBalanceB!K61</f>
        <v>0</v>
      </c>
      <c r="Q915" s="442"/>
      <c r="R915" s="403" t="str">
        <f t="shared" si="15"/>
        <v>DELETE</v>
      </c>
    </row>
    <row r="916" spans="2:24" ht="31.5" customHeight="1" x14ac:dyDescent="0.45">
      <c r="B916" s="323"/>
      <c r="C916" s="340"/>
      <c r="D916" s="400">
        <f>TrialBalanceB!C62</f>
        <v>0</v>
      </c>
      <c r="M916" s="347">
        <f>TrialBalanceB!I62</f>
        <v>0</v>
      </c>
      <c r="N916" s="298"/>
      <c r="O916" s="347">
        <f>TrialBalanceB!K62</f>
        <v>0</v>
      </c>
      <c r="Q916" s="442"/>
      <c r="R916" s="403" t="str">
        <f t="shared" ref="R916:R918" si="16">IF(M916+O916=0,"DELETE"," ")</f>
        <v>DELETE</v>
      </c>
    </row>
    <row r="917" spans="2:24" ht="31.5" customHeight="1" x14ac:dyDescent="0.45">
      <c r="B917" s="323"/>
      <c r="C917" s="340"/>
      <c r="D917" s="400">
        <f>TrialBalanceB!C63</f>
        <v>0</v>
      </c>
      <c r="M917" s="347">
        <f>TrialBalanceB!I63</f>
        <v>0</v>
      </c>
      <c r="N917" s="298"/>
      <c r="O917" s="347">
        <f>TrialBalanceB!K63</f>
        <v>0</v>
      </c>
      <c r="Q917" s="442"/>
      <c r="R917" s="403" t="str">
        <f t="shared" si="16"/>
        <v>DELETE</v>
      </c>
    </row>
    <row r="918" spans="2:24" ht="31.5" customHeight="1" x14ac:dyDescent="0.45">
      <c r="B918" s="323"/>
      <c r="C918" s="340"/>
      <c r="D918" s="400">
        <f>TrialBalanceC!C61</f>
        <v>0</v>
      </c>
      <c r="M918" s="347">
        <f>TrialBalanceC!I61</f>
        <v>0</v>
      </c>
      <c r="N918" s="298"/>
      <c r="O918" s="347">
        <f>TrialBalanceC!K61</f>
        <v>0</v>
      </c>
      <c r="Q918" s="442"/>
      <c r="R918" s="403" t="str">
        <f t="shared" si="16"/>
        <v>DELETE</v>
      </c>
    </row>
    <row r="919" spans="2:24" ht="31.5" customHeight="1" x14ac:dyDescent="0.45">
      <c r="B919" s="323"/>
      <c r="C919" s="340"/>
      <c r="D919" s="400">
        <f>TrialBalanceC!C62</f>
        <v>0</v>
      </c>
      <c r="M919" s="347">
        <f>TrialBalanceC!I62</f>
        <v>0</v>
      </c>
      <c r="N919" s="298"/>
      <c r="O919" s="347">
        <f>TrialBalanceC!K62</f>
        <v>0</v>
      </c>
      <c r="Q919" s="442"/>
      <c r="R919" s="403" t="str">
        <f t="shared" ref="R919:R920" si="17">IF(M919+O919=0,"DELETE"," ")</f>
        <v>DELETE</v>
      </c>
    </row>
    <row r="920" spans="2:24" ht="31.5" customHeight="1" x14ac:dyDescent="0.45">
      <c r="B920" s="323"/>
      <c r="C920" s="340"/>
      <c r="D920" s="400">
        <f>TrialBalanceC!C63</f>
        <v>0</v>
      </c>
      <c r="M920" s="347">
        <f>TrialBalanceC!I63</f>
        <v>0</v>
      </c>
      <c r="N920" s="298"/>
      <c r="O920" s="347">
        <f>TrialBalanceC!K63</f>
        <v>0</v>
      </c>
      <c r="Q920" s="442"/>
      <c r="R920" s="403" t="str">
        <f t="shared" si="17"/>
        <v>DELETE</v>
      </c>
    </row>
    <row r="921" spans="2:24" ht="9" customHeight="1" x14ac:dyDescent="0.45">
      <c r="B921" s="323"/>
      <c r="C921" s="340"/>
      <c r="M921" s="349"/>
      <c r="N921" s="300"/>
      <c r="O921" s="349"/>
      <c r="Q921" s="442"/>
      <c r="R921" s="403" t="str">
        <f>R$923</f>
        <v>DELETE</v>
      </c>
    </row>
    <row r="922" spans="2:24" ht="9" customHeight="1" x14ac:dyDescent="0.45">
      <c r="B922" s="323"/>
      <c r="C922" s="340"/>
      <c r="M922" s="347"/>
      <c r="N922" s="298"/>
      <c r="O922" s="347"/>
      <c r="Q922" s="442"/>
      <c r="R922" s="403" t="str">
        <f>R$923</f>
        <v>DELETE</v>
      </c>
    </row>
    <row r="923" spans="2:24" ht="31.5" customHeight="1" x14ac:dyDescent="0.45">
      <c r="B923" s="323"/>
      <c r="C923" s="340"/>
      <c r="M923" s="347">
        <f>SUM(M909:M922)</f>
        <v>0</v>
      </c>
      <c r="N923" s="298"/>
      <c r="O923" s="347">
        <f>SUM(O909:O922)</f>
        <v>0</v>
      </c>
      <c r="Q923" s="442"/>
      <c r="R923" s="403" t="str">
        <f>IF(M923+O923=0,"DELETE"," ")</f>
        <v>DELETE</v>
      </c>
      <c r="V923" s="378" t="b">
        <f>M923=SUM(TrialBalance!L61:L63)+SUM(TrialBalanceA!I61:I63)+SUM(TrialBalanceB!I61:I63)+SUM(TrialBalanceC!I61:I63)</f>
        <v>1</v>
      </c>
      <c r="X923" s="378" t="b">
        <f>O923=SUM(TrialBalance!N61:N63)+SUM(TrialBalanceA!K61:K63)+SUM(TrialBalanceB!K61:K63)+SUM(TrialBalanceC!K61:K63)</f>
        <v>1</v>
      </c>
    </row>
    <row r="924" spans="2:24" ht="9" customHeight="1" thickBot="1" x14ac:dyDescent="0.5">
      <c r="B924" s="323"/>
      <c r="C924" s="340"/>
      <c r="M924" s="351"/>
      <c r="N924" s="301"/>
      <c r="O924" s="351"/>
      <c r="Q924" s="442"/>
      <c r="R924" s="403" t="str">
        <f t="shared" ref="R924:R929" si="18">R$923</f>
        <v>DELETE</v>
      </c>
    </row>
    <row r="925" spans="2:24" ht="9" customHeight="1" thickTop="1" x14ac:dyDescent="0.45">
      <c r="B925" s="323"/>
      <c r="C925" s="340"/>
      <c r="M925" s="363"/>
      <c r="N925" s="314"/>
      <c r="O925" s="363"/>
      <c r="Q925" s="442"/>
      <c r="R925" s="403" t="str">
        <f t="shared" si="18"/>
        <v>DELETE</v>
      </c>
    </row>
    <row r="926" spans="2:24" ht="31.5" customHeight="1" x14ac:dyDescent="0.45">
      <c r="B926" s="323"/>
      <c r="C926" s="340"/>
      <c r="M926" s="347"/>
      <c r="N926" s="298"/>
      <c r="O926" s="347"/>
      <c r="Q926" s="442"/>
      <c r="R926" s="403" t="str">
        <f t="shared" si="18"/>
        <v>DELETE</v>
      </c>
    </row>
    <row r="927" spans="2:24" ht="31.5" customHeight="1" x14ac:dyDescent="0.45">
      <c r="B927" s="323"/>
      <c r="C927" s="340"/>
      <c r="M927" s="347"/>
      <c r="N927" s="298"/>
      <c r="O927" s="347"/>
      <c r="Q927" s="442"/>
      <c r="R927" s="403" t="str">
        <f t="shared" si="18"/>
        <v>DELETE</v>
      </c>
    </row>
    <row r="928" spans="2:24" ht="31.5" customHeight="1" x14ac:dyDescent="0.45">
      <c r="B928" s="324"/>
      <c r="C928" s="341"/>
      <c r="D928" s="429"/>
      <c r="E928" s="429"/>
      <c r="F928" s="429"/>
      <c r="G928" s="429"/>
      <c r="H928" s="429"/>
      <c r="I928" s="429"/>
      <c r="J928" s="429"/>
      <c r="K928" s="429"/>
      <c r="L928" s="429"/>
      <c r="M928" s="349"/>
      <c r="N928" s="300"/>
      <c r="O928" s="349"/>
      <c r="P928" s="433"/>
      <c r="Q928" s="446"/>
      <c r="R928" s="403" t="str">
        <f t="shared" si="18"/>
        <v>DELETE</v>
      </c>
    </row>
    <row r="929" spans="2:18" ht="31.5" customHeight="1" x14ac:dyDescent="0.45">
      <c r="B929" s="325"/>
      <c r="C929" s="340"/>
      <c r="M929" s="347"/>
      <c r="N929" s="298"/>
      <c r="O929" s="347"/>
      <c r="R929" s="403" t="str">
        <f t="shared" si="18"/>
        <v>DELETE</v>
      </c>
    </row>
    <row r="930" spans="2:18" ht="31.5" customHeight="1" x14ac:dyDescent="0.45">
      <c r="B930" s="325"/>
      <c r="C930" s="340"/>
      <c r="M930" s="347"/>
      <c r="N930" s="298"/>
      <c r="O930" s="347"/>
      <c r="R930" s="403" t="str">
        <f>R$948</f>
        <v>DELETE</v>
      </c>
    </row>
    <row r="931" spans="2:18" ht="31.5" customHeight="1" x14ac:dyDescent="0.45">
      <c r="B931" s="422"/>
      <c r="C931" s="466"/>
      <c r="D931" s="417" t="str">
        <f>Criteria!E9</f>
        <v>HOLDING COMPANY 268 (PROPRIETARY) LIMITED</v>
      </c>
      <c r="M931" s="426"/>
      <c r="N931" s="406"/>
      <c r="O931" s="347" t="s">
        <v>96</v>
      </c>
      <c r="Q931" s="292">
        <f>MAX($Q$114:Q930)+1</f>
        <v>23</v>
      </c>
      <c r="R931" s="403" t="str">
        <f>R$948</f>
        <v>DELETE</v>
      </c>
    </row>
    <row r="932" spans="2:18" ht="31.5" customHeight="1" x14ac:dyDescent="0.45">
      <c r="B932" s="422"/>
      <c r="C932" s="466"/>
      <c r="D932" s="417" t="str">
        <f>Criteria!E10</f>
        <v>CONSOLIDATED FINANCIAL STATEMENTS</v>
      </c>
      <c r="M932" s="426"/>
      <c r="N932" s="406"/>
      <c r="O932" s="426"/>
      <c r="R932" s="403" t="str">
        <f>IF(R$948="DELETE","DELETE",IF(D932=0,"DELETE"," "))</f>
        <v>DELETE</v>
      </c>
    </row>
    <row r="933" spans="2:18" ht="31.5" customHeight="1" x14ac:dyDescent="0.45">
      <c r="B933" s="422"/>
      <c r="C933" s="466"/>
      <c r="M933" s="426"/>
      <c r="N933" s="406"/>
      <c r="O933" s="426"/>
      <c r="R933" s="403" t="str">
        <f t="shared" ref="R933:R940" si="19">R$948</f>
        <v>DELETE</v>
      </c>
    </row>
    <row r="934" spans="2:18" ht="31.5" customHeight="1" x14ac:dyDescent="0.45">
      <c r="B934" s="422"/>
      <c r="C934" s="466"/>
      <c r="D934" s="417" t="s">
        <v>377</v>
      </c>
      <c r="M934" s="426"/>
      <c r="N934" s="406"/>
      <c r="O934" s="426"/>
      <c r="R934" s="403" t="str">
        <f t="shared" si="19"/>
        <v>DELETE</v>
      </c>
    </row>
    <row r="935" spans="2:18" ht="31.5" customHeight="1" x14ac:dyDescent="0.45">
      <c r="B935" s="422"/>
      <c r="C935" s="466"/>
      <c r="D935" s="417" t="str">
        <f>Criteria!E20</f>
        <v>29 FEBRUARY 2024</v>
      </c>
      <c r="J935" s="400" t="s">
        <v>247</v>
      </c>
      <c r="M935" s="426"/>
      <c r="N935" s="406"/>
      <c r="O935" s="426"/>
      <c r="R935" s="403" t="str">
        <f t="shared" si="19"/>
        <v>DELETE</v>
      </c>
    </row>
    <row r="936" spans="2:18" ht="31.5" customHeight="1" x14ac:dyDescent="0.45">
      <c r="B936" s="422"/>
      <c r="C936" s="466"/>
      <c r="D936" s="417"/>
      <c r="M936" s="426"/>
      <c r="N936" s="406"/>
      <c r="O936" s="426"/>
      <c r="R936" s="403" t="str">
        <f t="shared" si="19"/>
        <v>DELETE</v>
      </c>
    </row>
    <row r="937" spans="2:18" ht="31.5" customHeight="1" x14ac:dyDescent="0.45">
      <c r="B937" s="326"/>
      <c r="C937" s="342"/>
      <c r="D937" s="439"/>
      <c r="E937" s="439"/>
      <c r="F937" s="439"/>
      <c r="G937" s="439"/>
      <c r="H937" s="439"/>
      <c r="I937" s="439"/>
      <c r="J937" s="439"/>
      <c r="K937" s="439"/>
      <c r="L937" s="439"/>
      <c r="M937" s="362"/>
      <c r="N937" s="299"/>
      <c r="O937" s="362"/>
      <c r="P937" s="448"/>
      <c r="Q937" s="440"/>
      <c r="R937" s="403" t="str">
        <f t="shared" si="19"/>
        <v>DELETE</v>
      </c>
    </row>
    <row r="938" spans="2:18" ht="31.5" customHeight="1" x14ac:dyDescent="0.45">
      <c r="B938" s="323"/>
      <c r="C938" s="340"/>
      <c r="M938" s="344">
        <f>Criteria!E22</f>
        <v>2024</v>
      </c>
      <c r="N938" s="294"/>
      <c r="O938" s="344">
        <f>Criteria!E27</f>
        <v>2023</v>
      </c>
      <c r="Q938" s="442"/>
      <c r="R938" s="403" t="str">
        <f t="shared" si="19"/>
        <v>DELETE</v>
      </c>
    </row>
    <row r="939" spans="2:18" ht="31.5" customHeight="1" x14ac:dyDescent="0.45">
      <c r="B939" s="323"/>
      <c r="C939" s="340"/>
      <c r="M939" s="347"/>
      <c r="N939" s="298"/>
      <c r="O939" s="347"/>
      <c r="Q939" s="442"/>
      <c r="R939" s="403" t="str">
        <f t="shared" si="19"/>
        <v>DELETE</v>
      </c>
    </row>
    <row r="940" spans="2:18" ht="31.5" customHeight="1" x14ac:dyDescent="0.45">
      <c r="B940" s="323"/>
      <c r="C940" s="340">
        <f>MAX(C879:C939)+0.1</f>
        <v>5.2999999999999989</v>
      </c>
      <c r="D940" s="400" t="s">
        <v>265</v>
      </c>
      <c r="M940" s="347"/>
      <c r="N940" s="298"/>
      <c r="O940" s="347"/>
      <c r="Q940" s="442"/>
      <c r="R940" s="403" t="str">
        <f t="shared" si="19"/>
        <v>DELETE</v>
      </c>
    </row>
    <row r="941" spans="2:18" ht="31.5" customHeight="1" x14ac:dyDescent="0.45">
      <c r="B941" s="323"/>
      <c r="C941" s="340"/>
      <c r="D941" s="400" t="s">
        <v>959</v>
      </c>
      <c r="M941" s="347">
        <f>TrialBalance!L44+TrialBalanceA!I44+TrialBalanceB!I44+TrialBalanceC!I44</f>
        <v>0</v>
      </c>
      <c r="N941" s="298"/>
      <c r="O941" s="347">
        <f>TrialBalance!N44+TrialBalanceA!K44+TrialBalanceB!K44+TrialBalanceC!K44</f>
        <v>0</v>
      </c>
      <c r="Q941" s="442"/>
      <c r="R941" s="403" t="str">
        <f>IF(M941+O941=0,"DELETE"," ")</f>
        <v>DELETE</v>
      </c>
    </row>
    <row r="942" spans="2:18" ht="31.5" customHeight="1" x14ac:dyDescent="0.45">
      <c r="B942" s="323"/>
      <c r="C942" s="340"/>
      <c r="D942" s="400" t="s">
        <v>730</v>
      </c>
      <c r="M942" s="347">
        <f>TrialBalance!L45+TrialBalanceA!I45+TrialBalanceB!I45+TrialBalanceC!I45</f>
        <v>0</v>
      </c>
      <c r="N942" s="298"/>
      <c r="O942" s="347">
        <f>TrialBalance!N45+TrialBalanceA!K45+TrialBalanceB!K45+TrialBalanceC!K45</f>
        <v>0</v>
      </c>
      <c r="Q942" s="442"/>
      <c r="R942" s="403" t="str">
        <f>IF(M942+O942=0,"DELETE"," ")</f>
        <v>DELETE</v>
      </c>
    </row>
    <row r="943" spans="2:18" ht="31.5" customHeight="1" x14ac:dyDescent="0.45">
      <c r="B943" s="323"/>
      <c r="C943" s="340"/>
      <c r="D943" s="400" t="s">
        <v>570</v>
      </c>
      <c r="M943" s="347">
        <f>TrialBalance!L46+TrialBalanceA!I46+TrialBalanceB!I46+TrialBalanceC!I46</f>
        <v>0</v>
      </c>
      <c r="N943" s="298"/>
      <c r="O943" s="347">
        <f>TrialBalance!N46+TrialBalanceA!K46+TrialBalanceB!K46+TrialBalanceC!K46</f>
        <v>0</v>
      </c>
      <c r="Q943" s="442"/>
      <c r="R943" s="403" t="str">
        <f>IF(M943+O943=0,"DELETE"," ")</f>
        <v>DELETE</v>
      </c>
    </row>
    <row r="944" spans="2:18" ht="31.5" customHeight="1" x14ac:dyDescent="0.45">
      <c r="B944" s="323"/>
      <c r="C944" s="340"/>
      <c r="D944" s="400" t="s">
        <v>571</v>
      </c>
      <c r="M944" s="347">
        <f>TrialBalance!L108+TrialBalanceA!I108+TrialBalanceB!I108+TrialBalanceC!I108</f>
        <v>0</v>
      </c>
      <c r="N944" s="298"/>
      <c r="O944" s="347">
        <f>TrialBalance!N108+TrialBalanceA!K108+TrialBalanceB!K108+TrialBalanceC!K108</f>
        <v>0</v>
      </c>
      <c r="Q944" s="442"/>
      <c r="R944" s="403" t="str">
        <f>IF(M944+O944=0,"DELETE"," ")</f>
        <v>DELETE</v>
      </c>
    </row>
    <row r="945" spans="2:24" ht="31.5" customHeight="1" x14ac:dyDescent="0.45">
      <c r="B945" s="323"/>
      <c r="C945" s="340"/>
      <c r="D945" s="400" t="s">
        <v>733</v>
      </c>
      <c r="M945" s="347">
        <f>TrialBalance!L109+TrialBalanceA!I109+TrialBalanceB!I109+TrialBalanceC!I109</f>
        <v>0</v>
      </c>
      <c r="N945" s="298"/>
      <c r="O945" s="347">
        <f>TrialBalance!N109+TrialBalanceA!K109+TrialBalanceB!K109+TrialBalanceC!K109</f>
        <v>0</v>
      </c>
      <c r="Q945" s="442"/>
      <c r="R945" s="403" t="str">
        <f>IF(M945+O945=0,"DELETE"," ")</f>
        <v>DELETE</v>
      </c>
    </row>
    <row r="946" spans="2:24" ht="9" customHeight="1" x14ac:dyDescent="0.45">
      <c r="B946" s="323"/>
      <c r="C946" s="340"/>
      <c r="M946" s="349"/>
      <c r="N946" s="300"/>
      <c r="O946" s="349"/>
      <c r="Q946" s="442"/>
      <c r="R946" s="403" t="str">
        <f>R$948</f>
        <v>DELETE</v>
      </c>
    </row>
    <row r="947" spans="2:24" ht="9" customHeight="1" x14ac:dyDescent="0.45">
      <c r="B947" s="323"/>
      <c r="C947" s="340"/>
      <c r="M947" s="347"/>
      <c r="N947" s="298"/>
      <c r="O947" s="347"/>
      <c r="Q947" s="442"/>
      <c r="R947" s="403" t="str">
        <f>R$948</f>
        <v>DELETE</v>
      </c>
    </row>
    <row r="948" spans="2:24" ht="31.5" customHeight="1" x14ac:dyDescent="0.45">
      <c r="B948" s="323"/>
      <c r="C948" s="340"/>
      <c r="M948" s="347">
        <f>SUM(M941:M947)</f>
        <v>0</v>
      </c>
      <c r="N948" s="298"/>
      <c r="O948" s="347">
        <f>SUM(O941:O947)</f>
        <v>0</v>
      </c>
      <c r="Q948" s="442"/>
      <c r="R948" s="403" t="str">
        <f>IF(M948+O948=0,"DELETE"," ")</f>
        <v>DELETE</v>
      </c>
      <c r="V948" s="378" t="b">
        <f>M948=SUM(TrialBalance!L44:L46)+SUM(TrialBalance!L108:L109)+SUM(TrialBalanceA!I44:I46)+SUM(TrialBalanceA!I108:I109)+SUM(TrialBalanceB!I44:I46)+SUM(TrialBalanceB!I108:I109)+SUM(TrialBalanceC!I44:I46)+SUM(TrialBalanceC!I108:I109)</f>
        <v>1</v>
      </c>
      <c r="X948" s="378" t="b">
        <f>O948=SUM(TrialBalance!N44:N46)+SUM(TrialBalance!N108:N109)+SUM(TrialBalanceA!K44:K46)+SUM(TrialBalanceA!K108:K109)+SUM(TrialBalanceB!K44:K46)+SUM(TrialBalanceB!K108:K109)+SUM(TrialBalanceC!K44:K46)+SUM(TrialBalanceC!K108:K109)</f>
        <v>1</v>
      </c>
    </row>
    <row r="949" spans="2:24" ht="9" customHeight="1" thickBot="1" x14ac:dyDescent="0.5">
      <c r="B949" s="323"/>
      <c r="C949" s="340"/>
      <c r="M949" s="351"/>
      <c r="N949" s="301"/>
      <c r="O949" s="351"/>
      <c r="Q949" s="442"/>
      <c r="R949" s="403" t="str">
        <f t="shared" ref="R949:R954" si="20">R$948</f>
        <v>DELETE</v>
      </c>
    </row>
    <row r="950" spans="2:24" ht="9" customHeight="1" thickTop="1" x14ac:dyDescent="0.45">
      <c r="B950" s="323"/>
      <c r="C950" s="340"/>
      <c r="M950" s="363"/>
      <c r="N950" s="314"/>
      <c r="O950" s="363"/>
      <c r="Q950" s="442"/>
      <c r="R950" s="403" t="str">
        <f t="shared" si="20"/>
        <v>DELETE</v>
      </c>
    </row>
    <row r="951" spans="2:24" ht="31.5" customHeight="1" x14ac:dyDescent="0.45">
      <c r="B951" s="323"/>
      <c r="C951" s="463"/>
      <c r="M951" s="347"/>
      <c r="N951" s="298"/>
      <c r="O951" s="347"/>
      <c r="Q951" s="442"/>
      <c r="R951" s="403" t="str">
        <f t="shared" si="20"/>
        <v>DELETE</v>
      </c>
    </row>
    <row r="952" spans="2:24" ht="31.5" customHeight="1" x14ac:dyDescent="0.45">
      <c r="B952" s="323"/>
      <c r="C952" s="463"/>
      <c r="M952" s="347"/>
      <c r="N952" s="298"/>
      <c r="O952" s="347"/>
      <c r="Q952" s="442"/>
      <c r="R952" s="403" t="str">
        <f t="shared" si="20"/>
        <v>DELETE</v>
      </c>
    </row>
    <row r="953" spans="2:24" ht="31.5" customHeight="1" x14ac:dyDescent="0.45">
      <c r="B953" s="324"/>
      <c r="C953" s="468"/>
      <c r="D953" s="429"/>
      <c r="E953" s="429"/>
      <c r="F953" s="429"/>
      <c r="G953" s="429"/>
      <c r="H953" s="429"/>
      <c r="I953" s="429"/>
      <c r="J953" s="429"/>
      <c r="K953" s="429"/>
      <c r="L953" s="429"/>
      <c r="M953" s="349"/>
      <c r="N953" s="300"/>
      <c r="O953" s="349"/>
      <c r="P953" s="433"/>
      <c r="Q953" s="446"/>
      <c r="R953" s="403" t="str">
        <f t="shared" si="20"/>
        <v>DELETE</v>
      </c>
    </row>
    <row r="954" spans="2:24" ht="31.5" customHeight="1" x14ac:dyDescent="0.45">
      <c r="B954" s="325"/>
      <c r="C954" s="417"/>
      <c r="M954" s="347"/>
      <c r="N954" s="298"/>
      <c r="O954" s="347"/>
      <c r="R954" s="403" t="str">
        <f t="shared" si="20"/>
        <v>DELETE</v>
      </c>
    </row>
    <row r="955" spans="2:24" ht="31.5" customHeight="1" x14ac:dyDescent="0.45">
      <c r="B955" s="325"/>
      <c r="C955" s="417"/>
      <c r="M955" s="347"/>
      <c r="N955" s="298"/>
      <c r="O955" s="347"/>
      <c r="R955" s="403" t="str">
        <f>R$1007</f>
        <v>DELETE</v>
      </c>
    </row>
    <row r="956" spans="2:24" ht="31.5" customHeight="1" x14ac:dyDescent="0.45">
      <c r="B956" s="422"/>
      <c r="D956" s="417" t="str">
        <f>Criteria!E9</f>
        <v>HOLDING COMPANY 268 (PROPRIETARY) LIMITED</v>
      </c>
      <c r="M956" s="426"/>
      <c r="N956" s="406"/>
      <c r="O956" s="347" t="s">
        <v>96</v>
      </c>
      <c r="Q956" s="292">
        <f>MAX($Q$114:Q955)+1</f>
        <v>24</v>
      </c>
      <c r="R956" s="403" t="str">
        <f>R$1007</f>
        <v>DELETE</v>
      </c>
    </row>
    <row r="957" spans="2:24" ht="31.5" customHeight="1" x14ac:dyDescent="0.45">
      <c r="B957" s="422"/>
      <c r="D957" s="417" t="str">
        <f>Criteria!E10</f>
        <v>CONSOLIDATED FINANCIAL STATEMENTS</v>
      </c>
      <c r="M957" s="426"/>
      <c r="N957" s="406"/>
      <c r="O957" s="426"/>
      <c r="R957" s="403" t="str">
        <f>IF(R$1007="DELETE","DELETE",IF(D957=0,"DELETE"," "))</f>
        <v>DELETE</v>
      </c>
    </row>
    <row r="958" spans="2:24" ht="31.5" customHeight="1" x14ac:dyDescent="0.45">
      <c r="B958" s="422"/>
      <c r="M958" s="426"/>
      <c r="N958" s="406"/>
      <c r="O958" s="426"/>
      <c r="R958" s="403" t="str">
        <f t="shared" ref="R958:R965" si="21">R$1007</f>
        <v>DELETE</v>
      </c>
    </row>
    <row r="959" spans="2:24" ht="31.5" customHeight="1" x14ac:dyDescent="0.45">
      <c r="B959" s="422"/>
      <c r="D959" s="417" t="s">
        <v>377</v>
      </c>
      <c r="M959" s="426"/>
      <c r="N959" s="406"/>
      <c r="O959" s="426"/>
      <c r="R959" s="403" t="str">
        <f t="shared" si="21"/>
        <v>DELETE</v>
      </c>
    </row>
    <row r="960" spans="2:24" ht="31.5" customHeight="1" x14ac:dyDescent="0.45">
      <c r="B960" s="422"/>
      <c r="D960" s="417" t="str">
        <f>Criteria!E20</f>
        <v>29 FEBRUARY 2024</v>
      </c>
      <c r="J960" s="400" t="s">
        <v>247</v>
      </c>
      <c r="M960" s="426"/>
      <c r="N960" s="406"/>
      <c r="O960" s="426"/>
      <c r="R960" s="403" t="str">
        <f t="shared" si="21"/>
        <v>DELETE</v>
      </c>
    </row>
    <row r="961" spans="2:24" ht="31.5" customHeight="1" x14ac:dyDescent="0.45">
      <c r="B961" s="422"/>
      <c r="D961" s="417"/>
      <c r="M961" s="426"/>
      <c r="N961" s="406"/>
      <c r="O961" s="426"/>
      <c r="R961" s="403" t="str">
        <f t="shared" si="21"/>
        <v>DELETE</v>
      </c>
    </row>
    <row r="962" spans="2:24" ht="31.5" customHeight="1" x14ac:dyDescent="0.45">
      <c r="B962" s="326"/>
      <c r="C962" s="458"/>
      <c r="D962" s="439"/>
      <c r="E962" s="439"/>
      <c r="F962" s="439"/>
      <c r="G962" s="439"/>
      <c r="H962" s="439"/>
      <c r="I962" s="439"/>
      <c r="J962" s="439"/>
      <c r="K962" s="439"/>
      <c r="L962" s="439"/>
      <c r="M962" s="362"/>
      <c r="N962" s="299"/>
      <c r="O962" s="362"/>
      <c r="P962" s="448"/>
      <c r="Q962" s="440"/>
      <c r="R962" s="403" t="str">
        <f t="shared" si="21"/>
        <v>DELETE</v>
      </c>
    </row>
    <row r="963" spans="2:24" ht="31.5" customHeight="1" x14ac:dyDescent="0.45">
      <c r="B963" s="323"/>
      <c r="C963" s="417"/>
      <c r="M963" s="344">
        <f>Criteria!E22</f>
        <v>2024</v>
      </c>
      <c r="N963" s="294"/>
      <c r="O963" s="344">
        <f>Criteria!E27</f>
        <v>2023</v>
      </c>
      <c r="Q963" s="442"/>
      <c r="R963" s="403" t="str">
        <f t="shared" si="21"/>
        <v>DELETE</v>
      </c>
    </row>
    <row r="964" spans="2:24" ht="31.5" customHeight="1" x14ac:dyDescent="0.45">
      <c r="B964" s="323"/>
      <c r="C964" s="417"/>
      <c r="M964" s="347"/>
      <c r="N964" s="298"/>
      <c r="O964" s="347"/>
      <c r="Q964" s="442"/>
      <c r="R964" s="403" t="str">
        <f t="shared" si="21"/>
        <v>DELETE</v>
      </c>
    </row>
    <row r="965" spans="2:24" ht="31.5" customHeight="1" x14ac:dyDescent="0.45">
      <c r="B965" s="323">
        <f>MAX(B$559:B964)+1</f>
        <v>6</v>
      </c>
      <c r="C965" s="417" t="s">
        <v>114</v>
      </c>
      <c r="M965" s="347"/>
      <c r="N965" s="298"/>
      <c r="O965" s="347"/>
      <c r="Q965" s="442"/>
      <c r="R965" s="403" t="str">
        <f t="shared" si="21"/>
        <v>DELETE</v>
      </c>
    </row>
    <row r="966" spans="2:24" ht="31.5" hidden="1" customHeight="1" x14ac:dyDescent="0.45">
      <c r="B966" s="323"/>
      <c r="C966" s="417">
        <f>B965</f>
        <v>6</v>
      </c>
      <c r="M966" s="347"/>
      <c r="N966" s="298"/>
      <c r="O966" s="347"/>
      <c r="Q966" s="442"/>
      <c r="R966" s="403" t="str">
        <f>R965</f>
        <v>DELETE</v>
      </c>
    </row>
    <row r="967" spans="2:24" ht="31.5" customHeight="1" x14ac:dyDescent="0.45">
      <c r="B967" s="323"/>
      <c r="C967" s="340">
        <f>MAX(C$965:C966)+0.1</f>
        <v>6.1</v>
      </c>
      <c r="D967" s="400" t="s">
        <v>266</v>
      </c>
      <c r="M967" s="347">
        <f>SUM(M970:M972)</f>
        <v>0</v>
      </c>
      <c r="N967" s="298"/>
      <c r="O967" s="347">
        <f>SUM(O970:O972)</f>
        <v>0</v>
      </c>
      <c r="Q967" s="442"/>
      <c r="R967" s="403" t="str">
        <f>IF(M967+O967=0,"DELETE"," ")</f>
        <v>DELETE</v>
      </c>
      <c r="S967" s="383">
        <f>M967</f>
        <v>0</v>
      </c>
      <c r="T967" s="383"/>
      <c r="U967" s="383">
        <f>O967</f>
        <v>0</v>
      </c>
      <c r="V967" s="383"/>
      <c r="W967" s="383"/>
      <c r="X967" s="383"/>
    </row>
    <row r="968" spans="2:24" ht="9" customHeight="1" x14ac:dyDescent="0.45">
      <c r="B968" s="323"/>
      <c r="C968" s="463"/>
      <c r="M968" s="347"/>
      <c r="N968" s="298"/>
      <c r="O968" s="347"/>
      <c r="Q968" s="442"/>
      <c r="R968" s="403" t="str">
        <f>R967</f>
        <v>DELETE</v>
      </c>
    </row>
    <row r="969" spans="2:24" ht="9" customHeight="1" x14ac:dyDescent="0.45">
      <c r="B969" s="323"/>
      <c r="C969" s="463"/>
      <c r="M969" s="353"/>
      <c r="N969" s="299"/>
      <c r="O969" s="366"/>
      <c r="Q969" s="442"/>
      <c r="R969" s="403" t="str">
        <f>R967</f>
        <v>DELETE</v>
      </c>
    </row>
    <row r="970" spans="2:24" ht="31.5" customHeight="1" x14ac:dyDescent="0.45">
      <c r="B970" s="323"/>
      <c r="C970" s="463"/>
      <c r="D970" s="400" t="s">
        <v>267</v>
      </c>
      <c r="M970" s="354">
        <f>-TrialBalance!L90-TrialBalanceA!I90-TrialBalanceB!I90-TrialBalanceC!I90</f>
        <v>0</v>
      </c>
      <c r="N970" s="298"/>
      <c r="O970" s="367">
        <f>-TrialBalance!N90-TrialBalanceA!K90-TrialBalanceB!K90-TrialBalanceC!K90</f>
        <v>0</v>
      </c>
      <c r="Q970" s="442"/>
      <c r="R970" s="403" t="str">
        <f>IF(M970+O970=0,"DELETE"," ")</f>
        <v>DELETE</v>
      </c>
    </row>
    <row r="971" spans="2:24" ht="31.5" customHeight="1" x14ac:dyDescent="0.45">
      <c r="B971" s="323"/>
      <c r="C971" s="463"/>
      <c r="D971" s="400" t="s">
        <v>1142</v>
      </c>
      <c r="M971" s="354">
        <f>-TrialBalance!L91-TrialBalanceA!I91-TrialBalanceB!I91-TrialBalanceC!I91</f>
        <v>0</v>
      </c>
      <c r="N971" s="298"/>
      <c r="O971" s="367">
        <f>-TrialBalance!N91-TrialBalanceA!K91-TrialBalanceB!K91-TrialBalanceC!K91</f>
        <v>0</v>
      </c>
      <c r="Q971" s="442"/>
      <c r="R971" s="403" t="str">
        <f>IF(M971+O971=0,"DELETE"," ")</f>
        <v>DELETE</v>
      </c>
    </row>
    <row r="972" spans="2:24" ht="31.5" customHeight="1" x14ac:dyDescent="0.45">
      <c r="B972" s="323"/>
      <c r="C972" s="463"/>
      <c r="D972" s="400" t="s">
        <v>572</v>
      </c>
      <c r="M972" s="354">
        <f>-TrialBalance!L92-TrialBalanceA!I92-TrialBalanceB!I92-TrialBalanceC!I92</f>
        <v>0</v>
      </c>
      <c r="N972" s="298"/>
      <c r="O972" s="367">
        <f>-TrialBalance!N92-TrialBalanceA!K92-TrialBalanceB!K92-TrialBalanceC!K92</f>
        <v>0</v>
      </c>
      <c r="Q972" s="442"/>
      <c r="R972" s="403" t="str">
        <f>IF(M972+O972=0,"DELETE"," ")</f>
        <v>DELETE</v>
      </c>
    </row>
    <row r="973" spans="2:24" ht="9" customHeight="1" x14ac:dyDescent="0.45">
      <c r="B973" s="323"/>
      <c r="C973" s="463"/>
      <c r="M973" s="355"/>
      <c r="N973" s="300"/>
      <c r="O973" s="368"/>
      <c r="Q973" s="442"/>
      <c r="R973" s="403" t="str">
        <f>R967</f>
        <v>DELETE</v>
      </c>
    </row>
    <row r="974" spans="2:24" ht="9" customHeight="1" x14ac:dyDescent="0.45">
      <c r="B974" s="323"/>
      <c r="C974" s="463"/>
      <c r="M974" s="347"/>
      <c r="N974" s="298"/>
      <c r="O974" s="347"/>
      <c r="Q974" s="442"/>
      <c r="R974" s="403" t="str">
        <f>R967</f>
        <v>DELETE</v>
      </c>
    </row>
    <row r="975" spans="2:24" ht="31.5" customHeight="1" x14ac:dyDescent="0.45">
      <c r="B975" s="323"/>
      <c r="C975" s="340">
        <f>MAX(C$965:C974)+0.1</f>
        <v>6.1999999999999993</v>
      </c>
      <c r="D975" s="400" t="s">
        <v>268</v>
      </c>
      <c r="M975" s="347">
        <f>SUM(M977:M994)</f>
        <v>0</v>
      </c>
      <c r="N975" s="298"/>
      <c r="O975" s="347">
        <f>SUM(O977:O994)</f>
        <v>0</v>
      </c>
      <c r="Q975" s="442"/>
      <c r="R975" s="403" t="str">
        <f>IF(M975+O975=0,"DELETE"," ")</f>
        <v>DELETE</v>
      </c>
      <c r="S975" s="383">
        <f>M975</f>
        <v>0</v>
      </c>
      <c r="T975" s="383"/>
      <c r="U975" s="383">
        <f>O975</f>
        <v>0</v>
      </c>
      <c r="V975" s="383"/>
      <c r="W975" s="383"/>
      <c r="X975" s="383"/>
    </row>
    <row r="976" spans="2:24" ht="9" customHeight="1" x14ac:dyDescent="0.45">
      <c r="B976" s="323"/>
      <c r="C976" s="463"/>
      <c r="M976" s="347"/>
      <c r="N976" s="298"/>
      <c r="O976" s="347"/>
      <c r="Q976" s="442"/>
      <c r="R976" s="403" t="str">
        <f>R975</f>
        <v>DELETE</v>
      </c>
    </row>
    <row r="977" spans="2:18" ht="9" customHeight="1" x14ac:dyDescent="0.45">
      <c r="B977" s="323"/>
      <c r="C977" s="463"/>
      <c r="M977" s="353"/>
      <c r="N977" s="299"/>
      <c r="O977" s="366"/>
      <c r="Q977" s="442"/>
      <c r="R977" s="403" t="str">
        <f>R975</f>
        <v>DELETE</v>
      </c>
    </row>
    <row r="978" spans="2:18" ht="31.5" customHeight="1" x14ac:dyDescent="0.45">
      <c r="B978" s="323"/>
      <c r="C978" s="463"/>
      <c r="D978" s="464">
        <f>TrialBalance!C85</f>
        <v>0</v>
      </c>
      <c r="M978" s="354">
        <f>-TrialBalance!L85</f>
        <v>0</v>
      </c>
      <c r="N978" s="298"/>
      <c r="O978" s="367">
        <f>-TrialBalance!N85</f>
        <v>0</v>
      </c>
      <c r="Q978" s="442"/>
      <c r="R978" s="403" t="str">
        <f>IF(M978+O978=0,"DELETE"," ")</f>
        <v>DELETE</v>
      </c>
    </row>
    <row r="979" spans="2:18" ht="31.5" customHeight="1" x14ac:dyDescent="0.45">
      <c r="B979" s="323"/>
      <c r="C979" s="463"/>
      <c r="D979" s="464">
        <f>TrialBalance!C86</f>
        <v>0</v>
      </c>
      <c r="M979" s="354">
        <f>-TrialBalance!L86</f>
        <v>0</v>
      </c>
      <c r="N979" s="298"/>
      <c r="O979" s="367">
        <f>-TrialBalance!N86</f>
        <v>0</v>
      </c>
      <c r="Q979" s="442"/>
      <c r="R979" s="403" t="str">
        <f>IF(M979+O979=0,"DELETE"," ")</f>
        <v>DELETE</v>
      </c>
    </row>
    <row r="980" spans="2:18" ht="31.5" customHeight="1" x14ac:dyDescent="0.45">
      <c r="B980" s="323"/>
      <c r="C980" s="463"/>
      <c r="D980" s="464">
        <f>TrialBalance!C87</f>
        <v>0</v>
      </c>
      <c r="M980" s="354">
        <f>-TrialBalance!L87</f>
        <v>0</v>
      </c>
      <c r="N980" s="298"/>
      <c r="O980" s="367">
        <f>-TrialBalance!N87</f>
        <v>0</v>
      </c>
      <c r="Q980" s="442"/>
      <c r="R980" s="403" t="str">
        <f>IF(M980+O980=0,"DELETE"," ")</f>
        <v>DELETE</v>
      </c>
    </row>
    <row r="981" spans="2:18" ht="31.5" customHeight="1" x14ac:dyDescent="0.45">
      <c r="B981" s="323"/>
      <c r="C981" s="463"/>
      <c r="D981" s="464">
        <f>TrialBalance!C88</f>
        <v>0</v>
      </c>
      <c r="M981" s="354">
        <f>-TrialBalance!L88</f>
        <v>0</v>
      </c>
      <c r="N981" s="298"/>
      <c r="O981" s="367">
        <f>-TrialBalance!N88</f>
        <v>0</v>
      </c>
      <c r="Q981" s="442"/>
      <c r="R981" s="403" t="str">
        <f>IF(M981+O981=0,"DELETE"," ")</f>
        <v>DELETE</v>
      </c>
    </row>
    <row r="982" spans="2:18" ht="31.5" customHeight="1" x14ac:dyDescent="0.45">
      <c r="B982" s="323"/>
      <c r="C982" s="463"/>
      <c r="D982" s="464">
        <f>TrialBalanceA!C85</f>
        <v>0</v>
      </c>
      <c r="M982" s="354">
        <f>-TrialBalanceA!I85</f>
        <v>0</v>
      </c>
      <c r="N982" s="298"/>
      <c r="O982" s="367">
        <f>-TrialBalanceA!K85</f>
        <v>0</v>
      </c>
      <c r="Q982" s="442"/>
      <c r="R982" s="403" t="str">
        <f t="shared" ref="R982:R986" si="22">IF(M982+O982=0,"DELETE"," ")</f>
        <v>DELETE</v>
      </c>
    </row>
    <row r="983" spans="2:18" ht="31.5" customHeight="1" x14ac:dyDescent="0.45">
      <c r="B983" s="323"/>
      <c r="C983" s="463"/>
      <c r="D983" s="464">
        <f>TrialBalanceA!C86</f>
        <v>0</v>
      </c>
      <c r="M983" s="354">
        <f>-TrialBalanceA!I86</f>
        <v>0</v>
      </c>
      <c r="N983" s="298"/>
      <c r="O983" s="367">
        <f>-TrialBalanceA!K86</f>
        <v>0</v>
      </c>
      <c r="Q983" s="442"/>
      <c r="R983" s="403" t="str">
        <f t="shared" si="22"/>
        <v>DELETE</v>
      </c>
    </row>
    <row r="984" spans="2:18" ht="31.5" customHeight="1" x14ac:dyDescent="0.45">
      <c r="B984" s="323"/>
      <c r="C984" s="463"/>
      <c r="D984" s="464">
        <f>TrialBalanceA!C87</f>
        <v>0</v>
      </c>
      <c r="M984" s="354">
        <f>-TrialBalanceA!I87</f>
        <v>0</v>
      </c>
      <c r="N984" s="298"/>
      <c r="O984" s="367">
        <f>-TrialBalanceA!K87</f>
        <v>0</v>
      </c>
      <c r="Q984" s="442"/>
      <c r="R984" s="403" t="str">
        <f t="shared" si="22"/>
        <v>DELETE</v>
      </c>
    </row>
    <row r="985" spans="2:18" ht="31.5" customHeight="1" x14ac:dyDescent="0.45">
      <c r="B985" s="323"/>
      <c r="C985" s="463"/>
      <c r="D985" s="464">
        <f>TrialBalanceA!C88</f>
        <v>0</v>
      </c>
      <c r="M985" s="354">
        <f>-TrialBalanceA!I88</f>
        <v>0</v>
      </c>
      <c r="N985" s="298"/>
      <c r="O985" s="367">
        <f>-TrialBalanceA!K88</f>
        <v>0</v>
      </c>
      <c r="Q985" s="442"/>
      <c r="R985" s="403" t="str">
        <f t="shared" si="22"/>
        <v>DELETE</v>
      </c>
    </row>
    <row r="986" spans="2:18" ht="31.5" customHeight="1" x14ac:dyDescent="0.45">
      <c r="B986" s="323"/>
      <c r="C986" s="463"/>
      <c r="D986" s="464">
        <f>TrialBalanceB!C85</f>
        <v>0</v>
      </c>
      <c r="M986" s="354">
        <f>-TrialBalanceB!I85</f>
        <v>0</v>
      </c>
      <c r="N986" s="298"/>
      <c r="O986" s="367">
        <f>-TrialBalanceB!K85</f>
        <v>0</v>
      </c>
      <c r="Q986" s="442"/>
      <c r="R986" s="403" t="str">
        <f t="shared" si="22"/>
        <v>DELETE</v>
      </c>
    </row>
    <row r="987" spans="2:18" ht="31.5" customHeight="1" x14ac:dyDescent="0.45">
      <c r="B987" s="323"/>
      <c r="C987" s="463"/>
      <c r="D987" s="464">
        <f>TrialBalanceB!C86</f>
        <v>0</v>
      </c>
      <c r="M987" s="354">
        <f>-TrialBalanceB!I86</f>
        <v>0</v>
      </c>
      <c r="N987" s="298"/>
      <c r="O987" s="367">
        <f>-TrialBalanceB!K86</f>
        <v>0</v>
      </c>
      <c r="Q987" s="442"/>
      <c r="R987" s="403" t="str">
        <f t="shared" ref="R987:R990" si="23">IF(M987+O987=0,"DELETE"," ")</f>
        <v>DELETE</v>
      </c>
    </row>
    <row r="988" spans="2:18" ht="31.5" customHeight="1" x14ac:dyDescent="0.45">
      <c r="B988" s="323"/>
      <c r="C988" s="463"/>
      <c r="D988" s="464">
        <f>TrialBalanceB!C87</f>
        <v>0</v>
      </c>
      <c r="M988" s="354">
        <f>-TrialBalanceB!I87</f>
        <v>0</v>
      </c>
      <c r="N988" s="298"/>
      <c r="O988" s="367">
        <f>-TrialBalanceB!K87</f>
        <v>0</v>
      </c>
      <c r="Q988" s="442"/>
      <c r="R988" s="403" t="str">
        <f t="shared" si="23"/>
        <v>DELETE</v>
      </c>
    </row>
    <row r="989" spans="2:18" ht="31.5" customHeight="1" x14ac:dyDescent="0.45">
      <c r="B989" s="323"/>
      <c r="C989" s="463"/>
      <c r="D989" s="464">
        <f>TrialBalanceB!C88</f>
        <v>0</v>
      </c>
      <c r="M989" s="354">
        <f>-TrialBalanceB!I88</f>
        <v>0</v>
      </c>
      <c r="N989" s="298"/>
      <c r="O989" s="367">
        <f>-TrialBalanceB!K88</f>
        <v>0</v>
      </c>
      <c r="Q989" s="442"/>
      <c r="R989" s="403" t="str">
        <f t="shared" si="23"/>
        <v>DELETE</v>
      </c>
    </row>
    <row r="990" spans="2:18" ht="31.5" customHeight="1" x14ac:dyDescent="0.45">
      <c r="B990" s="323"/>
      <c r="C990" s="463"/>
      <c r="D990" s="464">
        <f>TrialBalanceC!C85</f>
        <v>0</v>
      </c>
      <c r="M990" s="354">
        <f>-TrialBalanceC!I85</f>
        <v>0</v>
      </c>
      <c r="N990" s="298"/>
      <c r="O990" s="367">
        <f>-TrialBalanceC!K85</f>
        <v>0</v>
      </c>
      <c r="Q990" s="442"/>
      <c r="R990" s="403" t="str">
        <f t="shared" si="23"/>
        <v>DELETE</v>
      </c>
    </row>
    <row r="991" spans="2:18" ht="31.5" customHeight="1" x14ac:dyDescent="0.45">
      <c r="B991" s="323"/>
      <c r="C991" s="463"/>
      <c r="D991" s="464">
        <f>TrialBalanceC!C86</f>
        <v>0</v>
      </c>
      <c r="M991" s="354">
        <f>-TrialBalanceC!I86</f>
        <v>0</v>
      </c>
      <c r="N991" s="298"/>
      <c r="O991" s="367">
        <f>-TrialBalanceC!K86</f>
        <v>0</v>
      </c>
      <c r="Q991" s="442"/>
      <c r="R991" s="403" t="str">
        <f t="shared" ref="R991:R993" si="24">IF(M991+O991=0,"DELETE"," ")</f>
        <v>DELETE</v>
      </c>
    </row>
    <row r="992" spans="2:18" ht="31.5" customHeight="1" x14ac:dyDescent="0.45">
      <c r="B992" s="323"/>
      <c r="C992" s="463"/>
      <c r="D992" s="464">
        <f>TrialBalanceC!C87</f>
        <v>0</v>
      </c>
      <c r="M992" s="354">
        <f>-TrialBalanceC!I87</f>
        <v>0</v>
      </c>
      <c r="N992" s="298"/>
      <c r="O992" s="367">
        <f>-TrialBalanceC!K87</f>
        <v>0</v>
      </c>
      <c r="Q992" s="442"/>
      <c r="R992" s="403" t="str">
        <f t="shared" si="24"/>
        <v>DELETE</v>
      </c>
    </row>
    <row r="993" spans="2:24" ht="31.5" customHeight="1" x14ac:dyDescent="0.45">
      <c r="B993" s="323"/>
      <c r="C993" s="463"/>
      <c r="D993" s="464">
        <f>TrialBalanceC!C88</f>
        <v>0</v>
      </c>
      <c r="M993" s="354">
        <f>-TrialBalanceC!I88</f>
        <v>0</v>
      </c>
      <c r="N993" s="298"/>
      <c r="O993" s="367">
        <f>-TrialBalanceC!K88</f>
        <v>0</v>
      </c>
      <c r="Q993" s="442"/>
      <c r="R993" s="403" t="str">
        <f t="shared" si="24"/>
        <v>DELETE</v>
      </c>
    </row>
    <row r="994" spans="2:24" ht="9" customHeight="1" x14ac:dyDescent="0.45">
      <c r="B994" s="323"/>
      <c r="C994" s="463"/>
      <c r="M994" s="355"/>
      <c r="N994" s="300"/>
      <c r="O994" s="368"/>
      <c r="Q994" s="442"/>
      <c r="R994" s="403" t="str">
        <f>R975</f>
        <v>DELETE</v>
      </c>
    </row>
    <row r="995" spans="2:24" ht="9" customHeight="1" x14ac:dyDescent="0.45">
      <c r="B995" s="323"/>
      <c r="C995" s="463"/>
      <c r="M995" s="347"/>
      <c r="N995" s="298"/>
      <c r="O995" s="347"/>
      <c r="Q995" s="442"/>
      <c r="R995" s="403" t="str">
        <f>R975</f>
        <v>DELETE</v>
      </c>
    </row>
    <row r="996" spans="2:24" ht="31.5" customHeight="1" x14ac:dyDescent="0.45">
      <c r="B996" s="323"/>
      <c r="C996" s="340">
        <f>MAX(C$965:C995)+0.1</f>
        <v>6.2999999999999989</v>
      </c>
      <c r="D996" s="400" t="s">
        <v>351</v>
      </c>
      <c r="M996" s="347">
        <f>SUM(M998:M1004)</f>
        <v>0</v>
      </c>
      <c r="N996" s="298"/>
      <c r="O996" s="347">
        <f>SUM(O998:O1004)</f>
        <v>0</v>
      </c>
      <c r="Q996" s="442"/>
      <c r="R996" s="403" t="str">
        <f>IF(SUM(M999:M1003)+SUM(O999:O1003)=0,"DELETE"," ")</f>
        <v>DELETE</v>
      </c>
      <c r="S996" s="380">
        <f>M996</f>
        <v>0</v>
      </c>
      <c r="U996" s="380">
        <f>O996</f>
        <v>0</v>
      </c>
    </row>
    <row r="997" spans="2:24" ht="9" customHeight="1" x14ac:dyDescent="0.45">
      <c r="B997" s="323"/>
      <c r="C997" s="340"/>
      <c r="M997" s="347"/>
      <c r="N997" s="298"/>
      <c r="O997" s="347"/>
      <c r="Q997" s="442"/>
      <c r="R997" s="403" t="str">
        <f>R996</f>
        <v>DELETE</v>
      </c>
    </row>
    <row r="998" spans="2:24" ht="9" customHeight="1" x14ac:dyDescent="0.45">
      <c r="B998" s="323"/>
      <c r="C998" s="340"/>
      <c r="M998" s="353"/>
      <c r="N998" s="299"/>
      <c r="O998" s="366"/>
      <c r="Q998" s="442"/>
      <c r="R998" s="403" t="str">
        <f>R996</f>
        <v>DELETE</v>
      </c>
    </row>
    <row r="999" spans="2:24" ht="31.5" customHeight="1" x14ac:dyDescent="0.45">
      <c r="B999" s="323"/>
      <c r="C999" s="463"/>
      <c r="D999" s="400" t="s">
        <v>548</v>
      </c>
      <c r="M999" s="354">
        <f>IF(TrialBalance!L93&lt;0,-TrialBalance!L93,0)+IF(TrialBalanceA!I93&lt;0,-TrialBalanceA!I93,0)+IF(TrialBalanceB!I93&lt;0,-TrialBalanceB!I93,0)+IF(TrialBalanceC!I93&lt;0,-TrialBalanceC!I93,0)</f>
        <v>0</v>
      </c>
      <c r="N999" s="314"/>
      <c r="O999" s="367">
        <f>IF(TrialBalance!N93&lt;0,-TrialBalance!N93,0)+IF(TrialBalanceA!K93&lt;0,-TrialBalanceA!K93,0)+IF(TrialBalanceB!K93&lt;0,-TrialBalanceB!K93,0)+IF(TrialBalanceC!K93&lt;0,-TrialBalanceC!K93,0)</f>
        <v>0</v>
      </c>
      <c r="Q999" s="442"/>
      <c r="R999" s="403" t="str">
        <f>IF(M999+O999=0,"DELETE"," ")</f>
        <v>DELETE</v>
      </c>
      <c r="S999" s="383"/>
      <c r="T999" s="383"/>
      <c r="U999" s="383"/>
      <c r="V999" s="383"/>
      <c r="W999" s="383"/>
      <c r="X999" s="383"/>
    </row>
    <row r="1000" spans="2:24" ht="31.5" customHeight="1" x14ac:dyDescent="0.45">
      <c r="B1000" s="323"/>
      <c r="C1000" s="463"/>
      <c r="D1000" s="400" t="s">
        <v>359</v>
      </c>
      <c r="M1000" s="354">
        <f>-TrialBalance!L83-TrialBalanceA!I83-TrialBalanceB!I83-TrialBalanceC!I83</f>
        <v>0</v>
      </c>
      <c r="N1000" s="314"/>
      <c r="O1000" s="367">
        <f>-TrialBalance!N83-TrialBalanceA!K83-TrialBalanceB!K83-TrialBalanceC!K83</f>
        <v>0</v>
      </c>
      <c r="Q1000" s="442"/>
      <c r="R1000" s="403" t="str">
        <f>IF(M1000+O1000=0,"DELETE"," ")</f>
        <v>DELETE</v>
      </c>
      <c r="S1000" s="383"/>
      <c r="T1000" s="383"/>
      <c r="U1000" s="383"/>
      <c r="V1000" s="383"/>
      <c r="W1000" s="383"/>
      <c r="X1000" s="383"/>
    </row>
    <row r="1001" spans="2:24" ht="31.5" customHeight="1" x14ac:dyDescent="0.45">
      <c r="B1001" s="323"/>
      <c r="C1001" s="463"/>
      <c r="D1001" s="400" t="s">
        <v>205</v>
      </c>
      <c r="M1001" s="354">
        <f>-TrialBalance!L94-TrialBalanceA!I94-TrialBalanceB!I94-TrialBalanceC!I94</f>
        <v>0</v>
      </c>
      <c r="N1001" s="314"/>
      <c r="O1001" s="367">
        <f>-TrialBalance!N94-TrialBalanceA!K94-TrialBalanceB!K94-TrialBalanceC!K94</f>
        <v>0</v>
      </c>
      <c r="Q1001" s="442"/>
      <c r="R1001" s="403" t="str">
        <f>IF(M1001+O1001=0,"DELETE"," ")</f>
        <v>DELETE</v>
      </c>
      <c r="S1001" s="383"/>
      <c r="T1001" s="383"/>
      <c r="U1001" s="383"/>
      <c r="V1001" s="383"/>
      <c r="W1001" s="383"/>
      <c r="X1001" s="383"/>
    </row>
    <row r="1002" spans="2:24" ht="31.5" customHeight="1" x14ac:dyDescent="0.45">
      <c r="B1002" s="323"/>
      <c r="C1002" s="463"/>
      <c r="D1002" s="400" t="s">
        <v>423</v>
      </c>
      <c r="M1002" s="354">
        <f>-TrialBalance!L95-TrialBalanceA!I95-TrialBalanceB!I95-TrialBalanceC!I95</f>
        <v>0</v>
      </c>
      <c r="N1002" s="314"/>
      <c r="O1002" s="367">
        <f>-TrialBalance!N95-TrialBalanceA!K95-TrialBalanceB!K95-TrialBalanceC!K95</f>
        <v>0</v>
      </c>
      <c r="Q1002" s="442"/>
      <c r="R1002" s="403" t="str">
        <f>IF(M1002+O1002=0,"DELETE"," ")</f>
        <v>DELETE</v>
      </c>
      <c r="S1002" s="383"/>
      <c r="T1002" s="383"/>
      <c r="U1002" s="383"/>
      <c r="V1002" s="383"/>
      <c r="W1002" s="383"/>
      <c r="X1002" s="383"/>
    </row>
    <row r="1003" spans="2:24" ht="31.5" customHeight="1" x14ac:dyDescent="0.45">
      <c r="B1003" s="323"/>
      <c r="C1003" s="463"/>
      <c r="D1003" s="400" t="str">
        <f>TrialBalance!C96</f>
        <v>Revaluation of investment property</v>
      </c>
      <c r="M1003" s="354">
        <f>-TrialBalance!L96-TrialBalanceA!I96-TrialBalanceB!I96-TrialBalanceC!I96</f>
        <v>0</v>
      </c>
      <c r="N1003" s="314"/>
      <c r="O1003" s="367">
        <f>-TrialBalance!N96-TrialBalanceA!K96-TrialBalanceB!K96-TrialBalanceC!K96</f>
        <v>0</v>
      </c>
      <c r="Q1003" s="442"/>
      <c r="R1003" s="403" t="str">
        <f>IF(M1003+O1003=0,"DELETE"," ")</f>
        <v>DELETE</v>
      </c>
      <c r="S1003" s="383"/>
      <c r="T1003" s="383"/>
      <c r="U1003" s="383"/>
      <c r="V1003" s="383"/>
      <c r="W1003" s="383"/>
      <c r="X1003" s="383"/>
    </row>
    <row r="1004" spans="2:24" ht="9" customHeight="1" x14ac:dyDescent="0.45">
      <c r="B1004" s="323"/>
      <c r="C1004" s="463"/>
      <c r="M1004" s="355"/>
      <c r="N1004" s="300"/>
      <c r="O1004" s="368"/>
      <c r="Q1004" s="442"/>
      <c r="R1004" s="403" t="str">
        <f>R996</f>
        <v>DELETE</v>
      </c>
      <c r="S1004" s="383"/>
      <c r="T1004" s="383"/>
      <c r="U1004" s="383"/>
      <c r="V1004" s="383"/>
      <c r="W1004" s="383"/>
      <c r="X1004" s="383"/>
    </row>
    <row r="1005" spans="2:24" ht="9" customHeight="1" x14ac:dyDescent="0.45">
      <c r="B1005" s="323"/>
      <c r="C1005" s="463"/>
      <c r="M1005" s="349"/>
      <c r="N1005" s="300"/>
      <c r="O1005" s="349"/>
      <c r="Q1005" s="442"/>
      <c r="R1005" s="403" t="str">
        <f>R1007</f>
        <v>DELETE</v>
      </c>
    </row>
    <row r="1006" spans="2:24" ht="9" customHeight="1" x14ac:dyDescent="0.45">
      <c r="B1006" s="323"/>
      <c r="C1006" s="463"/>
      <c r="M1006" s="347"/>
      <c r="N1006" s="298"/>
      <c r="O1006" s="347"/>
      <c r="Q1006" s="442"/>
      <c r="R1006" s="403" t="str">
        <f>R1007</f>
        <v>DELETE</v>
      </c>
    </row>
    <row r="1007" spans="2:24" ht="31.5" customHeight="1" x14ac:dyDescent="0.45">
      <c r="B1007" s="323"/>
      <c r="C1007" s="463"/>
      <c r="D1007" s="400" t="s">
        <v>573</v>
      </c>
      <c r="M1007" s="347">
        <f>SUM(S967:S1005)</f>
        <v>0</v>
      </c>
      <c r="N1007" s="298"/>
      <c r="O1007" s="347">
        <f>SUM(U967:U1005)</f>
        <v>0</v>
      </c>
      <c r="Q1007" s="442"/>
      <c r="R1007" s="403" t="str">
        <f>IF(M1007+O1007=0,"DELETE"," ")</f>
        <v>DELETE</v>
      </c>
      <c r="V1007" s="385"/>
      <c r="W1007" s="385"/>
      <c r="X1007" s="385"/>
    </row>
    <row r="1008" spans="2:24" ht="9" customHeight="1" thickBot="1" x14ac:dyDescent="0.5">
      <c r="B1008" s="323"/>
      <c r="C1008" s="463"/>
      <c r="M1008" s="351"/>
      <c r="N1008" s="301"/>
      <c r="O1008" s="351"/>
      <c r="Q1008" s="442"/>
      <c r="R1008" s="403" t="str">
        <f t="shared" ref="R1008:R1013" si="25">R$1007</f>
        <v>DELETE</v>
      </c>
    </row>
    <row r="1009" spans="2:18" ht="9" customHeight="1" thickTop="1" x14ac:dyDescent="0.45">
      <c r="B1009" s="323"/>
      <c r="C1009" s="463"/>
      <c r="M1009" s="363"/>
      <c r="N1009" s="314"/>
      <c r="O1009" s="363"/>
      <c r="Q1009" s="442"/>
      <c r="R1009" s="403" t="str">
        <f t="shared" si="25"/>
        <v>DELETE</v>
      </c>
    </row>
    <row r="1010" spans="2:18" ht="31.5" customHeight="1" x14ac:dyDescent="0.45">
      <c r="B1010" s="323"/>
      <c r="C1010" s="463"/>
      <c r="M1010" s="347"/>
      <c r="N1010" s="298"/>
      <c r="O1010" s="347"/>
      <c r="Q1010" s="442"/>
      <c r="R1010" s="403" t="str">
        <f t="shared" si="25"/>
        <v>DELETE</v>
      </c>
    </row>
    <row r="1011" spans="2:18" ht="31.5" customHeight="1" x14ac:dyDescent="0.45">
      <c r="B1011" s="323"/>
      <c r="C1011" s="463"/>
      <c r="M1011" s="347"/>
      <c r="N1011" s="298"/>
      <c r="O1011" s="347"/>
      <c r="Q1011" s="442"/>
      <c r="R1011" s="403" t="str">
        <f t="shared" si="25"/>
        <v>DELETE</v>
      </c>
    </row>
    <row r="1012" spans="2:18" ht="31.5" customHeight="1" x14ac:dyDescent="0.45">
      <c r="B1012" s="324"/>
      <c r="C1012" s="468"/>
      <c r="D1012" s="429"/>
      <c r="E1012" s="429"/>
      <c r="F1012" s="429"/>
      <c r="G1012" s="429"/>
      <c r="H1012" s="429"/>
      <c r="I1012" s="429"/>
      <c r="J1012" s="429"/>
      <c r="K1012" s="429"/>
      <c r="L1012" s="429"/>
      <c r="M1012" s="349"/>
      <c r="N1012" s="300"/>
      <c r="O1012" s="349"/>
      <c r="P1012" s="433"/>
      <c r="Q1012" s="446"/>
      <c r="R1012" s="403" t="str">
        <f t="shared" si="25"/>
        <v>DELETE</v>
      </c>
    </row>
    <row r="1013" spans="2:18" ht="31.5" customHeight="1" x14ac:dyDescent="0.45">
      <c r="B1013" s="325"/>
      <c r="C1013" s="417"/>
      <c r="M1013" s="347"/>
      <c r="N1013" s="298"/>
      <c r="O1013" s="347"/>
      <c r="R1013" s="403" t="str">
        <f t="shared" si="25"/>
        <v>DELETE</v>
      </c>
    </row>
    <row r="1014" spans="2:18" ht="31.5" customHeight="1" x14ac:dyDescent="0.45">
      <c r="B1014" s="422"/>
      <c r="M1014" s="426"/>
      <c r="N1014" s="406"/>
      <c r="O1014" s="426"/>
      <c r="R1014" s="403" t="str">
        <f>R$1071</f>
        <v>DELETE</v>
      </c>
    </row>
    <row r="1015" spans="2:18" ht="31.5" customHeight="1" x14ac:dyDescent="0.45">
      <c r="B1015" s="422"/>
      <c r="D1015" s="417" t="str">
        <f>Criteria!E9</f>
        <v>HOLDING COMPANY 268 (PROPRIETARY) LIMITED</v>
      </c>
      <c r="M1015" s="426"/>
      <c r="N1015" s="406"/>
      <c r="O1015" s="347" t="s">
        <v>96</v>
      </c>
      <c r="Q1015" s="292">
        <f>MAX($Q$114:Q1014)+1</f>
        <v>25</v>
      </c>
      <c r="R1015" s="403" t="str">
        <f>R$1071</f>
        <v>DELETE</v>
      </c>
    </row>
    <row r="1016" spans="2:18" ht="31.5" customHeight="1" x14ac:dyDescent="0.45">
      <c r="B1016" s="422"/>
      <c r="D1016" s="417" t="str">
        <f>Criteria!E10</f>
        <v>CONSOLIDATED FINANCIAL STATEMENTS</v>
      </c>
      <c r="M1016" s="426"/>
      <c r="N1016" s="406"/>
      <c r="O1016" s="426"/>
      <c r="R1016" s="403" t="str">
        <f>IF(R$1071="DELETE","DELETE",IF(D1016=0,"DELETE"," "))</f>
        <v>DELETE</v>
      </c>
    </row>
    <row r="1017" spans="2:18" ht="31.5" customHeight="1" x14ac:dyDescent="0.45">
      <c r="B1017" s="422"/>
      <c r="M1017" s="426"/>
      <c r="N1017" s="406"/>
      <c r="O1017" s="426"/>
      <c r="R1017" s="403" t="str">
        <f t="shared" ref="R1017:R1024" si="26">R$1071</f>
        <v>DELETE</v>
      </c>
    </row>
    <row r="1018" spans="2:18" ht="31.5" customHeight="1" x14ac:dyDescent="0.45">
      <c r="B1018" s="422"/>
      <c r="D1018" s="417" t="s">
        <v>377</v>
      </c>
      <c r="M1018" s="426"/>
      <c r="N1018" s="406"/>
      <c r="O1018" s="426"/>
      <c r="R1018" s="403" t="str">
        <f t="shared" si="26"/>
        <v>DELETE</v>
      </c>
    </row>
    <row r="1019" spans="2:18" ht="31.5" customHeight="1" x14ac:dyDescent="0.45">
      <c r="B1019" s="422"/>
      <c r="D1019" s="417" t="str">
        <f>Criteria!E20</f>
        <v>29 FEBRUARY 2024</v>
      </c>
      <c r="J1019" s="400" t="s">
        <v>247</v>
      </c>
      <c r="M1019" s="426"/>
      <c r="N1019" s="406"/>
      <c r="O1019" s="426"/>
      <c r="R1019" s="403" t="str">
        <f t="shared" si="26"/>
        <v>DELETE</v>
      </c>
    </row>
    <row r="1020" spans="2:18" ht="31.5" customHeight="1" x14ac:dyDescent="0.45">
      <c r="B1020" s="422"/>
      <c r="M1020" s="437"/>
      <c r="N1020" s="461"/>
      <c r="O1020" s="437"/>
      <c r="R1020" s="403" t="str">
        <f t="shared" si="26"/>
        <v>DELETE</v>
      </c>
    </row>
    <row r="1021" spans="2:18" ht="31.5" customHeight="1" x14ac:dyDescent="0.45">
      <c r="B1021" s="457"/>
      <c r="C1021" s="439"/>
      <c r="D1021" s="439"/>
      <c r="E1021" s="439"/>
      <c r="F1021" s="439"/>
      <c r="G1021" s="439"/>
      <c r="H1021" s="439"/>
      <c r="I1021" s="439"/>
      <c r="J1021" s="439"/>
      <c r="K1021" s="439"/>
      <c r="L1021" s="439"/>
      <c r="M1021" s="469"/>
      <c r="N1021" s="470"/>
      <c r="O1021" s="469"/>
      <c r="P1021" s="448"/>
      <c r="Q1021" s="440"/>
      <c r="R1021" s="403" t="str">
        <f t="shared" si="26"/>
        <v>DELETE</v>
      </c>
    </row>
    <row r="1022" spans="2:18" ht="31.5" customHeight="1" x14ac:dyDescent="0.45">
      <c r="B1022" s="459"/>
      <c r="M1022" s="344">
        <f>Criteria!E22</f>
        <v>2024</v>
      </c>
      <c r="N1022" s="294"/>
      <c r="O1022" s="344">
        <f>Criteria!E27</f>
        <v>2023</v>
      </c>
      <c r="Q1022" s="442"/>
      <c r="R1022" s="403" t="str">
        <f t="shared" si="26"/>
        <v>DELETE</v>
      </c>
    </row>
    <row r="1023" spans="2:18" ht="31.5" customHeight="1" x14ac:dyDescent="0.45">
      <c r="B1023" s="323"/>
      <c r="C1023" s="417"/>
      <c r="M1023" s="347"/>
      <c r="N1023" s="298"/>
      <c r="O1023" s="347"/>
      <c r="Q1023" s="442"/>
      <c r="R1023" s="403" t="str">
        <f t="shared" si="26"/>
        <v>DELETE</v>
      </c>
    </row>
    <row r="1024" spans="2:18" ht="31.5" customHeight="1" x14ac:dyDescent="0.45">
      <c r="B1024" s="323">
        <f>MAX(B$559:B1023)+1</f>
        <v>7</v>
      </c>
      <c r="C1024" s="417" t="s">
        <v>115</v>
      </c>
      <c r="M1024" s="347"/>
      <c r="N1024" s="298"/>
      <c r="O1024" s="347"/>
      <c r="Q1024" s="442"/>
      <c r="R1024" s="403" t="str">
        <f t="shared" si="26"/>
        <v>DELETE</v>
      </c>
    </row>
    <row r="1025" spans="2:18" ht="31.5" customHeight="1" x14ac:dyDescent="0.45">
      <c r="B1025" s="323"/>
      <c r="C1025" s="417"/>
      <c r="D1025" s="400">
        <f>TrialBalance!C142</f>
        <v>0</v>
      </c>
      <c r="M1025" s="347">
        <f>TrialBalance!L142</f>
        <v>0</v>
      </c>
      <c r="N1025" s="298"/>
      <c r="O1025" s="347">
        <f>TrialBalance!N142</f>
        <v>0</v>
      </c>
      <c r="Q1025" s="442"/>
      <c r="R1025" s="403" t="str">
        <f t="shared" ref="R1025:R1036" si="27">IF(M1025+O1025=0,"DELETE"," ")</f>
        <v>DELETE</v>
      </c>
    </row>
    <row r="1026" spans="2:18" ht="31.5" customHeight="1" x14ac:dyDescent="0.45">
      <c r="B1026" s="323"/>
      <c r="C1026" s="417"/>
      <c r="D1026" s="400">
        <f>TrialBalance!C143</f>
        <v>0</v>
      </c>
      <c r="M1026" s="347">
        <f>TrialBalance!L143</f>
        <v>0</v>
      </c>
      <c r="N1026" s="298"/>
      <c r="O1026" s="347">
        <f>TrialBalance!N143</f>
        <v>0</v>
      </c>
      <c r="Q1026" s="442"/>
      <c r="R1026" s="403" t="str">
        <f t="shared" si="27"/>
        <v>DELETE</v>
      </c>
    </row>
    <row r="1027" spans="2:18" ht="31.5" customHeight="1" x14ac:dyDescent="0.45">
      <c r="B1027" s="323"/>
      <c r="C1027" s="417"/>
      <c r="D1027" s="400">
        <f>TrialBalance!C144</f>
        <v>0</v>
      </c>
      <c r="M1027" s="347">
        <f>TrialBalance!L144</f>
        <v>0</v>
      </c>
      <c r="N1027" s="298"/>
      <c r="O1027" s="347">
        <f>TrialBalance!N144</f>
        <v>0</v>
      </c>
      <c r="Q1027" s="442"/>
      <c r="R1027" s="403" t="str">
        <f t="shared" si="27"/>
        <v>DELETE</v>
      </c>
    </row>
    <row r="1028" spans="2:18" ht="31.5" customHeight="1" x14ac:dyDescent="0.45">
      <c r="B1028" s="323"/>
      <c r="C1028" s="417"/>
      <c r="D1028" s="400">
        <f>TrialBalance!C145</f>
        <v>0</v>
      </c>
      <c r="M1028" s="347">
        <f>TrialBalance!L145</f>
        <v>0</v>
      </c>
      <c r="N1028" s="298"/>
      <c r="O1028" s="347">
        <f>TrialBalance!N145</f>
        <v>0</v>
      </c>
      <c r="Q1028" s="442"/>
      <c r="R1028" s="403" t="str">
        <f t="shared" ref="R1028:R1030" si="28">IF(M1028+O1028=0,"DELETE"," ")</f>
        <v>DELETE</v>
      </c>
    </row>
    <row r="1029" spans="2:18" ht="31.5" customHeight="1" x14ac:dyDescent="0.45">
      <c r="B1029" s="323"/>
      <c r="C1029" s="417"/>
      <c r="D1029" s="400">
        <f>TrialBalance!C146</f>
        <v>0</v>
      </c>
      <c r="M1029" s="347">
        <f>TrialBalance!L146</f>
        <v>0</v>
      </c>
      <c r="N1029" s="298"/>
      <c r="O1029" s="347">
        <f>TrialBalance!N146</f>
        <v>0</v>
      </c>
      <c r="Q1029" s="442"/>
      <c r="R1029" s="403" t="str">
        <f t="shared" si="28"/>
        <v>DELETE</v>
      </c>
    </row>
    <row r="1030" spans="2:18" ht="31.5" customHeight="1" x14ac:dyDescent="0.45">
      <c r="B1030" s="323"/>
      <c r="C1030" s="417"/>
      <c r="D1030" s="400">
        <f>TrialBalance!C147</f>
        <v>0</v>
      </c>
      <c r="M1030" s="347">
        <f>TrialBalance!L147</f>
        <v>0</v>
      </c>
      <c r="N1030" s="298"/>
      <c r="O1030" s="347">
        <f>TrialBalance!N147</f>
        <v>0</v>
      </c>
      <c r="Q1030" s="442"/>
      <c r="R1030" s="403" t="str">
        <f t="shared" si="28"/>
        <v>DELETE</v>
      </c>
    </row>
    <row r="1031" spans="2:18" ht="31.5" customHeight="1" x14ac:dyDescent="0.45">
      <c r="B1031" s="323"/>
      <c r="C1031" s="417"/>
      <c r="D1031" s="400">
        <f>TrialBalance!C148</f>
        <v>0</v>
      </c>
      <c r="M1031" s="347">
        <f>TrialBalance!L148</f>
        <v>0</v>
      </c>
      <c r="N1031" s="298"/>
      <c r="O1031" s="347">
        <f>TrialBalance!N148</f>
        <v>0</v>
      </c>
      <c r="Q1031" s="442"/>
      <c r="R1031" s="403" t="str">
        <f t="shared" si="27"/>
        <v>DELETE</v>
      </c>
    </row>
    <row r="1032" spans="2:18" ht="31.5" customHeight="1" x14ac:dyDescent="0.45">
      <c r="B1032" s="323"/>
      <c r="C1032" s="417"/>
      <c r="D1032" s="400">
        <f>TrialBalance!C149</f>
        <v>0</v>
      </c>
      <c r="M1032" s="347">
        <f>TrialBalance!L149</f>
        <v>0</v>
      </c>
      <c r="N1032" s="298"/>
      <c r="O1032" s="347">
        <f>TrialBalance!N149</f>
        <v>0</v>
      </c>
      <c r="Q1032" s="442"/>
      <c r="R1032" s="403" t="str">
        <f t="shared" si="27"/>
        <v>DELETE</v>
      </c>
    </row>
    <row r="1033" spans="2:18" ht="31.5" customHeight="1" x14ac:dyDescent="0.45">
      <c r="B1033" s="323"/>
      <c r="C1033" s="417"/>
      <c r="D1033" s="400">
        <f>TrialBalance!C150</f>
        <v>0</v>
      </c>
      <c r="M1033" s="347">
        <f>TrialBalance!L150</f>
        <v>0</v>
      </c>
      <c r="N1033" s="298"/>
      <c r="O1033" s="347">
        <f>TrialBalance!N150</f>
        <v>0</v>
      </c>
      <c r="Q1033" s="442"/>
      <c r="R1033" s="403" t="str">
        <f>IF(M1033+O1033=0,"DELETE"," ")</f>
        <v>DELETE</v>
      </c>
    </row>
    <row r="1034" spans="2:18" ht="31.5" customHeight="1" x14ac:dyDescent="0.45">
      <c r="B1034" s="323"/>
      <c r="C1034" s="417"/>
      <c r="D1034" s="400">
        <f>TrialBalance!C151</f>
        <v>0</v>
      </c>
      <c r="M1034" s="347">
        <f>TrialBalance!L151</f>
        <v>0</v>
      </c>
      <c r="N1034" s="298"/>
      <c r="O1034" s="347">
        <f>TrialBalance!N151</f>
        <v>0</v>
      </c>
      <c r="Q1034" s="442"/>
      <c r="R1034" s="403" t="str">
        <f>IF(M1034+O1034=0,"DELETE"," ")</f>
        <v>DELETE</v>
      </c>
    </row>
    <row r="1035" spans="2:18" ht="31.5" customHeight="1" x14ac:dyDescent="0.45">
      <c r="B1035" s="323"/>
      <c r="C1035" s="417"/>
      <c r="D1035" s="400" t="str">
        <f>TrialBalance!C152</f>
        <v>Interest on finance leases - Investments in financial instruments</v>
      </c>
      <c r="M1035" s="347">
        <f>TrialBalance!L152</f>
        <v>0</v>
      </c>
      <c r="N1035" s="298"/>
      <c r="O1035" s="347">
        <f>TrialBalance!N152</f>
        <v>0</v>
      </c>
      <c r="Q1035" s="442"/>
      <c r="R1035" s="403" t="str">
        <f t="shared" si="27"/>
        <v>DELETE</v>
      </c>
    </row>
    <row r="1036" spans="2:18" ht="31.5" customHeight="1" x14ac:dyDescent="0.45">
      <c r="B1036" s="323"/>
      <c r="C1036" s="417"/>
      <c r="D1036" s="400">
        <f>TrialBalanceA!C142</f>
        <v>0</v>
      </c>
      <c r="M1036" s="347">
        <f>TrialBalanceA!I142</f>
        <v>0</v>
      </c>
      <c r="N1036" s="298"/>
      <c r="O1036" s="347">
        <f>TrialBalanceA!K142</f>
        <v>0</v>
      </c>
      <c r="Q1036" s="442"/>
      <c r="R1036" s="403" t="str">
        <f t="shared" si="27"/>
        <v>DELETE</v>
      </c>
    </row>
    <row r="1037" spans="2:18" ht="31.5" customHeight="1" x14ac:dyDescent="0.45">
      <c r="B1037" s="323"/>
      <c r="C1037" s="417"/>
      <c r="D1037" s="400">
        <f>TrialBalanceA!C143</f>
        <v>0</v>
      </c>
      <c r="M1037" s="347">
        <f>TrialBalanceA!I143</f>
        <v>0</v>
      </c>
      <c r="N1037" s="298"/>
      <c r="O1037" s="347">
        <f>TrialBalanceA!K143</f>
        <v>0</v>
      </c>
      <c r="Q1037" s="442"/>
      <c r="R1037" s="403" t="str">
        <f t="shared" ref="R1037:R1047" si="29">IF(M1037+O1037=0,"DELETE"," ")</f>
        <v>DELETE</v>
      </c>
    </row>
    <row r="1038" spans="2:18" ht="31.5" customHeight="1" x14ac:dyDescent="0.45">
      <c r="B1038" s="323"/>
      <c r="C1038" s="417"/>
      <c r="D1038" s="400">
        <f>TrialBalanceA!C144</f>
        <v>0</v>
      </c>
      <c r="M1038" s="347">
        <f>TrialBalanceA!I144</f>
        <v>0</v>
      </c>
      <c r="N1038" s="298"/>
      <c r="O1038" s="347">
        <f>TrialBalanceA!K144</f>
        <v>0</v>
      </c>
      <c r="Q1038" s="442"/>
      <c r="R1038" s="403" t="str">
        <f t="shared" si="29"/>
        <v>DELETE</v>
      </c>
    </row>
    <row r="1039" spans="2:18" ht="31.5" customHeight="1" x14ac:dyDescent="0.45">
      <c r="B1039" s="323"/>
      <c r="C1039" s="417"/>
      <c r="D1039" s="400">
        <f>TrialBalanceA!C145</f>
        <v>0</v>
      </c>
      <c r="M1039" s="347">
        <f>TrialBalanceA!I145</f>
        <v>0</v>
      </c>
      <c r="N1039" s="298"/>
      <c r="O1039" s="347">
        <f>TrialBalanceA!K145</f>
        <v>0</v>
      </c>
      <c r="Q1039" s="442"/>
      <c r="R1039" s="403" t="str">
        <f t="shared" si="29"/>
        <v>DELETE</v>
      </c>
    </row>
    <row r="1040" spans="2:18" ht="31.5" customHeight="1" x14ac:dyDescent="0.45">
      <c r="B1040" s="323"/>
      <c r="C1040" s="417"/>
      <c r="D1040" s="400">
        <f>TrialBalanceA!C146</f>
        <v>0</v>
      </c>
      <c r="M1040" s="347">
        <f>TrialBalanceA!I146</f>
        <v>0</v>
      </c>
      <c r="N1040" s="298"/>
      <c r="O1040" s="347">
        <f>TrialBalanceA!K146</f>
        <v>0</v>
      </c>
      <c r="Q1040" s="442"/>
      <c r="R1040" s="403" t="str">
        <f t="shared" si="29"/>
        <v>DELETE</v>
      </c>
    </row>
    <row r="1041" spans="2:18" ht="31.5" customHeight="1" x14ac:dyDescent="0.45">
      <c r="B1041" s="323"/>
      <c r="C1041" s="417"/>
      <c r="D1041" s="400">
        <f>TrialBalanceA!C147</f>
        <v>0</v>
      </c>
      <c r="M1041" s="347">
        <f>TrialBalanceA!I147</f>
        <v>0</v>
      </c>
      <c r="N1041" s="298"/>
      <c r="O1041" s="347">
        <f>TrialBalanceA!K147</f>
        <v>0</v>
      </c>
      <c r="Q1041" s="442"/>
      <c r="R1041" s="403" t="str">
        <f t="shared" si="29"/>
        <v>DELETE</v>
      </c>
    </row>
    <row r="1042" spans="2:18" ht="31.5" customHeight="1" x14ac:dyDescent="0.45">
      <c r="B1042" s="323"/>
      <c r="C1042" s="417"/>
      <c r="D1042" s="400">
        <f>TrialBalanceA!C148</f>
        <v>0</v>
      </c>
      <c r="M1042" s="347">
        <f>TrialBalanceA!I148</f>
        <v>0</v>
      </c>
      <c r="N1042" s="298"/>
      <c r="O1042" s="347">
        <f>TrialBalanceA!K148</f>
        <v>0</v>
      </c>
      <c r="Q1042" s="442"/>
      <c r="R1042" s="403" t="str">
        <f t="shared" ref="R1042:R1044" si="30">IF(M1042+O1042=0,"DELETE"," ")</f>
        <v>DELETE</v>
      </c>
    </row>
    <row r="1043" spans="2:18" ht="31.5" customHeight="1" x14ac:dyDescent="0.45">
      <c r="B1043" s="323"/>
      <c r="C1043" s="417"/>
      <c r="D1043" s="400">
        <f>TrialBalanceA!C149</f>
        <v>0</v>
      </c>
      <c r="M1043" s="347">
        <f>TrialBalanceA!I149</f>
        <v>0</v>
      </c>
      <c r="N1043" s="298"/>
      <c r="O1043" s="347">
        <f>TrialBalanceA!K149</f>
        <v>0</v>
      </c>
      <c r="Q1043" s="442"/>
      <c r="R1043" s="403" t="str">
        <f t="shared" si="30"/>
        <v>DELETE</v>
      </c>
    </row>
    <row r="1044" spans="2:18" ht="31.5" customHeight="1" x14ac:dyDescent="0.45">
      <c r="B1044" s="323"/>
      <c r="C1044" s="417"/>
      <c r="D1044" s="400">
        <f>TrialBalanceA!C150</f>
        <v>0</v>
      </c>
      <c r="M1044" s="347">
        <f>TrialBalanceA!I150</f>
        <v>0</v>
      </c>
      <c r="N1044" s="298"/>
      <c r="O1044" s="347">
        <f>TrialBalanceA!K150</f>
        <v>0</v>
      </c>
      <c r="Q1044" s="442"/>
      <c r="R1044" s="403" t="str">
        <f t="shared" si="30"/>
        <v>DELETE</v>
      </c>
    </row>
    <row r="1045" spans="2:18" ht="31.5" customHeight="1" x14ac:dyDescent="0.45">
      <c r="B1045" s="323"/>
      <c r="C1045" s="417"/>
      <c r="D1045" s="400">
        <f>TrialBalanceA!C151</f>
        <v>0</v>
      </c>
      <c r="M1045" s="347">
        <f>TrialBalanceA!I151</f>
        <v>0</v>
      </c>
      <c r="N1045" s="298"/>
      <c r="O1045" s="347">
        <f>TrialBalanceA!K151</f>
        <v>0</v>
      </c>
      <c r="Q1045" s="442"/>
      <c r="R1045" s="403" t="str">
        <f t="shared" si="29"/>
        <v>DELETE</v>
      </c>
    </row>
    <row r="1046" spans="2:18" ht="31.5" customHeight="1" x14ac:dyDescent="0.45">
      <c r="B1046" s="323"/>
      <c r="C1046" s="417"/>
      <c r="D1046" s="400" t="str">
        <f>TrialBalanceA!C152</f>
        <v>Interest on finance leases - Subsidiary One 111 (Pty) Ltd</v>
      </c>
      <c r="M1046" s="347">
        <f>TrialBalanceA!I152</f>
        <v>0</v>
      </c>
      <c r="N1046" s="298"/>
      <c r="O1046" s="347">
        <f>TrialBalanceA!K152</f>
        <v>0</v>
      </c>
      <c r="Q1046" s="442"/>
      <c r="R1046" s="403" t="str">
        <f t="shared" si="29"/>
        <v>DELETE</v>
      </c>
    </row>
    <row r="1047" spans="2:18" ht="31.5" customHeight="1" x14ac:dyDescent="0.45">
      <c r="B1047" s="323"/>
      <c r="C1047" s="417"/>
      <c r="D1047" s="400">
        <f>TrialBalanceB!C142</f>
        <v>0</v>
      </c>
      <c r="M1047" s="347">
        <f>TrialBalanceB!I142</f>
        <v>0</v>
      </c>
      <c r="N1047" s="298"/>
      <c r="O1047" s="347">
        <f>TrialBalanceB!K142</f>
        <v>0</v>
      </c>
      <c r="Q1047" s="442"/>
      <c r="R1047" s="403" t="str">
        <f t="shared" si="29"/>
        <v>DELETE</v>
      </c>
    </row>
    <row r="1048" spans="2:18" ht="31.5" customHeight="1" x14ac:dyDescent="0.45">
      <c r="B1048" s="323"/>
      <c r="C1048" s="417"/>
      <c r="D1048" s="400">
        <f>TrialBalanceB!C143</f>
        <v>0</v>
      </c>
      <c r="M1048" s="347">
        <f>TrialBalanceB!I143</f>
        <v>0</v>
      </c>
      <c r="N1048" s="298"/>
      <c r="O1048" s="347">
        <f>TrialBalanceB!K143</f>
        <v>0</v>
      </c>
      <c r="Q1048" s="442"/>
      <c r="R1048" s="403" t="str">
        <f t="shared" ref="R1048:R1058" si="31">IF(M1048+O1048=0,"DELETE"," ")</f>
        <v>DELETE</v>
      </c>
    </row>
    <row r="1049" spans="2:18" ht="31.5" customHeight="1" x14ac:dyDescent="0.45">
      <c r="B1049" s="323"/>
      <c r="C1049" s="417"/>
      <c r="D1049" s="400">
        <f>TrialBalanceB!C144</f>
        <v>0</v>
      </c>
      <c r="M1049" s="347">
        <f>TrialBalanceB!I144</f>
        <v>0</v>
      </c>
      <c r="N1049" s="298"/>
      <c r="O1049" s="347">
        <f>TrialBalanceB!K144</f>
        <v>0</v>
      </c>
      <c r="Q1049" s="442"/>
      <c r="R1049" s="403" t="str">
        <f t="shared" si="31"/>
        <v>DELETE</v>
      </c>
    </row>
    <row r="1050" spans="2:18" ht="31.5" customHeight="1" x14ac:dyDescent="0.45">
      <c r="B1050" s="323"/>
      <c r="C1050" s="417"/>
      <c r="D1050" s="400">
        <f>TrialBalanceB!C145</f>
        <v>0</v>
      </c>
      <c r="M1050" s="347">
        <f>TrialBalanceB!I145</f>
        <v>0</v>
      </c>
      <c r="N1050" s="298"/>
      <c r="O1050" s="347">
        <f>TrialBalanceB!K145</f>
        <v>0</v>
      </c>
      <c r="Q1050" s="442"/>
      <c r="R1050" s="403" t="str">
        <f t="shared" si="31"/>
        <v>DELETE</v>
      </c>
    </row>
    <row r="1051" spans="2:18" ht="31.5" customHeight="1" x14ac:dyDescent="0.45">
      <c r="B1051" s="323"/>
      <c r="C1051" s="417"/>
      <c r="D1051" s="400">
        <f>TrialBalanceB!C146</f>
        <v>0</v>
      </c>
      <c r="M1051" s="347">
        <f>TrialBalanceB!I146</f>
        <v>0</v>
      </c>
      <c r="N1051" s="298"/>
      <c r="O1051" s="347">
        <f>TrialBalanceB!K146</f>
        <v>0</v>
      </c>
      <c r="Q1051" s="442"/>
      <c r="R1051" s="403" t="str">
        <f t="shared" si="31"/>
        <v>DELETE</v>
      </c>
    </row>
    <row r="1052" spans="2:18" ht="31.5" customHeight="1" x14ac:dyDescent="0.45">
      <c r="B1052" s="323"/>
      <c r="C1052" s="417"/>
      <c r="D1052" s="400">
        <f>TrialBalanceB!C147</f>
        <v>0</v>
      </c>
      <c r="M1052" s="347">
        <f>TrialBalanceB!I147</f>
        <v>0</v>
      </c>
      <c r="N1052" s="298"/>
      <c r="O1052" s="347">
        <f>TrialBalanceB!K147</f>
        <v>0</v>
      </c>
      <c r="Q1052" s="442"/>
      <c r="R1052" s="403" t="str">
        <f t="shared" si="31"/>
        <v>DELETE</v>
      </c>
    </row>
    <row r="1053" spans="2:18" ht="31.5" customHeight="1" x14ac:dyDescent="0.45">
      <c r="B1053" s="323"/>
      <c r="C1053" s="417"/>
      <c r="D1053" s="400">
        <f>TrialBalanceB!C148</f>
        <v>0</v>
      </c>
      <c r="M1053" s="347">
        <f>TrialBalanceB!I148</f>
        <v>0</v>
      </c>
      <c r="N1053" s="298"/>
      <c r="O1053" s="347">
        <f>TrialBalanceB!K148</f>
        <v>0</v>
      </c>
      <c r="Q1053" s="442"/>
      <c r="R1053" s="403" t="str">
        <f t="shared" ref="R1053:R1055" si="32">IF(M1053+O1053=0,"DELETE"," ")</f>
        <v>DELETE</v>
      </c>
    </row>
    <row r="1054" spans="2:18" ht="31.5" customHeight="1" x14ac:dyDescent="0.45">
      <c r="B1054" s="323"/>
      <c r="C1054" s="417"/>
      <c r="D1054" s="400">
        <f>TrialBalanceB!C149</f>
        <v>0</v>
      </c>
      <c r="M1054" s="347">
        <f>TrialBalanceB!I149</f>
        <v>0</v>
      </c>
      <c r="N1054" s="298"/>
      <c r="O1054" s="347">
        <f>TrialBalanceB!K149</f>
        <v>0</v>
      </c>
      <c r="Q1054" s="442"/>
      <c r="R1054" s="403" t="str">
        <f t="shared" si="32"/>
        <v>DELETE</v>
      </c>
    </row>
    <row r="1055" spans="2:18" ht="31.5" customHeight="1" x14ac:dyDescent="0.45">
      <c r="B1055" s="323"/>
      <c r="C1055" s="417"/>
      <c r="D1055" s="400">
        <f>TrialBalanceB!C150</f>
        <v>0</v>
      </c>
      <c r="M1055" s="347">
        <f>TrialBalanceB!I150</f>
        <v>0</v>
      </c>
      <c r="N1055" s="298"/>
      <c r="O1055" s="347">
        <f>TrialBalanceB!K150</f>
        <v>0</v>
      </c>
      <c r="Q1055" s="442"/>
      <c r="R1055" s="403" t="str">
        <f t="shared" si="32"/>
        <v>DELETE</v>
      </c>
    </row>
    <row r="1056" spans="2:18" ht="31.5" customHeight="1" x14ac:dyDescent="0.45">
      <c r="B1056" s="323"/>
      <c r="C1056" s="417"/>
      <c r="D1056" s="400">
        <f>TrialBalanceB!C151</f>
        <v>0</v>
      </c>
      <c r="M1056" s="347">
        <f>TrialBalanceB!I151</f>
        <v>0</v>
      </c>
      <c r="N1056" s="298"/>
      <c r="O1056" s="347">
        <f>TrialBalanceB!K151</f>
        <v>0</v>
      </c>
      <c r="Q1056" s="442"/>
      <c r="R1056" s="403" t="str">
        <f t="shared" si="31"/>
        <v>DELETE</v>
      </c>
    </row>
    <row r="1057" spans="2:18" ht="31.5" customHeight="1" x14ac:dyDescent="0.45">
      <c r="B1057" s="323"/>
      <c r="C1057" s="417"/>
      <c r="D1057" s="400" t="str">
        <f>TrialBalanceB!C152</f>
        <v>Interest on finance leases - Subsidiary Two 15 (Pty) Ltd</v>
      </c>
      <c r="M1057" s="347">
        <f>TrialBalanceB!I152</f>
        <v>0</v>
      </c>
      <c r="N1057" s="298"/>
      <c r="O1057" s="347">
        <f>TrialBalanceB!K152</f>
        <v>0</v>
      </c>
      <c r="Q1057" s="442"/>
      <c r="R1057" s="403" t="str">
        <f t="shared" si="31"/>
        <v>DELETE</v>
      </c>
    </row>
    <row r="1058" spans="2:18" ht="31.5" customHeight="1" x14ac:dyDescent="0.45">
      <c r="B1058" s="323"/>
      <c r="C1058" s="417"/>
      <c r="D1058" s="400">
        <f>TrialBalanceC!C142</f>
        <v>0</v>
      </c>
      <c r="M1058" s="347">
        <f>TrialBalanceC!I142</f>
        <v>0</v>
      </c>
      <c r="N1058" s="298"/>
      <c r="O1058" s="347">
        <f>TrialBalanceC!K142</f>
        <v>0</v>
      </c>
      <c r="Q1058" s="442"/>
      <c r="R1058" s="403" t="str">
        <f t="shared" si="31"/>
        <v>DELETE</v>
      </c>
    </row>
    <row r="1059" spans="2:18" ht="31.5" customHeight="1" x14ac:dyDescent="0.45">
      <c r="B1059" s="323"/>
      <c r="C1059" s="417"/>
      <c r="D1059" s="400">
        <f>TrialBalanceC!C143</f>
        <v>0</v>
      </c>
      <c r="M1059" s="347">
        <f>TrialBalanceC!I143</f>
        <v>0</v>
      </c>
      <c r="N1059" s="298"/>
      <c r="O1059" s="347">
        <f>TrialBalanceC!K143</f>
        <v>0</v>
      </c>
      <c r="Q1059" s="442"/>
      <c r="R1059" s="403" t="str">
        <f t="shared" ref="R1059:R1068" si="33">IF(M1059+O1059=0,"DELETE"," ")</f>
        <v>DELETE</v>
      </c>
    </row>
    <row r="1060" spans="2:18" ht="31.5" customHeight="1" x14ac:dyDescent="0.45">
      <c r="B1060" s="323"/>
      <c r="C1060" s="417"/>
      <c r="D1060" s="400">
        <f>TrialBalanceC!C144</f>
        <v>0</v>
      </c>
      <c r="M1060" s="347">
        <f>TrialBalanceC!I144</f>
        <v>0</v>
      </c>
      <c r="N1060" s="298"/>
      <c r="O1060" s="347">
        <f>TrialBalanceC!K144</f>
        <v>0</v>
      </c>
      <c r="Q1060" s="442"/>
      <c r="R1060" s="403" t="str">
        <f t="shared" si="33"/>
        <v>DELETE</v>
      </c>
    </row>
    <row r="1061" spans="2:18" ht="31.5" customHeight="1" x14ac:dyDescent="0.45">
      <c r="B1061" s="323"/>
      <c r="C1061" s="417"/>
      <c r="D1061" s="400">
        <f>TrialBalanceC!C145</f>
        <v>0</v>
      </c>
      <c r="M1061" s="347">
        <f>TrialBalanceC!I145</f>
        <v>0</v>
      </c>
      <c r="N1061" s="298"/>
      <c r="O1061" s="347">
        <f>TrialBalanceC!K145</f>
        <v>0</v>
      </c>
      <c r="Q1061" s="442"/>
      <c r="R1061" s="403" t="str">
        <f t="shared" si="33"/>
        <v>DELETE</v>
      </c>
    </row>
    <row r="1062" spans="2:18" ht="31.5" customHeight="1" x14ac:dyDescent="0.45">
      <c r="B1062" s="323"/>
      <c r="C1062" s="417"/>
      <c r="D1062" s="400">
        <f>TrialBalanceC!C146</f>
        <v>0</v>
      </c>
      <c r="M1062" s="347">
        <f>TrialBalanceC!I146</f>
        <v>0</v>
      </c>
      <c r="N1062" s="298"/>
      <c r="O1062" s="347">
        <f>TrialBalanceC!K146</f>
        <v>0</v>
      </c>
      <c r="Q1062" s="442"/>
      <c r="R1062" s="403" t="str">
        <f t="shared" si="33"/>
        <v>DELETE</v>
      </c>
    </row>
    <row r="1063" spans="2:18" ht="31.5" customHeight="1" x14ac:dyDescent="0.45">
      <c r="B1063" s="323"/>
      <c r="C1063" s="417"/>
      <c r="D1063" s="400">
        <f>TrialBalanceC!C147</f>
        <v>0</v>
      </c>
      <c r="M1063" s="347">
        <f>TrialBalanceC!I147</f>
        <v>0</v>
      </c>
      <c r="N1063" s="298"/>
      <c r="O1063" s="347">
        <f>TrialBalanceC!K147</f>
        <v>0</v>
      </c>
      <c r="Q1063" s="442"/>
      <c r="R1063" s="403" t="str">
        <f t="shared" si="33"/>
        <v>DELETE</v>
      </c>
    </row>
    <row r="1064" spans="2:18" ht="31.5" customHeight="1" x14ac:dyDescent="0.45">
      <c r="B1064" s="323"/>
      <c r="C1064" s="417"/>
      <c r="D1064" s="400">
        <f>TrialBalanceC!C148</f>
        <v>0</v>
      </c>
      <c r="M1064" s="347">
        <f>TrialBalanceC!I148</f>
        <v>0</v>
      </c>
      <c r="N1064" s="298"/>
      <c r="O1064" s="347">
        <f>TrialBalanceC!K148</f>
        <v>0</v>
      </c>
      <c r="Q1064" s="442"/>
      <c r="R1064" s="403" t="str">
        <f t="shared" ref="R1064:R1066" si="34">IF(M1064+O1064=0,"DELETE"," ")</f>
        <v>DELETE</v>
      </c>
    </row>
    <row r="1065" spans="2:18" ht="31.5" customHeight="1" x14ac:dyDescent="0.45">
      <c r="B1065" s="323"/>
      <c r="C1065" s="417"/>
      <c r="D1065" s="400">
        <f>TrialBalanceC!C149</f>
        <v>0</v>
      </c>
      <c r="M1065" s="347">
        <f>TrialBalanceC!I149</f>
        <v>0</v>
      </c>
      <c r="N1065" s="298"/>
      <c r="O1065" s="347">
        <f>TrialBalanceC!K149</f>
        <v>0</v>
      </c>
      <c r="Q1065" s="442"/>
      <c r="R1065" s="403" t="str">
        <f t="shared" si="34"/>
        <v>DELETE</v>
      </c>
    </row>
    <row r="1066" spans="2:18" ht="31.5" customHeight="1" x14ac:dyDescent="0.45">
      <c r="B1066" s="323"/>
      <c r="C1066" s="417"/>
      <c r="D1066" s="400">
        <f>TrialBalanceC!C150</f>
        <v>0</v>
      </c>
      <c r="M1066" s="347">
        <f>TrialBalanceC!I150</f>
        <v>0</v>
      </c>
      <c r="N1066" s="298"/>
      <c r="O1066" s="347">
        <f>TrialBalanceC!K150</f>
        <v>0</v>
      </c>
      <c r="Q1066" s="442"/>
      <c r="R1066" s="403" t="str">
        <f t="shared" si="34"/>
        <v>DELETE</v>
      </c>
    </row>
    <row r="1067" spans="2:18" ht="31.5" customHeight="1" x14ac:dyDescent="0.45">
      <c r="B1067" s="323"/>
      <c r="C1067" s="417"/>
      <c r="D1067" s="400">
        <f>TrialBalanceC!C151</f>
        <v>0</v>
      </c>
      <c r="M1067" s="347">
        <f>TrialBalanceC!I151</f>
        <v>0</v>
      </c>
      <c r="N1067" s="298"/>
      <c r="O1067" s="347">
        <f>TrialBalanceC!K151</f>
        <v>0</v>
      </c>
      <c r="Q1067" s="442"/>
      <c r="R1067" s="403" t="str">
        <f t="shared" si="33"/>
        <v>DELETE</v>
      </c>
    </row>
    <row r="1068" spans="2:18" ht="31.5" customHeight="1" x14ac:dyDescent="0.45">
      <c r="B1068" s="323"/>
      <c r="C1068" s="417"/>
      <c r="D1068" s="400" t="str">
        <f>TrialBalanceC!C152</f>
        <v xml:space="preserve">Interest on finance leases - </v>
      </c>
      <c r="M1068" s="347">
        <f>TrialBalanceC!I152</f>
        <v>0</v>
      </c>
      <c r="N1068" s="298"/>
      <c r="O1068" s="347">
        <f>TrialBalanceC!K152</f>
        <v>0</v>
      </c>
      <c r="Q1068" s="442"/>
      <c r="R1068" s="403" t="str">
        <f t="shared" si="33"/>
        <v>DELETE</v>
      </c>
    </row>
    <row r="1069" spans="2:18" ht="9" customHeight="1" x14ac:dyDescent="0.45">
      <c r="B1069" s="323"/>
      <c r="C1069" s="417"/>
      <c r="M1069" s="349"/>
      <c r="N1069" s="300"/>
      <c r="O1069" s="349"/>
      <c r="Q1069" s="442"/>
      <c r="R1069" s="403" t="str">
        <f>R$1071</f>
        <v>DELETE</v>
      </c>
    </row>
    <row r="1070" spans="2:18" ht="9" customHeight="1" x14ac:dyDescent="0.45">
      <c r="B1070" s="323"/>
      <c r="C1070" s="417"/>
      <c r="M1070" s="347"/>
      <c r="N1070" s="298"/>
      <c r="O1070" s="347"/>
      <c r="Q1070" s="442"/>
      <c r="R1070" s="403" t="str">
        <f>R$1071</f>
        <v>DELETE</v>
      </c>
    </row>
    <row r="1071" spans="2:18" ht="31.5" customHeight="1" x14ac:dyDescent="0.45">
      <c r="B1071" s="323"/>
      <c r="C1071" s="417"/>
      <c r="M1071" s="347">
        <f>SUM(M1025:M1070)</f>
        <v>0</v>
      </c>
      <c r="N1071" s="298"/>
      <c r="O1071" s="347">
        <f>SUM(O1025:O1070)</f>
        <v>0</v>
      </c>
      <c r="Q1071" s="442"/>
      <c r="R1071" s="403" t="str">
        <f>IF(M1071+O1071=0,"DELETE"," ")</f>
        <v>DELETE</v>
      </c>
    </row>
    <row r="1072" spans="2:18" ht="9" customHeight="1" thickBot="1" x14ac:dyDescent="0.5">
      <c r="B1072" s="323"/>
      <c r="C1072" s="417"/>
      <c r="M1072" s="351"/>
      <c r="N1072" s="301"/>
      <c r="O1072" s="351"/>
      <c r="Q1072" s="442"/>
      <c r="R1072" s="403" t="str">
        <f t="shared" ref="R1072:R1077" si="35">R$1071</f>
        <v>DELETE</v>
      </c>
    </row>
    <row r="1073" spans="2:18" ht="9" customHeight="1" thickTop="1" x14ac:dyDescent="0.45">
      <c r="B1073" s="323"/>
      <c r="C1073" s="417"/>
      <c r="M1073" s="363"/>
      <c r="N1073" s="314"/>
      <c r="O1073" s="363"/>
      <c r="Q1073" s="442"/>
      <c r="R1073" s="403" t="str">
        <f t="shared" si="35"/>
        <v>DELETE</v>
      </c>
    </row>
    <row r="1074" spans="2:18" ht="31.5" customHeight="1" x14ac:dyDescent="0.45">
      <c r="B1074" s="323"/>
      <c r="C1074" s="417"/>
      <c r="M1074" s="363"/>
      <c r="N1074" s="314"/>
      <c r="O1074" s="363"/>
      <c r="Q1074" s="442"/>
      <c r="R1074" s="403" t="str">
        <f t="shared" si="35"/>
        <v>DELETE</v>
      </c>
    </row>
    <row r="1075" spans="2:18" ht="31.5" customHeight="1" x14ac:dyDescent="0.45">
      <c r="B1075" s="323"/>
      <c r="C1075" s="417"/>
      <c r="M1075" s="363"/>
      <c r="N1075" s="314"/>
      <c r="O1075" s="363"/>
      <c r="Q1075" s="442"/>
      <c r="R1075" s="403" t="str">
        <f t="shared" si="35"/>
        <v>DELETE</v>
      </c>
    </row>
    <row r="1076" spans="2:18" ht="31.5" customHeight="1" x14ac:dyDescent="0.45">
      <c r="B1076" s="324"/>
      <c r="C1076" s="465"/>
      <c r="D1076" s="429"/>
      <c r="E1076" s="429"/>
      <c r="F1076" s="429"/>
      <c r="G1076" s="429"/>
      <c r="H1076" s="429"/>
      <c r="I1076" s="429"/>
      <c r="J1076" s="429"/>
      <c r="K1076" s="429"/>
      <c r="L1076" s="429"/>
      <c r="M1076" s="349"/>
      <c r="N1076" s="300"/>
      <c r="O1076" s="349"/>
      <c r="P1076" s="433"/>
      <c r="Q1076" s="446"/>
      <c r="R1076" s="403" t="str">
        <f t="shared" si="35"/>
        <v>DELETE</v>
      </c>
    </row>
    <row r="1077" spans="2:18" ht="31.5" customHeight="1" x14ac:dyDescent="0.45">
      <c r="B1077" s="325"/>
      <c r="C1077" s="417"/>
      <c r="M1077" s="347"/>
      <c r="N1077" s="298"/>
      <c r="O1077" s="347"/>
      <c r="R1077" s="403" t="str">
        <f t="shared" si="35"/>
        <v>DELETE</v>
      </c>
    </row>
    <row r="1078" spans="2:18" ht="31.5" customHeight="1" x14ac:dyDescent="0.45">
      <c r="B1078" s="422"/>
      <c r="D1078" s="417"/>
      <c r="R1078" s="403" t="str">
        <f t="shared" ref="R1078:R1131" si="36">R$1088</f>
        <v>DELETE</v>
      </c>
    </row>
    <row r="1079" spans="2:18" ht="31.5" customHeight="1" x14ac:dyDescent="0.45">
      <c r="B1079" s="422"/>
      <c r="D1079" s="417" t="str">
        <f>Criteria!E9</f>
        <v>HOLDING COMPANY 268 (PROPRIETARY) LIMITED</v>
      </c>
      <c r="O1079" s="346" t="s">
        <v>96</v>
      </c>
      <c r="Q1079" s="292">
        <f>MAX($Q$114:Q1078)+1</f>
        <v>26</v>
      </c>
      <c r="R1079" s="403" t="str">
        <f t="shared" si="36"/>
        <v>DELETE</v>
      </c>
    </row>
    <row r="1080" spans="2:18" ht="31.5" customHeight="1" x14ac:dyDescent="0.45">
      <c r="B1080" s="422"/>
      <c r="D1080" s="417" t="str">
        <f>Criteria!E10</f>
        <v>CONSOLIDATED FINANCIAL STATEMENTS</v>
      </c>
      <c r="R1080" s="403" t="str">
        <f>IF(R$1088="DELETE","DELETE",IF(D1080=0,"DELETE"," "))</f>
        <v>DELETE</v>
      </c>
    </row>
    <row r="1081" spans="2:18" ht="31.5" customHeight="1" x14ac:dyDescent="0.45">
      <c r="B1081" s="422"/>
      <c r="R1081" s="403" t="str">
        <f t="shared" si="36"/>
        <v>DELETE</v>
      </c>
    </row>
    <row r="1082" spans="2:18" ht="31.5" customHeight="1" x14ac:dyDescent="0.45">
      <c r="B1082" s="422"/>
      <c r="D1082" s="417" t="s">
        <v>377</v>
      </c>
      <c r="R1082" s="403" t="str">
        <f t="shared" si="36"/>
        <v>DELETE</v>
      </c>
    </row>
    <row r="1083" spans="2:18" ht="31.5" customHeight="1" x14ac:dyDescent="0.45">
      <c r="B1083" s="422"/>
      <c r="D1083" s="417" t="str">
        <f>Criteria!E20</f>
        <v>29 FEBRUARY 2024</v>
      </c>
      <c r="J1083" s="400" t="s">
        <v>247</v>
      </c>
      <c r="R1083" s="403" t="str">
        <f t="shared" si="36"/>
        <v>DELETE</v>
      </c>
    </row>
    <row r="1084" spans="2:18" ht="31.5" customHeight="1" x14ac:dyDescent="0.45">
      <c r="B1084" s="422"/>
      <c r="R1084" s="403" t="str">
        <f t="shared" si="36"/>
        <v>DELETE</v>
      </c>
    </row>
    <row r="1085" spans="2:18" ht="31.5" customHeight="1" x14ac:dyDescent="0.45">
      <c r="B1085" s="457"/>
      <c r="C1085" s="439"/>
      <c r="D1085" s="439"/>
      <c r="E1085" s="439"/>
      <c r="F1085" s="439"/>
      <c r="G1085" s="439"/>
      <c r="H1085" s="439"/>
      <c r="I1085" s="439"/>
      <c r="J1085" s="439"/>
      <c r="K1085" s="439"/>
      <c r="L1085" s="439"/>
      <c r="M1085" s="447"/>
      <c r="N1085" s="448"/>
      <c r="O1085" s="447"/>
      <c r="P1085" s="448"/>
      <c r="Q1085" s="440"/>
      <c r="R1085" s="403" t="str">
        <f t="shared" si="36"/>
        <v>DELETE</v>
      </c>
    </row>
    <row r="1086" spans="2:18" ht="31.5" customHeight="1" x14ac:dyDescent="0.45">
      <c r="B1086" s="459"/>
      <c r="M1086" s="344">
        <f>Criteria!E22</f>
        <v>2024</v>
      </c>
      <c r="N1086" s="294"/>
      <c r="O1086" s="344">
        <f>Criteria!E27</f>
        <v>2023</v>
      </c>
      <c r="P1086" s="425"/>
      <c r="Q1086" s="442"/>
      <c r="R1086" s="403" t="str">
        <f t="shared" si="36"/>
        <v>DELETE</v>
      </c>
    </row>
    <row r="1087" spans="2:18" ht="31.5" customHeight="1" x14ac:dyDescent="0.45">
      <c r="B1087" s="459"/>
      <c r="M1087" s="424"/>
      <c r="N1087" s="425"/>
      <c r="O1087" s="424"/>
      <c r="P1087" s="425"/>
      <c r="Q1087" s="442"/>
      <c r="R1087" s="403" t="str">
        <f t="shared" si="36"/>
        <v>DELETE</v>
      </c>
    </row>
    <row r="1088" spans="2:18" ht="31.5" customHeight="1" x14ac:dyDescent="0.45">
      <c r="B1088" s="323">
        <f>MAX(B$559:B1085)+1</f>
        <v>8</v>
      </c>
      <c r="C1088" s="417" t="s">
        <v>1011</v>
      </c>
      <c r="Q1088" s="442"/>
      <c r="R1088" s="403" t="str">
        <f>IF(SUM(TrialBalance!L229:L230)+SUM(TrialBalance!N229:N230)+TrialBalance!N233+TrialBalance!L233=0,"DELETE"," ")</f>
        <v>DELETE</v>
      </c>
    </row>
    <row r="1089" spans="2:22" ht="31.5" customHeight="1" x14ac:dyDescent="0.45">
      <c r="B1089" s="323"/>
      <c r="D1089" s="400" t="s">
        <v>1055</v>
      </c>
      <c r="H1089" s="405"/>
      <c r="J1089" s="405"/>
      <c r="K1089" s="471"/>
      <c r="M1089" s="347">
        <f>M1092-M1093</f>
        <v>0</v>
      </c>
      <c r="N1089" s="298"/>
      <c r="O1089" s="347">
        <f>O1092-O1093</f>
        <v>0</v>
      </c>
      <c r="Q1089" s="442"/>
      <c r="R1089" s="403" t="str">
        <f t="shared" si="36"/>
        <v>DELETE</v>
      </c>
      <c r="V1089" s="378" t="b">
        <f>M1089=O1118</f>
        <v>1</v>
      </c>
    </row>
    <row r="1090" spans="2:22" ht="9" customHeight="1" x14ac:dyDescent="0.45">
      <c r="B1090" s="323"/>
      <c r="M1090" s="347"/>
      <c r="N1090" s="298"/>
      <c r="O1090" s="347"/>
      <c r="Q1090" s="442"/>
      <c r="R1090" s="403" t="str">
        <f t="shared" si="36"/>
        <v>DELETE</v>
      </c>
    </row>
    <row r="1091" spans="2:22" ht="9" customHeight="1" x14ac:dyDescent="0.45">
      <c r="B1091" s="323"/>
      <c r="M1091" s="353"/>
      <c r="N1091" s="299"/>
      <c r="O1091" s="366"/>
      <c r="Q1091" s="442"/>
      <c r="R1091" s="403" t="str">
        <f t="shared" si="36"/>
        <v>DELETE</v>
      </c>
    </row>
    <row r="1092" spans="2:22" ht="31.5" customHeight="1" x14ac:dyDescent="0.45">
      <c r="B1092" s="323"/>
      <c r="D1092" s="400" t="s">
        <v>383</v>
      </c>
      <c r="M1092" s="354">
        <f>TrialBalance!L229</f>
        <v>0</v>
      </c>
      <c r="N1092" s="314"/>
      <c r="O1092" s="367">
        <f>TrialBalance!N229</f>
        <v>0</v>
      </c>
      <c r="Q1092" s="442"/>
      <c r="R1092" s="403" t="str">
        <f t="shared" si="36"/>
        <v>DELETE</v>
      </c>
      <c r="S1092" s="380">
        <f>M1092</f>
        <v>0</v>
      </c>
      <c r="U1092" s="380">
        <f>O1092</f>
        <v>0</v>
      </c>
      <c r="V1092" s="378" t="b">
        <f>M1092=O1122</f>
        <v>1</v>
      </c>
    </row>
    <row r="1093" spans="2:22" ht="31.5" customHeight="1" x14ac:dyDescent="0.45">
      <c r="B1093" s="323"/>
      <c r="D1093" s="400" t="s">
        <v>742</v>
      </c>
      <c r="M1093" s="354">
        <f>-TrialBalance!L235</f>
        <v>0</v>
      </c>
      <c r="N1093" s="314"/>
      <c r="O1093" s="367">
        <f>-TrialBalance!N235</f>
        <v>0</v>
      </c>
      <c r="Q1093" s="442"/>
      <c r="R1093" s="403" t="str">
        <f t="shared" si="36"/>
        <v>DELETE</v>
      </c>
      <c r="S1093" s="380">
        <f>-M1093</f>
        <v>0</v>
      </c>
      <c r="U1093" s="380">
        <f>-O1093</f>
        <v>0</v>
      </c>
      <c r="V1093" s="378" t="b">
        <f>M1093=O1123</f>
        <v>1</v>
      </c>
    </row>
    <row r="1094" spans="2:22" ht="9" customHeight="1" x14ac:dyDescent="0.45">
      <c r="B1094" s="323"/>
      <c r="M1094" s="355"/>
      <c r="N1094" s="300"/>
      <c r="O1094" s="368"/>
      <c r="Q1094" s="442"/>
      <c r="R1094" s="403" t="str">
        <f t="shared" si="36"/>
        <v>DELETE</v>
      </c>
    </row>
    <row r="1095" spans="2:22" ht="9" customHeight="1" x14ac:dyDescent="0.45">
      <c r="B1095" s="323"/>
      <c r="M1095" s="347"/>
      <c r="N1095" s="298"/>
      <c r="O1095" s="347"/>
      <c r="Q1095" s="442"/>
      <c r="R1095" s="403" t="str">
        <f t="shared" si="36"/>
        <v>DELETE</v>
      </c>
    </row>
    <row r="1096" spans="2:22" ht="31.5" customHeight="1" x14ac:dyDescent="0.45">
      <c r="B1096" s="323"/>
      <c r="D1096" s="400" t="s">
        <v>384</v>
      </c>
      <c r="M1096" s="347">
        <f>TrialBalance!L230</f>
        <v>0</v>
      </c>
      <c r="N1096" s="298"/>
      <c r="O1096" s="347">
        <f>TrialBalance!N230</f>
        <v>0</v>
      </c>
      <c r="Q1096" s="442"/>
      <c r="R1096" s="403" t="str">
        <f t="shared" si="36"/>
        <v>DELETE</v>
      </c>
      <c r="S1096" s="380">
        <f>M1096</f>
        <v>0</v>
      </c>
      <c r="U1096" s="380">
        <f>O1096</f>
        <v>0</v>
      </c>
    </row>
    <row r="1097" spans="2:22" ht="30.75" customHeight="1" x14ac:dyDescent="0.45">
      <c r="B1097" s="323"/>
      <c r="E1097" s="400" t="s">
        <v>1085</v>
      </c>
      <c r="M1097" s="347">
        <f>TrialBalance!L233</f>
        <v>0</v>
      </c>
      <c r="N1097" s="298"/>
      <c r="O1097" s="347">
        <f>TrialBalance!N233</f>
        <v>0</v>
      </c>
      <c r="Q1097" s="442"/>
      <c r="R1097" s="403" t="str">
        <f>IF(M1097+O1097=0,"DELETE"," ")</f>
        <v>DELETE</v>
      </c>
      <c r="S1097" s="380">
        <f>M1097</f>
        <v>0</v>
      </c>
      <c r="U1097" s="380">
        <f>O1097</f>
        <v>0</v>
      </c>
    </row>
    <row r="1098" spans="2:22" ht="9" customHeight="1" x14ac:dyDescent="0.45">
      <c r="B1098" s="323"/>
      <c r="M1098" s="349"/>
      <c r="N1098" s="300"/>
      <c r="O1098" s="349"/>
      <c r="Q1098" s="442"/>
      <c r="R1098" s="403" t="str">
        <f t="shared" si="36"/>
        <v>DELETE</v>
      </c>
    </row>
    <row r="1099" spans="2:22" ht="9" customHeight="1" x14ac:dyDescent="0.45">
      <c r="B1099" s="323"/>
      <c r="M1099" s="347"/>
      <c r="N1099" s="298"/>
      <c r="O1099" s="347"/>
      <c r="Q1099" s="442"/>
      <c r="R1099" s="403" t="str">
        <f t="shared" si="36"/>
        <v>DELETE</v>
      </c>
    </row>
    <row r="1100" spans="2:22" ht="31.5" customHeight="1" x14ac:dyDescent="0.45">
      <c r="B1100" s="323"/>
      <c r="M1100" s="347">
        <f>M1089+SUM(M1095:M1098)</f>
        <v>0</v>
      </c>
      <c r="N1100" s="298"/>
      <c r="O1100" s="347">
        <f>O1089+SUM(O1095:O1098)</f>
        <v>0</v>
      </c>
      <c r="Q1100" s="442"/>
      <c r="R1100" s="403" t="str">
        <f t="shared" si="36"/>
        <v>DELETE</v>
      </c>
    </row>
    <row r="1101" spans="2:22" ht="31.5" customHeight="1" x14ac:dyDescent="0.45">
      <c r="B1101" s="323"/>
      <c r="D1101" s="400" t="s">
        <v>1079</v>
      </c>
      <c r="M1101" s="347">
        <f>-SUM(S1103:S1106)</f>
        <v>0</v>
      </c>
      <c r="N1101" s="298"/>
      <c r="O1101" s="347">
        <f>-SUM(U1103:U1106)</f>
        <v>0</v>
      </c>
      <c r="Q1101" s="442"/>
      <c r="R1101" s="403" t="str">
        <f>IF(M1101+O1101=0,"DELETE"," ")</f>
        <v>DELETE</v>
      </c>
    </row>
    <row r="1102" spans="2:22" ht="9" customHeight="1" x14ac:dyDescent="0.45">
      <c r="B1102" s="323"/>
      <c r="M1102" s="347"/>
      <c r="N1102" s="298"/>
      <c r="O1102" s="347"/>
      <c r="Q1102" s="442"/>
      <c r="R1102" s="403" t="str">
        <f>R$1101</f>
        <v>DELETE</v>
      </c>
    </row>
    <row r="1103" spans="2:22" ht="9" customHeight="1" x14ac:dyDescent="0.45">
      <c r="B1103" s="323"/>
      <c r="M1103" s="353"/>
      <c r="N1103" s="299"/>
      <c r="O1103" s="366"/>
      <c r="Q1103" s="442"/>
      <c r="R1103" s="403" t="str">
        <f>R$1101</f>
        <v>DELETE</v>
      </c>
    </row>
    <row r="1104" spans="2:22" ht="31.5" customHeight="1" x14ac:dyDescent="0.45">
      <c r="B1104" s="323"/>
      <c r="D1104" s="400" t="s">
        <v>383</v>
      </c>
      <c r="M1104" s="354">
        <f>-TrialBalance!L232</f>
        <v>0</v>
      </c>
      <c r="N1104" s="314"/>
      <c r="O1104" s="367">
        <f>-TrialBalance!N232</f>
        <v>0</v>
      </c>
      <c r="Q1104" s="442"/>
      <c r="R1104" s="403" t="str">
        <f t="shared" ref="R1104:R1105" si="37">IF(M1104+O1104=0,"DELETE"," ")</f>
        <v>DELETE</v>
      </c>
      <c r="S1104" s="380">
        <f>-M1104</f>
        <v>0</v>
      </c>
      <c r="U1104" s="380">
        <f>-O1104</f>
        <v>0</v>
      </c>
    </row>
    <row r="1105" spans="2:24" ht="31.5" customHeight="1" x14ac:dyDescent="0.45">
      <c r="B1105" s="323"/>
      <c r="D1105" s="400" t="s">
        <v>742</v>
      </c>
      <c r="M1105" s="354">
        <f>TrialBalance!L238</f>
        <v>0</v>
      </c>
      <c r="N1105" s="314"/>
      <c r="O1105" s="367">
        <f>TrialBalance!N238</f>
        <v>0</v>
      </c>
      <c r="Q1105" s="442"/>
      <c r="R1105" s="403" t="str">
        <f t="shared" si="37"/>
        <v>DELETE</v>
      </c>
      <c r="S1105" s="380">
        <f>M1105</f>
        <v>0</v>
      </c>
      <c r="U1105" s="380">
        <f>O1105</f>
        <v>0</v>
      </c>
    </row>
    <row r="1106" spans="2:24" ht="9" customHeight="1" x14ac:dyDescent="0.45">
      <c r="B1106" s="323"/>
      <c r="M1106" s="355"/>
      <c r="N1106" s="300"/>
      <c r="O1106" s="368"/>
      <c r="Q1106" s="442"/>
      <c r="R1106" s="403" t="str">
        <f t="shared" ref="R1106:R1107" si="38">R$1101</f>
        <v>DELETE</v>
      </c>
    </row>
    <row r="1107" spans="2:24" ht="9" customHeight="1" x14ac:dyDescent="0.45">
      <c r="B1107" s="323"/>
      <c r="M1107" s="347"/>
      <c r="N1107" s="298"/>
      <c r="O1107" s="347"/>
      <c r="Q1107" s="442"/>
      <c r="R1107" s="403" t="str">
        <f t="shared" si="38"/>
        <v>DELETE</v>
      </c>
    </row>
    <row r="1108" spans="2:24" ht="31.5" customHeight="1" x14ac:dyDescent="0.45">
      <c r="B1108" s="323"/>
      <c r="D1108" s="400" t="s">
        <v>162</v>
      </c>
      <c r="M1108" s="347">
        <f>-SUM(S1110:S1113)</f>
        <v>0</v>
      </c>
      <c r="N1108" s="298"/>
      <c r="O1108" s="347">
        <f>-SUM(U1110:U1113)</f>
        <v>0</v>
      </c>
      <c r="Q1108" s="442"/>
      <c r="R1108" s="403" t="str">
        <f>IF(M1108+O1108=0,"DELETE"," ")</f>
        <v>DELETE</v>
      </c>
    </row>
    <row r="1109" spans="2:24" ht="9" customHeight="1" x14ac:dyDescent="0.45">
      <c r="B1109" s="323"/>
      <c r="M1109" s="347"/>
      <c r="N1109" s="298"/>
      <c r="O1109" s="347"/>
      <c r="Q1109" s="442"/>
      <c r="R1109" s="403" t="str">
        <f>R$1108</f>
        <v>DELETE</v>
      </c>
    </row>
    <row r="1110" spans="2:24" ht="9" customHeight="1" x14ac:dyDescent="0.45">
      <c r="B1110" s="323"/>
      <c r="M1110" s="353"/>
      <c r="N1110" s="299"/>
      <c r="O1110" s="366"/>
      <c r="Q1110" s="442"/>
      <c r="R1110" s="403" t="str">
        <f>R$1108</f>
        <v>DELETE</v>
      </c>
    </row>
    <row r="1111" spans="2:24" ht="31.5" customHeight="1" x14ac:dyDescent="0.45">
      <c r="B1111" s="323"/>
      <c r="D1111" s="400" t="s">
        <v>383</v>
      </c>
      <c r="M1111" s="354">
        <f>-TrialBalance!L231</f>
        <v>0</v>
      </c>
      <c r="N1111" s="314"/>
      <c r="O1111" s="367">
        <f>-TrialBalance!N231</f>
        <v>0</v>
      </c>
      <c r="Q1111" s="442"/>
      <c r="R1111" s="403" t="str">
        <f t="shared" ref="R1111:R1112" si="39">IF(M1111+O1111=0,"DELETE"," ")</f>
        <v>DELETE</v>
      </c>
      <c r="S1111" s="380">
        <f>-M1111</f>
        <v>0</v>
      </c>
      <c r="U1111" s="380">
        <f>-O1111</f>
        <v>0</v>
      </c>
    </row>
    <row r="1112" spans="2:24" ht="31.5" customHeight="1" x14ac:dyDescent="0.45">
      <c r="B1112" s="323"/>
      <c r="D1112" s="400" t="s">
        <v>742</v>
      </c>
      <c r="M1112" s="354">
        <f>TrialBalance!L237</f>
        <v>0</v>
      </c>
      <c r="N1112" s="314"/>
      <c r="O1112" s="367">
        <f>TrialBalance!N237</f>
        <v>0</v>
      </c>
      <c r="Q1112" s="442"/>
      <c r="R1112" s="403" t="str">
        <f t="shared" si="39"/>
        <v>DELETE</v>
      </c>
      <c r="S1112" s="380">
        <f>+M1112</f>
        <v>0</v>
      </c>
      <c r="U1112" s="380">
        <f>+O1112</f>
        <v>0</v>
      </c>
    </row>
    <row r="1113" spans="2:24" ht="9" customHeight="1" x14ac:dyDescent="0.45">
      <c r="B1113" s="323"/>
      <c r="M1113" s="355"/>
      <c r="N1113" s="300"/>
      <c r="O1113" s="368"/>
      <c r="Q1113" s="442"/>
      <c r="R1113" s="403" t="str">
        <f t="shared" ref="R1113:R1114" si="40">R$1108</f>
        <v>DELETE</v>
      </c>
    </row>
    <row r="1114" spans="2:24" ht="9" customHeight="1" x14ac:dyDescent="0.45">
      <c r="B1114" s="323"/>
      <c r="M1114" s="363"/>
      <c r="N1114" s="314"/>
      <c r="O1114" s="363"/>
      <c r="Q1114" s="442"/>
      <c r="R1114" s="403" t="str">
        <f t="shared" si="40"/>
        <v>DELETE</v>
      </c>
    </row>
    <row r="1115" spans="2:24" ht="31.5" customHeight="1" x14ac:dyDescent="0.45">
      <c r="B1115" s="323"/>
      <c r="D1115" s="400" t="s">
        <v>277</v>
      </c>
      <c r="M1115" s="363">
        <f>TrialBalance!L236</f>
        <v>0</v>
      </c>
      <c r="N1115" s="314"/>
      <c r="O1115" s="363">
        <f>TrialBalance!N236</f>
        <v>0</v>
      </c>
      <c r="P1115" s="425"/>
      <c r="Q1115" s="442"/>
      <c r="R1115" s="403" t="str">
        <f t="shared" si="36"/>
        <v>DELETE</v>
      </c>
      <c r="S1115" s="380">
        <f>M1115</f>
        <v>0</v>
      </c>
      <c r="U1115" s="380">
        <f>O1115</f>
        <v>0</v>
      </c>
    </row>
    <row r="1116" spans="2:24" ht="9" customHeight="1" x14ac:dyDescent="0.45">
      <c r="B1116" s="323"/>
      <c r="M1116" s="349"/>
      <c r="N1116" s="300"/>
      <c r="O1116" s="349"/>
      <c r="P1116" s="425"/>
      <c r="Q1116" s="442"/>
      <c r="R1116" s="403" t="str">
        <f t="shared" si="36"/>
        <v>DELETE</v>
      </c>
    </row>
    <row r="1117" spans="2:24" ht="9" customHeight="1" x14ac:dyDescent="0.45">
      <c r="B1117" s="323"/>
      <c r="M1117" s="363"/>
      <c r="N1117" s="314"/>
      <c r="O1117" s="363"/>
      <c r="P1117" s="425"/>
      <c r="Q1117" s="442"/>
      <c r="R1117" s="403" t="str">
        <f t="shared" si="36"/>
        <v>DELETE</v>
      </c>
    </row>
    <row r="1118" spans="2:24" ht="31.5" customHeight="1" x14ac:dyDescent="0.45">
      <c r="B1118" s="323"/>
      <c r="D1118" s="400" t="s">
        <v>1060</v>
      </c>
      <c r="K1118" s="472"/>
      <c r="M1118" s="347">
        <f>SUM(S1091:S1116)</f>
        <v>0</v>
      </c>
      <c r="N1118" s="298"/>
      <c r="O1118" s="347">
        <f>SUM(U1091:U1116)</f>
        <v>0</v>
      </c>
      <c r="Q1118" s="442"/>
      <c r="R1118" s="403" t="str">
        <f t="shared" si="36"/>
        <v>DELETE</v>
      </c>
      <c r="V1118" s="378" t="b">
        <f>M1118=M1122-M1123</f>
        <v>1</v>
      </c>
      <c r="X1118" s="378" t="b">
        <f>O1118=O1122-O1123</f>
        <v>1</v>
      </c>
    </row>
    <row r="1119" spans="2:24" ht="9" customHeight="1" thickBot="1" x14ac:dyDescent="0.5">
      <c r="B1119" s="323"/>
      <c r="M1119" s="351"/>
      <c r="N1119" s="301"/>
      <c r="O1119" s="351"/>
      <c r="Q1119" s="442"/>
      <c r="R1119" s="403" t="str">
        <f t="shared" si="36"/>
        <v>DELETE</v>
      </c>
    </row>
    <row r="1120" spans="2:24" ht="9" customHeight="1" thickTop="1" x14ac:dyDescent="0.45">
      <c r="B1120" s="323"/>
      <c r="M1120" s="347"/>
      <c r="N1120" s="298"/>
      <c r="O1120" s="347"/>
      <c r="Q1120" s="442"/>
      <c r="R1120" s="403" t="str">
        <f t="shared" si="36"/>
        <v>DELETE</v>
      </c>
    </row>
    <row r="1121" spans="2:18" ht="9" customHeight="1" x14ac:dyDescent="0.45">
      <c r="B1121" s="323"/>
      <c r="M1121" s="353"/>
      <c r="N1121" s="299"/>
      <c r="O1121" s="366"/>
      <c r="Q1121" s="442"/>
      <c r="R1121" s="403" t="str">
        <f t="shared" si="36"/>
        <v>DELETE</v>
      </c>
    </row>
    <row r="1122" spans="2:18" ht="31.5" customHeight="1" x14ac:dyDescent="0.45">
      <c r="B1122" s="323"/>
      <c r="D1122" s="400" t="s">
        <v>383</v>
      </c>
      <c r="M1122" s="354">
        <f>SUM(TrialBalance!L229:L233)</f>
        <v>0</v>
      </c>
      <c r="N1122" s="314"/>
      <c r="O1122" s="367">
        <f>SUM(TrialBalance!N229:N233)</f>
        <v>0</v>
      </c>
      <c r="Q1122" s="442"/>
      <c r="R1122" s="403" t="str">
        <f t="shared" si="36"/>
        <v>DELETE</v>
      </c>
    </row>
    <row r="1123" spans="2:18" ht="31.5" customHeight="1" x14ac:dyDescent="0.45">
      <c r="B1123" s="323"/>
      <c r="D1123" s="400" t="s">
        <v>742</v>
      </c>
      <c r="M1123" s="354">
        <f>-SUM(TrialBalance!L235:L238)</f>
        <v>0</v>
      </c>
      <c r="N1123" s="314"/>
      <c r="O1123" s="367">
        <f>-SUM(TrialBalance!N235:N238)</f>
        <v>0</v>
      </c>
      <c r="Q1123" s="442"/>
      <c r="R1123" s="403" t="str">
        <f t="shared" si="36"/>
        <v>DELETE</v>
      </c>
    </row>
    <row r="1124" spans="2:18" ht="9" customHeight="1" x14ac:dyDescent="0.45">
      <c r="B1124" s="323"/>
      <c r="M1124" s="355"/>
      <c r="N1124" s="300"/>
      <c r="O1124" s="368"/>
      <c r="Q1124" s="442"/>
      <c r="R1124" s="403" t="str">
        <f t="shared" si="36"/>
        <v>DELETE</v>
      </c>
    </row>
    <row r="1125" spans="2:18" ht="9" customHeight="1" x14ac:dyDescent="0.45">
      <c r="B1125" s="323"/>
      <c r="M1125" s="347"/>
      <c r="N1125" s="298"/>
      <c r="O1125" s="347"/>
      <c r="Q1125" s="442"/>
      <c r="R1125" s="403" t="str">
        <f t="shared" si="36"/>
        <v>DELETE</v>
      </c>
    </row>
    <row r="1126" spans="2:18" ht="31.5" customHeight="1" x14ac:dyDescent="0.45">
      <c r="B1126" s="323"/>
      <c r="Q1126" s="442"/>
      <c r="R1126" s="403" t="str">
        <f t="shared" si="36"/>
        <v>DELETE</v>
      </c>
    </row>
    <row r="1127" spans="2:18" ht="31.5" customHeight="1" x14ac:dyDescent="0.45">
      <c r="B1127" s="323"/>
      <c r="D1127" s="400" t="str">
        <f>IF(SUM(TrialBalance!L229:L233)=0," ",IF(Criteria!F119="Yes",CONCATENATE("Property is pledged as security - See note ",FS!B1797)," "))</f>
        <v xml:space="preserve"> </v>
      </c>
      <c r="Q1127" s="442"/>
      <c r="R1127" s="403" t="str">
        <f>IF(R$1088="DELETE","DELETE",IF(D1127=" ","DELETE"," "))</f>
        <v>DELETE</v>
      </c>
    </row>
    <row r="1128" spans="2:18" ht="31.5" customHeight="1" x14ac:dyDescent="0.45">
      <c r="B1128" s="323"/>
      <c r="Q1128" s="442"/>
      <c r="R1128" s="403" t="str">
        <f t="shared" si="36"/>
        <v>DELETE</v>
      </c>
    </row>
    <row r="1129" spans="2:18" ht="31.5" customHeight="1" x14ac:dyDescent="0.45">
      <c r="B1129" s="323"/>
      <c r="Q1129" s="442"/>
      <c r="R1129" s="403" t="str">
        <f t="shared" si="36"/>
        <v>DELETE</v>
      </c>
    </row>
    <row r="1130" spans="2:18" ht="31.5" customHeight="1" x14ac:dyDescent="0.45">
      <c r="B1130" s="324"/>
      <c r="C1130" s="465"/>
      <c r="D1130" s="429"/>
      <c r="E1130" s="429"/>
      <c r="F1130" s="429"/>
      <c r="G1130" s="429"/>
      <c r="H1130" s="429"/>
      <c r="I1130" s="429"/>
      <c r="J1130" s="429"/>
      <c r="K1130" s="429"/>
      <c r="L1130" s="429"/>
      <c r="M1130" s="349"/>
      <c r="N1130" s="300"/>
      <c r="O1130" s="349"/>
      <c r="P1130" s="433"/>
      <c r="Q1130" s="446"/>
      <c r="R1130" s="403" t="str">
        <f t="shared" si="36"/>
        <v>DELETE</v>
      </c>
    </row>
    <row r="1131" spans="2:18" ht="31.5" customHeight="1" x14ac:dyDescent="0.45">
      <c r="B1131" s="325"/>
      <c r="C1131" s="417"/>
      <c r="M1131" s="347"/>
      <c r="N1131" s="298"/>
      <c r="O1131" s="347"/>
      <c r="R1131" s="403" t="str">
        <f t="shared" si="36"/>
        <v>DELETE</v>
      </c>
    </row>
    <row r="1132" spans="2:18" ht="31.5" customHeight="1" x14ac:dyDescent="0.45">
      <c r="B1132" s="325"/>
      <c r="C1132" s="417"/>
      <c r="M1132" s="347"/>
      <c r="N1132" s="298"/>
      <c r="O1132" s="347"/>
      <c r="R1132" s="403" t="str">
        <f t="shared" ref="R1132:R1143" si="41">R$1184</f>
        <v>DELETE</v>
      </c>
    </row>
    <row r="1133" spans="2:18" ht="31.5" customHeight="1" x14ac:dyDescent="0.45">
      <c r="B1133" s="325"/>
      <c r="C1133" s="417"/>
      <c r="D1133" s="417" t="str">
        <f>Criteria!E9</f>
        <v>HOLDING COMPANY 268 (PROPRIETARY) LIMITED</v>
      </c>
      <c r="O1133" s="346" t="s">
        <v>96</v>
      </c>
      <c r="Q1133" s="292">
        <f>MAX($Q$114:Q1132)+1</f>
        <v>27</v>
      </c>
      <c r="R1133" s="403" t="str">
        <f t="shared" si="41"/>
        <v>DELETE</v>
      </c>
    </row>
    <row r="1134" spans="2:18" ht="31.5" customHeight="1" x14ac:dyDescent="0.45">
      <c r="B1134" s="325"/>
      <c r="C1134" s="417"/>
      <c r="D1134" s="417" t="str">
        <f>Criteria!E10</f>
        <v>CONSOLIDATED FINANCIAL STATEMENTS</v>
      </c>
      <c r="R1134" s="403" t="str">
        <f>IF(R$1184="DELETE","DELETE",IF(D1134=0,"DELETE"," "))</f>
        <v>DELETE</v>
      </c>
    </row>
    <row r="1135" spans="2:18" ht="31.5" customHeight="1" x14ac:dyDescent="0.45">
      <c r="B1135" s="325"/>
      <c r="C1135" s="417"/>
      <c r="R1135" s="403" t="str">
        <f t="shared" si="41"/>
        <v>DELETE</v>
      </c>
    </row>
    <row r="1136" spans="2:18" ht="31.5" customHeight="1" x14ac:dyDescent="0.45">
      <c r="B1136" s="325"/>
      <c r="C1136" s="417"/>
      <c r="D1136" s="417" t="s">
        <v>377</v>
      </c>
      <c r="R1136" s="403" t="str">
        <f t="shared" si="41"/>
        <v>DELETE</v>
      </c>
    </row>
    <row r="1137" spans="2:18" ht="31.5" customHeight="1" x14ac:dyDescent="0.45">
      <c r="B1137" s="325"/>
      <c r="C1137" s="417"/>
      <c r="D1137" s="417" t="str">
        <f>Criteria!E20</f>
        <v>29 FEBRUARY 2024</v>
      </c>
      <c r="J1137" s="400" t="s">
        <v>247</v>
      </c>
      <c r="R1137" s="403" t="str">
        <f t="shared" si="41"/>
        <v>DELETE</v>
      </c>
    </row>
    <row r="1138" spans="2:18" ht="31.5" customHeight="1" x14ac:dyDescent="0.45">
      <c r="B1138" s="325"/>
      <c r="C1138" s="417"/>
      <c r="M1138" s="347"/>
      <c r="N1138" s="298"/>
      <c r="O1138" s="347"/>
      <c r="R1138" s="403" t="str">
        <f t="shared" si="41"/>
        <v>DELETE</v>
      </c>
    </row>
    <row r="1139" spans="2:18" ht="31.5" customHeight="1" x14ac:dyDescent="0.45">
      <c r="B1139" s="326"/>
      <c r="C1139" s="458"/>
      <c r="D1139" s="439"/>
      <c r="E1139" s="439"/>
      <c r="F1139" s="439"/>
      <c r="G1139" s="439"/>
      <c r="H1139" s="439"/>
      <c r="I1139" s="439"/>
      <c r="J1139" s="439"/>
      <c r="K1139" s="439"/>
      <c r="L1139" s="439"/>
      <c r="M1139" s="362"/>
      <c r="N1139" s="299"/>
      <c r="O1139" s="362"/>
      <c r="P1139" s="448"/>
      <c r="Q1139" s="440"/>
      <c r="R1139" s="403" t="str">
        <f t="shared" si="41"/>
        <v>DELETE</v>
      </c>
    </row>
    <row r="1140" spans="2:18" ht="31.5" customHeight="1" x14ac:dyDescent="0.45">
      <c r="B1140" s="323"/>
      <c r="C1140" s="417"/>
      <c r="M1140" s="344">
        <f>Criteria!E22</f>
        <v>2024</v>
      </c>
      <c r="N1140" s="294"/>
      <c r="O1140" s="344">
        <f>Criteria!E27</f>
        <v>2023</v>
      </c>
      <c r="P1140" s="425"/>
      <c r="Q1140" s="442"/>
      <c r="R1140" s="403" t="str">
        <f t="shared" si="41"/>
        <v>DELETE</v>
      </c>
    </row>
    <row r="1141" spans="2:18" ht="31.5" customHeight="1" x14ac:dyDescent="0.45">
      <c r="B1141" s="323"/>
      <c r="C1141" s="417"/>
      <c r="M1141" s="363"/>
      <c r="N1141" s="314"/>
      <c r="O1141" s="363"/>
      <c r="P1141" s="425"/>
      <c r="Q1141" s="442"/>
      <c r="R1141" s="403" t="str">
        <f t="shared" si="41"/>
        <v>DELETE</v>
      </c>
    </row>
    <row r="1142" spans="2:18" ht="31.5" customHeight="1" x14ac:dyDescent="0.45">
      <c r="B1142" s="323"/>
      <c r="C1142" s="400" t="s">
        <v>1202</v>
      </c>
      <c r="M1142" s="363"/>
      <c r="N1142" s="314"/>
      <c r="O1142" s="363"/>
      <c r="P1142" s="425"/>
      <c r="Q1142" s="442"/>
      <c r="R1142" s="403" t="str">
        <f t="shared" si="41"/>
        <v>DELETE</v>
      </c>
    </row>
    <row r="1143" spans="2:18" ht="31.5" customHeight="1" x14ac:dyDescent="0.45">
      <c r="B1143" s="323"/>
      <c r="C1143" s="417"/>
      <c r="M1143" s="363"/>
      <c r="N1143" s="314"/>
      <c r="O1143" s="363"/>
      <c r="P1143" s="425"/>
      <c r="Q1143" s="442"/>
      <c r="R1143" s="403" t="str">
        <f t="shared" si="41"/>
        <v>DELETE</v>
      </c>
    </row>
    <row r="1144" spans="2:18" ht="31.5" customHeight="1" x14ac:dyDescent="0.45">
      <c r="B1144" s="323"/>
      <c r="C1144" s="417"/>
      <c r="D1144" s="400">
        <f>Criteria!C124</f>
        <v>0</v>
      </c>
      <c r="M1144" s="363">
        <f>Criteria!F124</f>
        <v>0</v>
      </c>
      <c r="N1144" s="314"/>
      <c r="O1144" s="363">
        <f>Criteria!G124</f>
        <v>0</v>
      </c>
      <c r="P1144" s="425"/>
      <c r="Q1144" s="442"/>
      <c r="R1144" s="403" t="str">
        <f>IF(M1144=0,IF(O1144=0,"DELETE"," ")," ")</f>
        <v>DELETE</v>
      </c>
    </row>
    <row r="1145" spans="2:18" ht="31.5" customHeight="1" x14ac:dyDescent="0.45">
      <c r="B1145" s="323"/>
      <c r="C1145" s="417"/>
      <c r="D1145" s="400">
        <f>Criteria!C125</f>
        <v>0</v>
      </c>
      <c r="M1145" s="363">
        <f>Criteria!F125</f>
        <v>0</v>
      </c>
      <c r="N1145" s="314"/>
      <c r="O1145" s="363">
        <f>Criteria!G125</f>
        <v>0</v>
      </c>
      <c r="P1145" s="425"/>
      <c r="Q1145" s="442"/>
      <c r="R1145" s="403" t="str">
        <f t="shared" ref="R1145:R1181" si="42">IF(M1145=0,IF(O1145=0,"DELETE"," ")," ")</f>
        <v>DELETE</v>
      </c>
    </row>
    <row r="1146" spans="2:18" ht="31.5" customHeight="1" x14ac:dyDescent="0.45">
      <c r="B1146" s="323"/>
      <c r="C1146" s="417"/>
      <c r="D1146" s="400">
        <f>Criteria!C126</f>
        <v>0</v>
      </c>
      <c r="M1146" s="363">
        <f>Criteria!F126</f>
        <v>0</v>
      </c>
      <c r="N1146" s="314"/>
      <c r="O1146" s="363">
        <f>Criteria!G126</f>
        <v>0</v>
      </c>
      <c r="P1146" s="425"/>
      <c r="Q1146" s="442"/>
      <c r="R1146" s="403" t="str">
        <f t="shared" si="42"/>
        <v>DELETE</v>
      </c>
    </row>
    <row r="1147" spans="2:18" ht="31.5" customHeight="1" x14ac:dyDescent="0.45">
      <c r="B1147" s="323"/>
      <c r="C1147" s="417"/>
      <c r="D1147" s="400">
        <f>Criteria!C127</f>
        <v>0</v>
      </c>
      <c r="M1147" s="363">
        <f>Criteria!F127</f>
        <v>0</v>
      </c>
      <c r="N1147" s="314"/>
      <c r="O1147" s="363">
        <f>Criteria!G127</f>
        <v>0</v>
      </c>
      <c r="P1147" s="425"/>
      <c r="Q1147" s="442"/>
      <c r="R1147" s="403" t="str">
        <f t="shared" si="42"/>
        <v>DELETE</v>
      </c>
    </row>
    <row r="1148" spans="2:18" ht="31.5" customHeight="1" x14ac:dyDescent="0.45">
      <c r="B1148" s="323"/>
      <c r="C1148" s="417"/>
      <c r="D1148" s="400">
        <f>Criteria!C128</f>
        <v>0</v>
      </c>
      <c r="M1148" s="363">
        <f>Criteria!F128</f>
        <v>0</v>
      </c>
      <c r="N1148" s="314"/>
      <c r="O1148" s="363">
        <f>Criteria!G128</f>
        <v>0</v>
      </c>
      <c r="P1148" s="425"/>
      <c r="Q1148" s="442"/>
      <c r="R1148" s="403" t="str">
        <f t="shared" si="42"/>
        <v>DELETE</v>
      </c>
    </row>
    <row r="1149" spans="2:18" ht="31.5" customHeight="1" x14ac:dyDescent="0.45">
      <c r="B1149" s="323"/>
      <c r="C1149" s="417"/>
      <c r="D1149" s="400">
        <f>Criteria!C129</f>
        <v>0</v>
      </c>
      <c r="M1149" s="363">
        <f>Criteria!F129</f>
        <v>0</v>
      </c>
      <c r="N1149" s="314"/>
      <c r="O1149" s="363">
        <f>Criteria!G129</f>
        <v>0</v>
      </c>
      <c r="P1149" s="425"/>
      <c r="Q1149" s="442"/>
      <c r="R1149" s="403" t="str">
        <f t="shared" si="42"/>
        <v>DELETE</v>
      </c>
    </row>
    <row r="1150" spans="2:18" ht="31.5" customHeight="1" x14ac:dyDescent="0.45">
      <c r="B1150" s="323"/>
      <c r="C1150" s="417"/>
      <c r="D1150" s="400">
        <f>Criteria!C130</f>
        <v>0</v>
      </c>
      <c r="M1150" s="363">
        <f>Criteria!F130</f>
        <v>0</v>
      </c>
      <c r="N1150" s="314"/>
      <c r="O1150" s="363">
        <f>Criteria!G130</f>
        <v>0</v>
      </c>
      <c r="P1150" s="425"/>
      <c r="Q1150" s="442"/>
      <c r="R1150" s="403" t="str">
        <f t="shared" si="42"/>
        <v>DELETE</v>
      </c>
    </row>
    <row r="1151" spans="2:18" ht="31.5" customHeight="1" x14ac:dyDescent="0.45">
      <c r="B1151" s="323"/>
      <c r="C1151" s="417"/>
      <c r="D1151" s="400">
        <f>Criteria!C131</f>
        <v>0</v>
      </c>
      <c r="M1151" s="363">
        <f>Criteria!F131</f>
        <v>0</v>
      </c>
      <c r="N1151" s="314"/>
      <c r="O1151" s="363">
        <f>Criteria!G131</f>
        <v>0</v>
      </c>
      <c r="P1151" s="425"/>
      <c r="Q1151" s="442"/>
      <c r="R1151" s="403" t="str">
        <f t="shared" si="42"/>
        <v>DELETE</v>
      </c>
    </row>
    <row r="1152" spans="2:18" ht="31.5" customHeight="1" x14ac:dyDescent="0.45">
      <c r="B1152" s="323"/>
      <c r="C1152" s="417"/>
      <c r="D1152" s="400">
        <f>Criteria!C132</f>
        <v>0</v>
      </c>
      <c r="M1152" s="363">
        <f>Criteria!F132</f>
        <v>0</v>
      </c>
      <c r="N1152" s="314"/>
      <c r="O1152" s="363">
        <f>Criteria!G132</f>
        <v>0</v>
      </c>
      <c r="P1152" s="425"/>
      <c r="Q1152" s="442"/>
      <c r="R1152" s="403" t="str">
        <f t="shared" si="42"/>
        <v>DELETE</v>
      </c>
    </row>
    <row r="1153" spans="2:18" ht="31.5" customHeight="1" x14ac:dyDescent="0.45">
      <c r="B1153" s="323"/>
      <c r="C1153" s="417"/>
      <c r="D1153" s="400">
        <f>Criteria!C133</f>
        <v>0</v>
      </c>
      <c r="M1153" s="363">
        <f>Criteria!F133</f>
        <v>0</v>
      </c>
      <c r="N1153" s="314"/>
      <c r="O1153" s="363">
        <f>Criteria!G133</f>
        <v>0</v>
      </c>
      <c r="P1153" s="425"/>
      <c r="Q1153" s="442"/>
      <c r="R1153" s="403" t="str">
        <f t="shared" si="42"/>
        <v>DELETE</v>
      </c>
    </row>
    <row r="1154" spans="2:18" ht="31.5" customHeight="1" x14ac:dyDescent="0.45">
      <c r="B1154" s="323"/>
      <c r="C1154" s="417"/>
      <c r="D1154" s="400">
        <f>Criteria!C134</f>
        <v>0</v>
      </c>
      <c r="M1154" s="363">
        <f>Criteria!F134</f>
        <v>0</v>
      </c>
      <c r="N1154" s="314"/>
      <c r="O1154" s="363">
        <f>Criteria!G134</f>
        <v>0</v>
      </c>
      <c r="P1154" s="425"/>
      <c r="Q1154" s="442"/>
      <c r="R1154" s="403" t="str">
        <f t="shared" si="42"/>
        <v>DELETE</v>
      </c>
    </row>
    <row r="1155" spans="2:18" ht="31.5" customHeight="1" x14ac:dyDescent="0.45">
      <c r="B1155" s="323"/>
      <c r="C1155" s="417"/>
      <c r="D1155" s="400">
        <f>Criteria!C135</f>
        <v>0</v>
      </c>
      <c r="M1155" s="363">
        <f>Criteria!F135</f>
        <v>0</v>
      </c>
      <c r="N1155" s="314"/>
      <c r="O1155" s="363">
        <f>Criteria!G135</f>
        <v>0</v>
      </c>
      <c r="P1155" s="425"/>
      <c r="Q1155" s="442"/>
      <c r="R1155" s="403" t="str">
        <f t="shared" si="42"/>
        <v>DELETE</v>
      </c>
    </row>
    <row r="1156" spans="2:18" ht="31.5" customHeight="1" x14ac:dyDescent="0.45">
      <c r="B1156" s="323"/>
      <c r="C1156" s="417"/>
      <c r="D1156" s="400">
        <f>Criteria!C136</f>
        <v>0</v>
      </c>
      <c r="M1156" s="363">
        <f>Criteria!F136</f>
        <v>0</v>
      </c>
      <c r="N1156" s="314"/>
      <c r="O1156" s="363">
        <f>Criteria!G136</f>
        <v>0</v>
      </c>
      <c r="P1156" s="425"/>
      <c r="Q1156" s="442"/>
      <c r="R1156" s="403" t="str">
        <f t="shared" si="42"/>
        <v>DELETE</v>
      </c>
    </row>
    <row r="1157" spans="2:18" ht="31.5" customHeight="1" x14ac:dyDescent="0.45">
      <c r="B1157" s="323"/>
      <c r="C1157" s="417"/>
      <c r="D1157" s="400">
        <f>Criteria!C137</f>
        <v>0</v>
      </c>
      <c r="M1157" s="363">
        <f>Criteria!F137</f>
        <v>0</v>
      </c>
      <c r="N1157" s="314"/>
      <c r="O1157" s="363">
        <f>Criteria!G137</f>
        <v>0</v>
      </c>
      <c r="P1157" s="425"/>
      <c r="Q1157" s="442"/>
      <c r="R1157" s="403" t="str">
        <f t="shared" si="42"/>
        <v>DELETE</v>
      </c>
    </row>
    <row r="1158" spans="2:18" ht="31.5" customHeight="1" x14ac:dyDescent="0.45">
      <c r="B1158" s="323"/>
      <c r="C1158" s="417"/>
      <c r="D1158" s="400">
        <f>Criteria!C138</f>
        <v>0</v>
      </c>
      <c r="M1158" s="363">
        <f>Criteria!F138</f>
        <v>0</v>
      </c>
      <c r="N1158" s="314"/>
      <c r="O1158" s="363">
        <f>Criteria!G138</f>
        <v>0</v>
      </c>
      <c r="P1158" s="425"/>
      <c r="Q1158" s="442"/>
      <c r="R1158" s="403" t="str">
        <f t="shared" si="42"/>
        <v>DELETE</v>
      </c>
    </row>
    <row r="1159" spans="2:18" ht="31.5" customHeight="1" x14ac:dyDescent="0.45">
      <c r="B1159" s="323"/>
      <c r="C1159" s="417"/>
      <c r="D1159" s="400">
        <f>Criteria!C139</f>
        <v>0</v>
      </c>
      <c r="M1159" s="363">
        <f>Criteria!F139</f>
        <v>0</v>
      </c>
      <c r="N1159" s="314"/>
      <c r="O1159" s="363">
        <f>Criteria!G139</f>
        <v>0</v>
      </c>
      <c r="P1159" s="425"/>
      <c r="Q1159" s="442"/>
      <c r="R1159" s="403" t="str">
        <f t="shared" si="42"/>
        <v>DELETE</v>
      </c>
    </row>
    <row r="1160" spans="2:18" ht="31.5" customHeight="1" x14ac:dyDescent="0.45">
      <c r="B1160" s="323"/>
      <c r="C1160" s="417"/>
      <c r="D1160" s="400">
        <f>Criteria!C140</f>
        <v>0</v>
      </c>
      <c r="M1160" s="363">
        <f>Criteria!F140</f>
        <v>0</v>
      </c>
      <c r="N1160" s="314"/>
      <c r="O1160" s="363">
        <f>Criteria!G140</f>
        <v>0</v>
      </c>
      <c r="P1160" s="425"/>
      <c r="Q1160" s="442"/>
      <c r="R1160" s="403" t="str">
        <f t="shared" si="42"/>
        <v>DELETE</v>
      </c>
    </row>
    <row r="1161" spans="2:18" ht="31.5" customHeight="1" x14ac:dyDescent="0.45">
      <c r="B1161" s="323"/>
      <c r="C1161" s="417"/>
      <c r="D1161" s="400">
        <f>Criteria!C141</f>
        <v>0</v>
      </c>
      <c r="M1161" s="363">
        <f>Criteria!F141</f>
        <v>0</v>
      </c>
      <c r="N1161" s="314"/>
      <c r="O1161" s="363">
        <f>Criteria!G141</f>
        <v>0</v>
      </c>
      <c r="P1161" s="425"/>
      <c r="Q1161" s="442"/>
      <c r="R1161" s="403" t="str">
        <f t="shared" si="42"/>
        <v>DELETE</v>
      </c>
    </row>
    <row r="1162" spans="2:18" ht="31.5" customHeight="1" x14ac:dyDescent="0.45">
      <c r="B1162" s="323"/>
      <c r="C1162" s="417"/>
      <c r="D1162" s="400">
        <f>Criteria!C142</f>
        <v>0</v>
      </c>
      <c r="M1162" s="363">
        <f>Criteria!F142</f>
        <v>0</v>
      </c>
      <c r="N1162" s="314"/>
      <c r="O1162" s="363">
        <f>Criteria!G142</f>
        <v>0</v>
      </c>
      <c r="P1162" s="425"/>
      <c r="Q1162" s="442"/>
      <c r="R1162" s="403" t="str">
        <f t="shared" si="42"/>
        <v>DELETE</v>
      </c>
    </row>
    <row r="1163" spans="2:18" ht="31.5" customHeight="1" x14ac:dyDescent="0.45">
      <c r="B1163" s="323"/>
      <c r="C1163" s="417"/>
      <c r="D1163" s="400">
        <f>Criteria!C143</f>
        <v>0</v>
      </c>
      <c r="M1163" s="363">
        <f>Criteria!F143</f>
        <v>0</v>
      </c>
      <c r="N1163" s="314"/>
      <c r="O1163" s="363">
        <f>Criteria!G143</f>
        <v>0</v>
      </c>
      <c r="P1163" s="425"/>
      <c r="Q1163" s="442"/>
      <c r="R1163" s="403" t="str">
        <f t="shared" si="42"/>
        <v>DELETE</v>
      </c>
    </row>
    <row r="1164" spans="2:18" ht="31.5" customHeight="1" x14ac:dyDescent="0.45">
      <c r="B1164" s="323"/>
      <c r="C1164" s="417"/>
      <c r="D1164" s="400">
        <f>Criteria!C144</f>
        <v>0</v>
      </c>
      <c r="M1164" s="363">
        <f>Criteria!F144</f>
        <v>0</v>
      </c>
      <c r="N1164" s="314"/>
      <c r="O1164" s="363">
        <f>Criteria!G144</f>
        <v>0</v>
      </c>
      <c r="P1164" s="425"/>
      <c r="Q1164" s="442"/>
      <c r="R1164" s="403" t="str">
        <f t="shared" si="42"/>
        <v>DELETE</v>
      </c>
    </row>
    <row r="1165" spans="2:18" ht="31.5" customHeight="1" x14ac:dyDescent="0.45">
      <c r="B1165" s="323"/>
      <c r="C1165" s="417"/>
      <c r="D1165" s="400">
        <f>Criteria!C145</f>
        <v>0</v>
      </c>
      <c r="M1165" s="363">
        <f>Criteria!F145</f>
        <v>0</v>
      </c>
      <c r="N1165" s="314"/>
      <c r="O1165" s="363">
        <f>Criteria!G145</f>
        <v>0</v>
      </c>
      <c r="P1165" s="425"/>
      <c r="Q1165" s="442"/>
      <c r="R1165" s="403" t="str">
        <f t="shared" si="42"/>
        <v>DELETE</v>
      </c>
    </row>
    <row r="1166" spans="2:18" ht="31.5" customHeight="1" x14ac:dyDescent="0.45">
      <c r="B1166" s="323"/>
      <c r="C1166" s="417"/>
      <c r="D1166" s="400">
        <f>Criteria!C146</f>
        <v>0</v>
      </c>
      <c r="M1166" s="363">
        <f>Criteria!F146</f>
        <v>0</v>
      </c>
      <c r="N1166" s="314"/>
      <c r="O1166" s="363">
        <f>Criteria!G146</f>
        <v>0</v>
      </c>
      <c r="P1166" s="425"/>
      <c r="Q1166" s="442"/>
      <c r="R1166" s="403" t="str">
        <f t="shared" si="42"/>
        <v>DELETE</v>
      </c>
    </row>
    <row r="1167" spans="2:18" ht="31.5" customHeight="1" x14ac:dyDescent="0.45">
      <c r="B1167" s="323"/>
      <c r="C1167" s="417"/>
      <c r="D1167" s="400">
        <f>Criteria!C147</f>
        <v>0</v>
      </c>
      <c r="M1167" s="363">
        <f>Criteria!F147</f>
        <v>0</v>
      </c>
      <c r="N1167" s="314"/>
      <c r="O1167" s="363">
        <f>Criteria!G147</f>
        <v>0</v>
      </c>
      <c r="P1167" s="425"/>
      <c r="Q1167" s="442"/>
      <c r="R1167" s="403" t="str">
        <f t="shared" si="42"/>
        <v>DELETE</v>
      </c>
    </row>
    <row r="1168" spans="2:18" ht="31.5" customHeight="1" x14ac:dyDescent="0.45">
      <c r="B1168" s="323"/>
      <c r="C1168" s="417"/>
      <c r="D1168" s="400">
        <f>Criteria!C148</f>
        <v>0</v>
      </c>
      <c r="M1168" s="363">
        <f>Criteria!F148</f>
        <v>0</v>
      </c>
      <c r="N1168" s="314"/>
      <c r="O1168" s="363">
        <f>Criteria!G148</f>
        <v>0</v>
      </c>
      <c r="P1168" s="425"/>
      <c r="Q1168" s="442"/>
      <c r="R1168" s="403" t="str">
        <f t="shared" si="42"/>
        <v>DELETE</v>
      </c>
    </row>
    <row r="1169" spans="2:24" ht="31.5" customHeight="1" x14ac:dyDescent="0.45">
      <c r="B1169" s="323"/>
      <c r="C1169" s="417"/>
      <c r="D1169" s="400">
        <f>Criteria!C149</f>
        <v>0</v>
      </c>
      <c r="M1169" s="363">
        <f>Criteria!F149</f>
        <v>0</v>
      </c>
      <c r="N1169" s="314"/>
      <c r="O1169" s="363">
        <f>Criteria!G149</f>
        <v>0</v>
      </c>
      <c r="P1169" s="425"/>
      <c r="Q1169" s="442"/>
      <c r="R1169" s="403" t="str">
        <f t="shared" si="42"/>
        <v>DELETE</v>
      </c>
    </row>
    <row r="1170" spans="2:24" ht="31.5" customHeight="1" x14ac:dyDescent="0.45">
      <c r="B1170" s="323"/>
      <c r="C1170" s="417"/>
      <c r="D1170" s="400">
        <f>Criteria!C150</f>
        <v>0</v>
      </c>
      <c r="M1170" s="363">
        <f>Criteria!F150</f>
        <v>0</v>
      </c>
      <c r="N1170" s="314"/>
      <c r="O1170" s="363">
        <f>Criteria!G150</f>
        <v>0</v>
      </c>
      <c r="P1170" s="425"/>
      <c r="Q1170" s="442"/>
      <c r="R1170" s="403" t="str">
        <f t="shared" si="42"/>
        <v>DELETE</v>
      </c>
    </row>
    <row r="1171" spans="2:24" ht="31.5" customHeight="1" x14ac:dyDescent="0.45">
      <c r="B1171" s="323"/>
      <c r="C1171" s="417"/>
      <c r="D1171" s="400">
        <f>Criteria!C151</f>
        <v>0</v>
      </c>
      <c r="M1171" s="363">
        <f>Criteria!F151</f>
        <v>0</v>
      </c>
      <c r="N1171" s="314"/>
      <c r="O1171" s="363">
        <f>Criteria!G151</f>
        <v>0</v>
      </c>
      <c r="P1171" s="425"/>
      <c r="Q1171" s="442"/>
      <c r="R1171" s="403" t="str">
        <f t="shared" si="42"/>
        <v>DELETE</v>
      </c>
    </row>
    <row r="1172" spans="2:24" ht="31.5" customHeight="1" x14ac:dyDescent="0.45">
      <c r="B1172" s="323"/>
      <c r="C1172" s="417"/>
      <c r="D1172" s="400">
        <f>Criteria!C152</f>
        <v>0</v>
      </c>
      <c r="M1172" s="363">
        <f>Criteria!F152</f>
        <v>0</v>
      </c>
      <c r="N1172" s="314"/>
      <c r="O1172" s="363">
        <f>Criteria!G152</f>
        <v>0</v>
      </c>
      <c r="P1172" s="425"/>
      <c r="Q1172" s="442"/>
      <c r="R1172" s="403" t="str">
        <f t="shared" si="42"/>
        <v>DELETE</v>
      </c>
    </row>
    <row r="1173" spans="2:24" ht="31.5" customHeight="1" x14ac:dyDescent="0.45">
      <c r="B1173" s="323"/>
      <c r="C1173" s="417"/>
      <c r="D1173" s="400">
        <f>Criteria!C153</f>
        <v>0</v>
      </c>
      <c r="M1173" s="363">
        <f>Criteria!F153</f>
        <v>0</v>
      </c>
      <c r="N1173" s="314"/>
      <c r="O1173" s="363">
        <f>Criteria!G153</f>
        <v>0</v>
      </c>
      <c r="P1173" s="425"/>
      <c r="Q1173" s="442"/>
      <c r="R1173" s="403" t="str">
        <f t="shared" si="42"/>
        <v>DELETE</v>
      </c>
    </row>
    <row r="1174" spans="2:24" ht="31.5" customHeight="1" x14ac:dyDescent="0.45">
      <c r="B1174" s="323"/>
      <c r="C1174" s="417"/>
      <c r="D1174" s="400">
        <f>Criteria!C154</f>
        <v>0</v>
      </c>
      <c r="M1174" s="363">
        <f>Criteria!F154</f>
        <v>0</v>
      </c>
      <c r="N1174" s="314"/>
      <c r="O1174" s="363">
        <f>Criteria!G154</f>
        <v>0</v>
      </c>
      <c r="P1174" s="425"/>
      <c r="Q1174" s="442"/>
      <c r="R1174" s="403" t="str">
        <f t="shared" si="42"/>
        <v>DELETE</v>
      </c>
    </row>
    <row r="1175" spans="2:24" ht="31.5" customHeight="1" x14ac:dyDescent="0.45">
      <c r="B1175" s="323"/>
      <c r="C1175" s="417"/>
      <c r="D1175" s="400">
        <f>Criteria!C155</f>
        <v>0</v>
      </c>
      <c r="M1175" s="363">
        <f>Criteria!F155</f>
        <v>0</v>
      </c>
      <c r="N1175" s="314"/>
      <c r="O1175" s="363">
        <f>Criteria!G155</f>
        <v>0</v>
      </c>
      <c r="P1175" s="425"/>
      <c r="Q1175" s="442"/>
      <c r="R1175" s="403" t="str">
        <f t="shared" si="42"/>
        <v>DELETE</v>
      </c>
    </row>
    <row r="1176" spans="2:24" ht="31.5" customHeight="1" x14ac:dyDescent="0.45">
      <c r="B1176" s="323"/>
      <c r="C1176" s="417"/>
      <c r="D1176" s="400">
        <f>Criteria!C156</f>
        <v>0</v>
      </c>
      <c r="M1176" s="363">
        <f>Criteria!F156</f>
        <v>0</v>
      </c>
      <c r="N1176" s="314"/>
      <c r="O1176" s="363">
        <f>Criteria!G156</f>
        <v>0</v>
      </c>
      <c r="P1176" s="425"/>
      <c r="Q1176" s="442"/>
      <c r="R1176" s="403" t="str">
        <f t="shared" si="42"/>
        <v>DELETE</v>
      </c>
    </row>
    <row r="1177" spans="2:24" ht="31.5" customHeight="1" x14ac:dyDescent="0.45">
      <c r="B1177" s="323"/>
      <c r="C1177" s="417"/>
      <c r="D1177" s="400">
        <f>Criteria!C157</f>
        <v>0</v>
      </c>
      <c r="M1177" s="363">
        <f>Criteria!F157</f>
        <v>0</v>
      </c>
      <c r="N1177" s="314"/>
      <c r="O1177" s="363">
        <f>Criteria!G157</f>
        <v>0</v>
      </c>
      <c r="P1177" s="425"/>
      <c r="Q1177" s="442"/>
      <c r="R1177" s="403" t="str">
        <f t="shared" si="42"/>
        <v>DELETE</v>
      </c>
    </row>
    <row r="1178" spans="2:24" ht="31.5" customHeight="1" x14ac:dyDescent="0.45">
      <c r="B1178" s="323"/>
      <c r="C1178" s="417"/>
      <c r="D1178" s="400">
        <f>Criteria!C158</f>
        <v>0</v>
      </c>
      <c r="M1178" s="363">
        <f>Criteria!F158</f>
        <v>0</v>
      </c>
      <c r="N1178" s="314"/>
      <c r="O1178" s="363">
        <f>Criteria!G158</f>
        <v>0</v>
      </c>
      <c r="P1178" s="425"/>
      <c r="Q1178" s="442"/>
      <c r="R1178" s="403" t="str">
        <f t="shared" si="42"/>
        <v>DELETE</v>
      </c>
    </row>
    <row r="1179" spans="2:24" ht="31.5" customHeight="1" x14ac:dyDescent="0.45">
      <c r="B1179" s="323"/>
      <c r="C1179" s="417"/>
      <c r="D1179" s="400">
        <f>Criteria!C159</f>
        <v>0</v>
      </c>
      <c r="M1179" s="363">
        <f>Criteria!F159</f>
        <v>0</v>
      </c>
      <c r="N1179" s="314"/>
      <c r="O1179" s="363">
        <f>Criteria!G159</f>
        <v>0</v>
      </c>
      <c r="P1179" s="425"/>
      <c r="Q1179" s="442"/>
      <c r="R1179" s="403" t="str">
        <f t="shared" si="42"/>
        <v>DELETE</v>
      </c>
    </row>
    <row r="1180" spans="2:24" ht="31.5" customHeight="1" x14ac:dyDescent="0.45">
      <c r="B1180" s="323"/>
      <c r="C1180" s="417"/>
      <c r="D1180" s="400">
        <f>Criteria!C160</f>
        <v>0</v>
      </c>
      <c r="M1180" s="363">
        <f>Criteria!F160</f>
        <v>0</v>
      </c>
      <c r="N1180" s="314"/>
      <c r="O1180" s="363">
        <f>Criteria!G160</f>
        <v>0</v>
      </c>
      <c r="P1180" s="425"/>
      <c r="Q1180" s="442"/>
      <c r="R1180" s="403" t="str">
        <f t="shared" si="42"/>
        <v>DELETE</v>
      </c>
    </row>
    <row r="1181" spans="2:24" ht="31.5" customHeight="1" x14ac:dyDescent="0.45">
      <c r="B1181" s="323"/>
      <c r="C1181" s="417"/>
      <c r="D1181" s="400">
        <f>Criteria!C161</f>
        <v>0</v>
      </c>
      <c r="M1181" s="363">
        <f>Criteria!F161</f>
        <v>0</v>
      </c>
      <c r="N1181" s="314"/>
      <c r="O1181" s="363">
        <f>Criteria!G161</f>
        <v>0</v>
      </c>
      <c r="P1181" s="425"/>
      <c r="Q1181" s="442"/>
      <c r="R1181" s="403" t="str">
        <f t="shared" si="42"/>
        <v>DELETE</v>
      </c>
    </row>
    <row r="1182" spans="2:24" ht="9" customHeight="1" x14ac:dyDescent="0.45">
      <c r="B1182" s="323"/>
      <c r="C1182" s="417"/>
      <c r="M1182" s="349"/>
      <c r="N1182" s="300"/>
      <c r="O1182" s="349"/>
      <c r="P1182" s="425"/>
      <c r="Q1182" s="442"/>
      <c r="R1182" s="403" t="str">
        <f>R$1184</f>
        <v>DELETE</v>
      </c>
    </row>
    <row r="1183" spans="2:24" ht="9" customHeight="1" x14ac:dyDescent="0.45">
      <c r="B1183" s="323"/>
      <c r="C1183" s="417"/>
      <c r="M1183" s="363"/>
      <c r="N1183" s="314"/>
      <c r="O1183" s="363"/>
      <c r="P1183" s="425"/>
      <c r="Q1183" s="442"/>
      <c r="R1183" s="403" t="str">
        <f>R$1184</f>
        <v>DELETE</v>
      </c>
    </row>
    <row r="1184" spans="2:24" ht="31.5" customHeight="1" x14ac:dyDescent="0.45">
      <c r="B1184" s="323"/>
      <c r="C1184" s="417"/>
      <c r="M1184" s="363">
        <f>SUM(M1144:M1182)</f>
        <v>0</v>
      </c>
      <c r="N1184" s="314"/>
      <c r="O1184" s="363">
        <f>SUM(O1144:O1182)</f>
        <v>0</v>
      </c>
      <c r="P1184" s="425"/>
      <c r="Q1184" s="442"/>
      <c r="R1184" s="403" t="str">
        <f t="shared" ref="R1184" si="43">IF(M1184=0,IF(O1184=0,"DELETE"," ")," ")</f>
        <v>DELETE</v>
      </c>
      <c r="V1184" s="378" t="b">
        <f>M1184=M1122</f>
        <v>1</v>
      </c>
      <c r="X1184" s="378" t="b">
        <f>O1184=O1122</f>
        <v>1</v>
      </c>
    </row>
    <row r="1185" spans="2:18" ht="9" customHeight="1" thickBot="1" x14ac:dyDescent="0.5">
      <c r="B1185" s="323"/>
      <c r="C1185" s="417"/>
      <c r="M1185" s="351"/>
      <c r="N1185" s="301"/>
      <c r="O1185" s="351"/>
      <c r="P1185" s="425"/>
      <c r="Q1185" s="442"/>
      <c r="R1185" s="403" t="str">
        <f t="shared" ref="R1185:R1189" si="44">R$1184</f>
        <v>DELETE</v>
      </c>
    </row>
    <row r="1186" spans="2:18" ht="9" customHeight="1" thickTop="1" x14ac:dyDescent="0.45">
      <c r="B1186" s="323"/>
      <c r="C1186" s="417"/>
      <c r="M1186" s="363"/>
      <c r="N1186" s="314"/>
      <c r="O1186" s="363"/>
      <c r="P1186" s="425"/>
      <c r="Q1186" s="442"/>
      <c r="R1186" s="403" t="str">
        <f t="shared" si="44"/>
        <v>DELETE</v>
      </c>
    </row>
    <row r="1187" spans="2:18" ht="31.5" customHeight="1" x14ac:dyDescent="0.45">
      <c r="B1187" s="323"/>
      <c r="C1187" s="417"/>
      <c r="M1187" s="363"/>
      <c r="N1187" s="314"/>
      <c r="O1187" s="363"/>
      <c r="P1187" s="425"/>
      <c r="Q1187" s="442"/>
      <c r="R1187" s="403" t="str">
        <f t="shared" si="44"/>
        <v>DELETE</v>
      </c>
    </row>
    <row r="1188" spans="2:18" ht="31.5" customHeight="1" x14ac:dyDescent="0.45">
      <c r="B1188" s="324"/>
      <c r="C1188" s="465"/>
      <c r="D1188" s="429"/>
      <c r="E1188" s="429"/>
      <c r="F1188" s="429"/>
      <c r="G1188" s="429"/>
      <c r="H1188" s="429"/>
      <c r="I1188" s="429"/>
      <c r="J1188" s="429"/>
      <c r="K1188" s="429"/>
      <c r="L1188" s="429"/>
      <c r="M1188" s="349"/>
      <c r="N1188" s="300"/>
      <c r="O1188" s="349"/>
      <c r="P1188" s="433"/>
      <c r="Q1188" s="446"/>
      <c r="R1188" s="403" t="str">
        <f t="shared" si="44"/>
        <v>DELETE</v>
      </c>
    </row>
    <row r="1189" spans="2:18" ht="31.5" customHeight="1" x14ac:dyDescent="0.45">
      <c r="B1189" s="325"/>
      <c r="C1189" s="417"/>
      <c r="M1189" s="347"/>
      <c r="N1189" s="298"/>
      <c r="O1189" s="347"/>
      <c r="R1189" s="403" t="str">
        <f t="shared" si="44"/>
        <v>DELETE</v>
      </c>
    </row>
    <row r="1190" spans="2:18" ht="31.5" customHeight="1" x14ac:dyDescent="0.45">
      <c r="B1190" s="422"/>
      <c r="D1190" s="417"/>
      <c r="R1190" s="403" t="str">
        <f t="shared" ref="R1190:R1197" si="45">R$1198</f>
        <v>DELETE</v>
      </c>
    </row>
    <row r="1191" spans="2:18" ht="31.5" customHeight="1" x14ac:dyDescent="0.45">
      <c r="B1191" s="422"/>
      <c r="D1191" s="417" t="str">
        <f>Criteria!E9</f>
        <v>HOLDING COMPANY 268 (PROPRIETARY) LIMITED</v>
      </c>
      <c r="O1191" s="346" t="s">
        <v>96</v>
      </c>
      <c r="Q1191" s="292">
        <f>MAX($Q$114:Q1190)+1</f>
        <v>28</v>
      </c>
      <c r="R1191" s="403" t="str">
        <f t="shared" si="45"/>
        <v>DELETE</v>
      </c>
    </row>
    <row r="1192" spans="2:18" ht="31.5" customHeight="1" x14ac:dyDescent="0.45">
      <c r="B1192" s="422"/>
      <c r="D1192" s="417" t="str">
        <f>Criteria!E10</f>
        <v>CONSOLIDATED FINANCIAL STATEMENTS</v>
      </c>
      <c r="R1192" s="403" t="str">
        <f>IF(R$1198="DELETE","DELETE",IF(D1192=0,"DELETE"," "))</f>
        <v>DELETE</v>
      </c>
    </row>
    <row r="1193" spans="2:18" ht="31.5" customHeight="1" x14ac:dyDescent="0.45">
      <c r="B1193" s="422"/>
      <c r="R1193" s="403" t="str">
        <f t="shared" si="45"/>
        <v>DELETE</v>
      </c>
    </row>
    <row r="1194" spans="2:18" ht="31.5" customHeight="1" x14ac:dyDescent="0.45">
      <c r="B1194" s="422"/>
      <c r="D1194" s="417" t="s">
        <v>377</v>
      </c>
      <c r="R1194" s="403" t="str">
        <f t="shared" si="45"/>
        <v>DELETE</v>
      </c>
    </row>
    <row r="1195" spans="2:18" ht="31.5" customHeight="1" x14ac:dyDescent="0.45">
      <c r="B1195" s="422"/>
      <c r="D1195" s="417" t="str">
        <f>Criteria!E20</f>
        <v>29 FEBRUARY 2024</v>
      </c>
      <c r="J1195" s="400" t="s">
        <v>247</v>
      </c>
      <c r="R1195" s="403" t="str">
        <f t="shared" si="45"/>
        <v>DELETE</v>
      </c>
    </row>
    <row r="1196" spans="2:18" ht="31.5" customHeight="1" x14ac:dyDescent="0.45">
      <c r="B1196" s="422"/>
      <c r="R1196" s="403" t="str">
        <f t="shared" si="45"/>
        <v>DELETE</v>
      </c>
    </row>
    <row r="1197" spans="2:18" ht="31.5" customHeight="1" x14ac:dyDescent="0.45">
      <c r="B1197" s="457"/>
      <c r="C1197" s="439"/>
      <c r="D1197" s="439"/>
      <c r="E1197" s="439"/>
      <c r="F1197" s="439"/>
      <c r="G1197" s="439"/>
      <c r="H1197" s="439"/>
      <c r="I1197" s="439"/>
      <c r="J1197" s="439"/>
      <c r="K1197" s="439"/>
      <c r="L1197" s="439"/>
      <c r="M1197" s="447"/>
      <c r="N1197" s="448"/>
      <c r="O1197" s="447"/>
      <c r="P1197" s="448"/>
      <c r="Q1197" s="440"/>
      <c r="R1197" s="403" t="str">
        <f t="shared" si="45"/>
        <v>DELETE</v>
      </c>
    </row>
    <row r="1198" spans="2:18" ht="31.5" customHeight="1" x14ac:dyDescent="0.45">
      <c r="B1198" s="323">
        <f>MAX(B$559:B1197)+1</f>
        <v>9</v>
      </c>
      <c r="C1198" s="417" t="s">
        <v>170</v>
      </c>
      <c r="Q1198" s="442"/>
      <c r="R1198" s="403" t="str">
        <f>IF(O1205+O1209+O1227+O1231+O1249&gt;0," ","DELETE")</f>
        <v>DELETE</v>
      </c>
    </row>
    <row r="1199" spans="2:18" ht="31.5" customHeight="1" x14ac:dyDescent="0.45">
      <c r="B1199" s="323"/>
      <c r="C1199" s="400">
        <f>B1198+0.1</f>
        <v>9.1</v>
      </c>
      <c r="D1199" s="400" t="s">
        <v>1012</v>
      </c>
      <c r="Q1199" s="442"/>
      <c r="R1199" s="403" t="str">
        <f t="shared" ref="R1199:R1230" si="46">R$1198</f>
        <v>DELETE</v>
      </c>
    </row>
    <row r="1200" spans="2:18" ht="31.5" customHeight="1" x14ac:dyDescent="0.45">
      <c r="B1200" s="323"/>
      <c r="C1200" s="405"/>
      <c r="D1200" s="405"/>
      <c r="G1200" s="402"/>
      <c r="H1200" s="295" t="str">
        <f>Criteria!G206</f>
        <v>Plant and</v>
      </c>
      <c r="I1200" s="295"/>
      <c r="J1200" s="295" t="str">
        <f>Criteria!H206</f>
        <v>Motor</v>
      </c>
      <c r="K1200" s="295" t="str">
        <f>Criteria!I206</f>
        <v>Electronic</v>
      </c>
      <c r="L1200" s="295"/>
      <c r="M1200" s="346" t="str">
        <f>Criteria!J206</f>
        <v>Furniture and</v>
      </c>
      <c r="N1200" s="295"/>
      <c r="O1200" s="346" t="s">
        <v>382</v>
      </c>
      <c r="P1200" s="295"/>
      <c r="Q1200" s="442"/>
      <c r="R1200" s="403" t="str">
        <f t="shared" si="46"/>
        <v>DELETE</v>
      </c>
    </row>
    <row r="1201" spans="2:24" ht="31.5" customHeight="1" x14ac:dyDescent="0.45">
      <c r="B1201" s="323"/>
      <c r="G1201" s="402"/>
      <c r="H1201" s="295" t="str">
        <f>Criteria!G207</f>
        <v>equipment</v>
      </c>
      <c r="I1201" s="295"/>
      <c r="J1201" s="295" t="str">
        <f>Criteria!H207</f>
        <v>vehicles</v>
      </c>
      <c r="K1201" s="295" t="str">
        <f>Criteria!I207</f>
        <v>equipment</v>
      </c>
      <c r="L1201" s="295"/>
      <c r="M1201" s="346" t="str">
        <f>Criteria!J207</f>
        <v>fittings</v>
      </c>
      <c r="N1201" s="295"/>
      <c r="O1201" s="346"/>
      <c r="P1201" s="295"/>
      <c r="Q1201" s="442"/>
      <c r="R1201" s="403" t="str">
        <f t="shared" si="46"/>
        <v>DELETE</v>
      </c>
    </row>
    <row r="1202" spans="2:24" ht="31.5" customHeight="1" x14ac:dyDescent="0.45">
      <c r="B1202" s="323"/>
      <c r="D1202" s="473" t="s">
        <v>201</v>
      </c>
      <c r="G1202" s="474">
        <f>Criteria!G22</f>
        <v>44620</v>
      </c>
      <c r="H1202" s="327">
        <f>H1205-H1206</f>
        <v>0</v>
      </c>
      <c r="I1202" s="327"/>
      <c r="J1202" s="327">
        <f>J1205-J1206</f>
        <v>0</v>
      </c>
      <c r="K1202" s="327">
        <f>K1205-K1206</f>
        <v>0</v>
      </c>
      <c r="L1202" s="327"/>
      <c r="M1202" s="327">
        <f>M1205-M1206</f>
        <v>0</v>
      </c>
      <c r="N1202" s="327"/>
      <c r="O1202" s="327">
        <f>O1205-O1206</f>
        <v>0</v>
      </c>
      <c r="P1202" s="295"/>
      <c r="Q1202" s="442"/>
      <c r="R1202" s="403" t="str">
        <f t="shared" si="46"/>
        <v>DELETE</v>
      </c>
      <c r="X1202" s="378" t="b">
        <f>O1202=SUM(H1202:N1202)</f>
        <v>1</v>
      </c>
    </row>
    <row r="1203" spans="2:24" ht="9" customHeight="1" x14ac:dyDescent="0.45">
      <c r="B1203" s="323"/>
      <c r="D1203" s="473"/>
      <c r="G1203" s="475"/>
      <c r="H1203" s="327"/>
      <c r="I1203" s="327"/>
      <c r="J1203" s="327"/>
      <c r="K1203" s="327"/>
      <c r="L1203" s="327"/>
      <c r="M1203" s="327"/>
      <c r="N1203" s="327"/>
      <c r="O1203" s="327"/>
      <c r="P1203" s="295"/>
      <c r="Q1203" s="442"/>
      <c r="R1203" s="403" t="str">
        <f t="shared" si="46"/>
        <v>DELETE</v>
      </c>
    </row>
    <row r="1204" spans="2:24" ht="9" customHeight="1" x14ac:dyDescent="0.45">
      <c r="B1204" s="323"/>
      <c r="D1204" s="473"/>
      <c r="G1204" s="475"/>
      <c r="H1204" s="332"/>
      <c r="I1204" s="333"/>
      <c r="J1204" s="333"/>
      <c r="K1204" s="333"/>
      <c r="L1204" s="333"/>
      <c r="M1204" s="333"/>
      <c r="N1204" s="333"/>
      <c r="O1204" s="334"/>
      <c r="P1204" s="295"/>
      <c r="Q1204" s="442"/>
      <c r="R1204" s="403" t="str">
        <f t="shared" si="46"/>
        <v>DELETE</v>
      </c>
    </row>
    <row r="1205" spans="2:24" ht="31.5" customHeight="1" x14ac:dyDescent="0.45">
      <c r="B1205" s="323"/>
      <c r="D1205" s="473" t="s">
        <v>383</v>
      </c>
      <c r="G1205" s="402"/>
      <c r="H1205" s="335">
        <f>TrialBalance!N251</f>
        <v>0</v>
      </c>
      <c r="I1205" s="327"/>
      <c r="J1205" s="327">
        <f>TrialBalance!N259</f>
        <v>0</v>
      </c>
      <c r="K1205" s="327">
        <f>TrialBalance!N267</f>
        <v>0</v>
      </c>
      <c r="L1205" s="327"/>
      <c r="M1205" s="327">
        <f>TrialBalance!N275</f>
        <v>0</v>
      </c>
      <c r="N1205" s="327"/>
      <c r="O1205" s="336">
        <f>SUM(H1205:M1205)</f>
        <v>0</v>
      </c>
      <c r="P1205" s="295"/>
      <c r="Q1205" s="442"/>
      <c r="R1205" s="403" t="str">
        <f t="shared" si="46"/>
        <v>DELETE</v>
      </c>
    </row>
    <row r="1206" spans="2:24" ht="31.5" customHeight="1" x14ac:dyDescent="0.45">
      <c r="B1206" s="323"/>
      <c r="D1206" s="473" t="s">
        <v>556</v>
      </c>
      <c r="G1206" s="402"/>
      <c r="H1206" s="335">
        <f>-TrialBalance!N255</f>
        <v>0</v>
      </c>
      <c r="I1206" s="327"/>
      <c r="J1206" s="327">
        <f>-TrialBalance!N263</f>
        <v>0</v>
      </c>
      <c r="K1206" s="327">
        <f>-TrialBalance!N271</f>
        <v>0</v>
      </c>
      <c r="L1206" s="327"/>
      <c r="M1206" s="327">
        <f>-TrialBalance!N279</f>
        <v>0</v>
      </c>
      <c r="N1206" s="327"/>
      <c r="O1206" s="336">
        <f>SUM(H1206:M1206)</f>
        <v>0</v>
      </c>
      <c r="P1206" s="295"/>
      <c r="Q1206" s="442"/>
      <c r="R1206" s="403" t="str">
        <f t="shared" si="46"/>
        <v>DELETE</v>
      </c>
    </row>
    <row r="1207" spans="2:24" ht="9" customHeight="1" x14ac:dyDescent="0.45">
      <c r="B1207" s="323"/>
      <c r="D1207" s="473"/>
      <c r="G1207" s="402"/>
      <c r="H1207" s="337"/>
      <c r="I1207" s="328"/>
      <c r="J1207" s="328"/>
      <c r="K1207" s="328"/>
      <c r="L1207" s="328"/>
      <c r="M1207" s="328"/>
      <c r="N1207" s="328"/>
      <c r="O1207" s="338"/>
      <c r="P1207" s="295"/>
      <c r="Q1207" s="442"/>
      <c r="R1207" s="403" t="str">
        <f t="shared" si="46"/>
        <v>DELETE</v>
      </c>
    </row>
    <row r="1208" spans="2:24" ht="9" customHeight="1" x14ac:dyDescent="0.45">
      <c r="B1208" s="323"/>
      <c r="D1208" s="473"/>
      <c r="G1208" s="402"/>
      <c r="H1208" s="327"/>
      <c r="I1208" s="327"/>
      <c r="J1208" s="327"/>
      <c r="K1208" s="327"/>
      <c r="L1208" s="327"/>
      <c r="M1208" s="327"/>
      <c r="N1208" s="327"/>
      <c r="O1208" s="327"/>
      <c r="P1208" s="295"/>
      <c r="Q1208" s="442"/>
      <c r="R1208" s="403" t="str">
        <f t="shared" si="46"/>
        <v>DELETE</v>
      </c>
    </row>
    <row r="1209" spans="2:24" ht="31.5" customHeight="1" x14ac:dyDescent="0.45">
      <c r="B1209" s="323"/>
      <c r="D1209" s="473" t="s">
        <v>384</v>
      </c>
      <c r="G1209" s="402"/>
      <c r="H1209" s="327">
        <f>TrialBalance!N252</f>
        <v>0</v>
      </c>
      <c r="I1209" s="327"/>
      <c r="J1209" s="327">
        <f>TrialBalance!N260</f>
        <v>0</v>
      </c>
      <c r="K1209" s="327">
        <f>TrialBalance!N268</f>
        <v>0</v>
      </c>
      <c r="L1209" s="327"/>
      <c r="M1209" s="327">
        <f>+TrialBalance!N276</f>
        <v>0</v>
      </c>
      <c r="N1209" s="327"/>
      <c r="O1209" s="327">
        <f>SUM(H1209:M1209)</f>
        <v>0</v>
      </c>
      <c r="P1209" s="295"/>
      <c r="Q1209" s="442"/>
      <c r="R1209" s="403" t="str">
        <f t="shared" si="46"/>
        <v>DELETE</v>
      </c>
    </row>
    <row r="1210" spans="2:24" ht="9" customHeight="1" x14ac:dyDescent="0.45">
      <c r="B1210" s="323"/>
      <c r="D1210" s="473"/>
      <c r="G1210" s="402"/>
      <c r="H1210" s="328"/>
      <c r="I1210" s="328"/>
      <c r="J1210" s="328"/>
      <c r="K1210" s="328"/>
      <c r="L1210" s="328"/>
      <c r="M1210" s="328"/>
      <c r="N1210" s="328"/>
      <c r="O1210" s="328"/>
      <c r="P1210" s="295"/>
      <c r="Q1210" s="442"/>
      <c r="R1210" s="403" t="str">
        <f t="shared" si="46"/>
        <v>DELETE</v>
      </c>
    </row>
    <row r="1211" spans="2:24" ht="9" customHeight="1" x14ac:dyDescent="0.45">
      <c r="B1211" s="323"/>
      <c r="D1211" s="473"/>
      <c r="G1211" s="402"/>
      <c r="H1211" s="327"/>
      <c r="I1211" s="327"/>
      <c r="J1211" s="327"/>
      <c r="K1211" s="327"/>
      <c r="L1211" s="327"/>
      <c r="M1211" s="327"/>
      <c r="N1211" s="327"/>
      <c r="O1211" s="327"/>
      <c r="P1211" s="295"/>
      <c r="Q1211" s="442"/>
      <c r="R1211" s="403" t="str">
        <f t="shared" si="46"/>
        <v>DELETE</v>
      </c>
    </row>
    <row r="1212" spans="2:24" ht="31.5" customHeight="1" x14ac:dyDescent="0.45">
      <c r="B1212" s="323"/>
      <c r="D1212" s="473"/>
      <c r="G1212" s="402"/>
      <c r="H1212" s="327">
        <f>H1202+H1209</f>
        <v>0</v>
      </c>
      <c r="I1212" s="327"/>
      <c r="J1212" s="327">
        <f>J1202+J1209</f>
        <v>0</v>
      </c>
      <c r="K1212" s="327">
        <f>K1202+K1209</f>
        <v>0</v>
      </c>
      <c r="L1212" s="327"/>
      <c r="M1212" s="327">
        <f>M1202+M1209</f>
        <v>0</v>
      </c>
      <c r="N1212" s="327"/>
      <c r="O1212" s="327">
        <f>O1202+O1209</f>
        <v>0</v>
      </c>
      <c r="P1212" s="295"/>
      <c r="Q1212" s="442"/>
      <c r="R1212" s="403" t="str">
        <f t="shared" si="46"/>
        <v>DELETE</v>
      </c>
    </row>
    <row r="1213" spans="2:24" ht="31.5" customHeight="1" x14ac:dyDescent="0.45">
      <c r="B1213" s="323"/>
      <c r="D1213" s="473" t="s">
        <v>162</v>
      </c>
      <c r="G1213" s="402"/>
      <c r="H1213" s="327">
        <f>H1216-H1217</f>
        <v>0</v>
      </c>
      <c r="I1213" s="327"/>
      <c r="J1213" s="327">
        <f>J1216-J1217</f>
        <v>0</v>
      </c>
      <c r="K1213" s="327">
        <f>K1216-K1217</f>
        <v>0</v>
      </c>
      <c r="L1213" s="327"/>
      <c r="M1213" s="327">
        <f>M1216-M1217</f>
        <v>0</v>
      </c>
      <c r="N1213" s="327"/>
      <c r="O1213" s="327">
        <f>O1216-O1217</f>
        <v>0</v>
      </c>
      <c r="P1213" s="295"/>
      <c r="Q1213" s="442"/>
      <c r="R1213" s="403" t="str">
        <f t="shared" si="46"/>
        <v>DELETE</v>
      </c>
    </row>
    <row r="1214" spans="2:24" ht="9" customHeight="1" x14ac:dyDescent="0.45">
      <c r="B1214" s="323"/>
      <c r="D1214" s="473"/>
      <c r="G1214" s="402"/>
      <c r="H1214" s="327"/>
      <c r="I1214" s="327"/>
      <c r="J1214" s="327"/>
      <c r="K1214" s="327"/>
      <c r="L1214" s="327"/>
      <c r="M1214" s="327"/>
      <c r="N1214" s="327"/>
      <c r="O1214" s="327"/>
      <c r="P1214" s="295"/>
      <c r="Q1214" s="442"/>
      <c r="R1214" s="403" t="str">
        <f t="shared" si="46"/>
        <v>DELETE</v>
      </c>
    </row>
    <row r="1215" spans="2:24" ht="9" customHeight="1" x14ac:dyDescent="0.45">
      <c r="B1215" s="323"/>
      <c r="D1215" s="473"/>
      <c r="G1215" s="402"/>
      <c r="H1215" s="332"/>
      <c r="I1215" s="333"/>
      <c r="J1215" s="333"/>
      <c r="K1215" s="333"/>
      <c r="L1215" s="333"/>
      <c r="M1215" s="333"/>
      <c r="N1215" s="333"/>
      <c r="O1215" s="334"/>
      <c r="P1215" s="295"/>
      <c r="Q1215" s="442"/>
      <c r="R1215" s="403" t="str">
        <f t="shared" si="46"/>
        <v>DELETE</v>
      </c>
    </row>
    <row r="1216" spans="2:24" ht="31.5" customHeight="1" x14ac:dyDescent="0.45">
      <c r="B1216" s="323"/>
      <c r="D1216" s="473" t="s">
        <v>50</v>
      </c>
      <c r="G1216" s="402"/>
      <c r="H1216" s="335">
        <f>-TrialBalance!N253</f>
        <v>0</v>
      </c>
      <c r="I1216" s="327"/>
      <c r="J1216" s="327">
        <f>-TrialBalance!N261</f>
        <v>0</v>
      </c>
      <c r="K1216" s="327">
        <f>-TrialBalance!N269</f>
        <v>0</v>
      </c>
      <c r="L1216" s="327"/>
      <c r="M1216" s="327">
        <f>-TrialBalance!N277</f>
        <v>0</v>
      </c>
      <c r="N1216" s="327"/>
      <c r="O1216" s="336">
        <f>SUM(H1216:M1216)</f>
        <v>0</v>
      </c>
      <c r="P1216" s="295"/>
      <c r="Q1216" s="442"/>
      <c r="R1216" s="403" t="str">
        <f t="shared" si="46"/>
        <v>DELETE</v>
      </c>
    </row>
    <row r="1217" spans="2:24" ht="31.5" customHeight="1" x14ac:dyDescent="0.45">
      <c r="B1217" s="323"/>
      <c r="D1217" s="473" t="s">
        <v>557</v>
      </c>
      <c r="G1217" s="402"/>
      <c r="H1217" s="335">
        <f>TrialBalance!N257</f>
        <v>0</v>
      </c>
      <c r="I1217" s="327"/>
      <c r="J1217" s="327">
        <f>TrialBalance!N265</f>
        <v>0</v>
      </c>
      <c r="K1217" s="327">
        <f>TrialBalance!N273</f>
        <v>0</v>
      </c>
      <c r="L1217" s="327"/>
      <c r="M1217" s="327">
        <f>+TrialBalance!N281</f>
        <v>0</v>
      </c>
      <c r="N1217" s="327"/>
      <c r="O1217" s="336">
        <f>SUM(H1217:M1217)</f>
        <v>0</v>
      </c>
      <c r="P1217" s="295"/>
      <c r="Q1217" s="442"/>
      <c r="R1217" s="403" t="str">
        <f t="shared" si="46"/>
        <v>DELETE</v>
      </c>
    </row>
    <row r="1218" spans="2:24" ht="9" customHeight="1" x14ac:dyDescent="0.45">
      <c r="B1218" s="323"/>
      <c r="D1218" s="473"/>
      <c r="G1218" s="402"/>
      <c r="H1218" s="337"/>
      <c r="I1218" s="328"/>
      <c r="J1218" s="328"/>
      <c r="K1218" s="328"/>
      <c r="L1218" s="328"/>
      <c r="M1218" s="328"/>
      <c r="N1218" s="328"/>
      <c r="O1218" s="338"/>
      <c r="P1218" s="295"/>
      <c r="Q1218" s="442"/>
      <c r="R1218" s="403" t="str">
        <f t="shared" si="46"/>
        <v>DELETE</v>
      </c>
    </row>
    <row r="1219" spans="2:24" ht="9" customHeight="1" x14ac:dyDescent="0.45">
      <c r="B1219" s="323"/>
      <c r="D1219" s="473"/>
      <c r="G1219" s="402"/>
      <c r="H1219" s="327"/>
      <c r="I1219" s="327"/>
      <c r="J1219" s="327"/>
      <c r="K1219" s="327"/>
      <c r="L1219" s="327"/>
      <c r="M1219" s="327"/>
      <c r="N1219" s="327"/>
      <c r="O1219" s="327"/>
      <c r="P1219" s="295"/>
      <c r="Q1219" s="442"/>
      <c r="R1219" s="403" t="str">
        <f t="shared" si="46"/>
        <v>DELETE</v>
      </c>
    </row>
    <row r="1220" spans="2:24" ht="31.5" customHeight="1" x14ac:dyDescent="0.45">
      <c r="B1220" s="323"/>
      <c r="D1220" s="473" t="s">
        <v>372</v>
      </c>
      <c r="G1220" s="402"/>
      <c r="H1220" s="327">
        <f>TrialBalance!N256</f>
        <v>0</v>
      </c>
      <c r="I1220" s="327"/>
      <c r="J1220" s="327">
        <f>TrialBalance!N264</f>
        <v>0</v>
      </c>
      <c r="K1220" s="327">
        <f>TrialBalance!N272</f>
        <v>0</v>
      </c>
      <c r="L1220" s="327"/>
      <c r="M1220" s="327">
        <f>+TrialBalance!N280</f>
        <v>0</v>
      </c>
      <c r="N1220" s="327"/>
      <c r="O1220" s="327">
        <f>SUM(H1220:M1220)</f>
        <v>0</v>
      </c>
      <c r="P1220" s="295"/>
      <c r="Q1220" s="442"/>
      <c r="R1220" s="403" t="str">
        <f t="shared" si="46"/>
        <v>DELETE</v>
      </c>
    </row>
    <row r="1221" spans="2:24" ht="9" customHeight="1" x14ac:dyDescent="0.45">
      <c r="B1221" s="323"/>
      <c r="D1221" s="473"/>
      <c r="G1221" s="402"/>
      <c r="H1221" s="328"/>
      <c r="I1221" s="328"/>
      <c r="J1221" s="328"/>
      <c r="K1221" s="328"/>
      <c r="L1221" s="328"/>
      <c r="M1221" s="328"/>
      <c r="N1221" s="328"/>
      <c r="O1221" s="328"/>
      <c r="P1221" s="295"/>
      <c r="Q1221" s="442"/>
      <c r="R1221" s="403" t="str">
        <f t="shared" si="46"/>
        <v>DELETE</v>
      </c>
    </row>
    <row r="1222" spans="2:24" ht="9" customHeight="1" x14ac:dyDescent="0.45">
      <c r="B1222" s="323"/>
      <c r="D1222" s="473"/>
      <c r="G1222" s="402"/>
      <c r="H1222" s="327"/>
      <c r="I1222" s="327"/>
      <c r="J1222" s="327"/>
      <c r="K1222" s="327"/>
      <c r="L1222" s="327"/>
      <c r="M1222" s="327"/>
      <c r="N1222" s="327"/>
      <c r="O1222" s="327"/>
      <c r="P1222" s="295"/>
      <c r="Q1222" s="442"/>
      <c r="R1222" s="403" t="str">
        <f t="shared" si="46"/>
        <v>DELETE</v>
      </c>
    </row>
    <row r="1223" spans="2:24" ht="31.5" customHeight="1" x14ac:dyDescent="0.45">
      <c r="B1223" s="323"/>
      <c r="D1223" s="473" t="s">
        <v>201</v>
      </c>
      <c r="G1223" s="474">
        <f>Criteria!G21</f>
        <v>44985</v>
      </c>
      <c r="H1223" s="330">
        <f>H1202+H1209-H1213+H1220</f>
        <v>0</v>
      </c>
      <c r="I1223" s="330"/>
      <c r="J1223" s="330">
        <f>J1202+J1209-J1213+J1220</f>
        <v>0</v>
      </c>
      <c r="K1223" s="330">
        <f>K1202+K1209-K1213+K1220</f>
        <v>0</v>
      </c>
      <c r="L1223" s="330"/>
      <c r="M1223" s="330">
        <f>M1202+M1209-M1213+M1220</f>
        <v>0</v>
      </c>
      <c r="N1223" s="330"/>
      <c r="O1223" s="330">
        <f>O1202+O1209-O1213+O1220</f>
        <v>0</v>
      </c>
      <c r="P1223" s="295"/>
      <c r="Q1223" s="442"/>
      <c r="R1223" s="403" t="str">
        <f t="shared" si="46"/>
        <v>DELETE</v>
      </c>
      <c r="X1223" s="378" t="b">
        <f>O1223=SUM(H1223:N1223)</f>
        <v>1</v>
      </c>
    </row>
    <row r="1224" spans="2:24" ht="9" customHeight="1" thickBot="1" x14ac:dyDescent="0.5">
      <c r="B1224" s="323"/>
      <c r="D1224" s="473"/>
      <c r="G1224" s="475"/>
      <c r="H1224" s="331"/>
      <c r="I1224" s="331"/>
      <c r="J1224" s="331"/>
      <c r="K1224" s="331"/>
      <c r="L1224" s="331"/>
      <c r="M1224" s="331"/>
      <c r="N1224" s="331"/>
      <c r="O1224" s="331"/>
      <c r="P1224" s="295"/>
      <c r="Q1224" s="442"/>
      <c r="R1224" s="403" t="str">
        <f t="shared" si="46"/>
        <v>DELETE</v>
      </c>
    </row>
    <row r="1225" spans="2:24" ht="9" customHeight="1" thickTop="1" x14ac:dyDescent="0.45">
      <c r="B1225" s="323"/>
      <c r="D1225" s="473"/>
      <c r="G1225" s="475"/>
      <c r="H1225" s="327"/>
      <c r="I1225" s="327"/>
      <c r="J1225" s="327"/>
      <c r="K1225" s="327"/>
      <c r="L1225" s="327"/>
      <c r="M1225" s="327"/>
      <c r="N1225" s="327"/>
      <c r="O1225" s="327"/>
      <c r="P1225" s="295"/>
      <c r="Q1225" s="442"/>
      <c r="R1225" s="403" t="str">
        <f t="shared" si="46"/>
        <v>DELETE</v>
      </c>
    </row>
    <row r="1226" spans="2:24" ht="9" customHeight="1" x14ac:dyDescent="0.45">
      <c r="B1226" s="323"/>
      <c r="D1226" s="473"/>
      <c r="G1226" s="475"/>
      <c r="H1226" s="332"/>
      <c r="I1226" s="333"/>
      <c r="J1226" s="333"/>
      <c r="K1226" s="333"/>
      <c r="L1226" s="333"/>
      <c r="M1226" s="333"/>
      <c r="N1226" s="333"/>
      <c r="O1226" s="334"/>
      <c r="P1226" s="295"/>
      <c r="Q1226" s="442"/>
      <c r="R1226" s="403" t="str">
        <f t="shared" si="46"/>
        <v>DELETE</v>
      </c>
    </row>
    <row r="1227" spans="2:24" ht="31.5" customHeight="1" x14ac:dyDescent="0.45">
      <c r="B1227" s="323"/>
      <c r="D1227" s="473" t="s">
        <v>383</v>
      </c>
      <c r="G1227" s="402"/>
      <c r="H1227" s="335">
        <f>H1205+H1209-H1216</f>
        <v>0</v>
      </c>
      <c r="I1227" s="339"/>
      <c r="J1227" s="339">
        <f>J1205+J1209-J1216</f>
        <v>0</v>
      </c>
      <c r="K1227" s="339">
        <f>K1205+K1209-K1216</f>
        <v>0</v>
      </c>
      <c r="L1227" s="339"/>
      <c r="M1227" s="339">
        <f>M1205+M1209-M1216</f>
        <v>0</v>
      </c>
      <c r="N1227" s="339"/>
      <c r="O1227" s="336">
        <f>O1205+O1209-O1216</f>
        <v>0</v>
      </c>
      <c r="P1227" s="295"/>
      <c r="Q1227" s="442"/>
      <c r="R1227" s="403" t="str">
        <f t="shared" si="46"/>
        <v>DELETE</v>
      </c>
      <c r="X1227" s="378" t="b">
        <f>O1227=SUM(H1227:N1227)</f>
        <v>1</v>
      </c>
    </row>
    <row r="1228" spans="2:24" ht="31.5" customHeight="1" x14ac:dyDescent="0.45">
      <c r="B1228" s="323"/>
      <c r="D1228" s="473" t="s">
        <v>556</v>
      </c>
      <c r="G1228" s="402"/>
      <c r="H1228" s="335">
        <f>H1206-H1217-H1220</f>
        <v>0</v>
      </c>
      <c r="I1228" s="339"/>
      <c r="J1228" s="339">
        <f>J1206-J1217-J1220</f>
        <v>0</v>
      </c>
      <c r="K1228" s="339">
        <f>K1206-K1217-K1220</f>
        <v>0</v>
      </c>
      <c r="L1228" s="339"/>
      <c r="M1228" s="339">
        <f>M1206-M1217-M1220</f>
        <v>0</v>
      </c>
      <c r="N1228" s="339"/>
      <c r="O1228" s="336">
        <f>O1206-O1217-O1220</f>
        <v>0</v>
      </c>
      <c r="P1228" s="295"/>
      <c r="Q1228" s="442"/>
      <c r="R1228" s="403" t="str">
        <f t="shared" si="46"/>
        <v>DELETE</v>
      </c>
      <c r="X1228" s="378" t="b">
        <f>O1228=SUM(H1228:N1228)</f>
        <v>1</v>
      </c>
    </row>
    <row r="1229" spans="2:24" ht="9" customHeight="1" x14ac:dyDescent="0.45">
      <c r="B1229" s="323"/>
      <c r="D1229" s="473"/>
      <c r="G1229" s="402"/>
      <c r="H1229" s="337"/>
      <c r="I1229" s="328"/>
      <c r="J1229" s="328"/>
      <c r="K1229" s="328"/>
      <c r="L1229" s="328"/>
      <c r="M1229" s="328"/>
      <c r="N1229" s="328"/>
      <c r="O1229" s="338"/>
      <c r="P1229" s="295"/>
      <c r="Q1229" s="442"/>
      <c r="R1229" s="403" t="str">
        <f t="shared" si="46"/>
        <v>DELETE</v>
      </c>
    </row>
    <row r="1230" spans="2:24" ht="9" customHeight="1" x14ac:dyDescent="0.45">
      <c r="B1230" s="323"/>
      <c r="D1230" s="473"/>
      <c r="G1230" s="402"/>
      <c r="H1230" s="327"/>
      <c r="I1230" s="327"/>
      <c r="J1230" s="327"/>
      <c r="K1230" s="327"/>
      <c r="L1230" s="327"/>
      <c r="M1230" s="327"/>
      <c r="N1230" s="327"/>
      <c r="O1230" s="327"/>
      <c r="P1230" s="295"/>
      <c r="Q1230" s="442"/>
      <c r="R1230" s="403" t="str">
        <f t="shared" si="46"/>
        <v>DELETE</v>
      </c>
    </row>
    <row r="1231" spans="2:24" ht="31.5" customHeight="1" x14ac:dyDescent="0.45">
      <c r="B1231" s="323"/>
      <c r="D1231" s="473" t="s">
        <v>384</v>
      </c>
      <c r="G1231" s="402"/>
      <c r="H1231" s="327">
        <f>TrialBalance!L252</f>
        <v>0</v>
      </c>
      <c r="I1231" s="327"/>
      <c r="J1231" s="327">
        <f>TrialBalance!L260</f>
        <v>0</v>
      </c>
      <c r="K1231" s="327">
        <f>TrialBalance!L268</f>
        <v>0</v>
      </c>
      <c r="L1231" s="327"/>
      <c r="M1231" s="327">
        <f>+TrialBalance!L276</f>
        <v>0</v>
      </c>
      <c r="N1231" s="327"/>
      <c r="O1231" s="327">
        <f>SUM(H1231:M1231)</f>
        <v>0</v>
      </c>
      <c r="P1231" s="295"/>
      <c r="Q1231" s="442"/>
      <c r="R1231" s="403" t="str">
        <f t="shared" ref="R1231:R1252" si="47">R$1198</f>
        <v>DELETE</v>
      </c>
      <c r="X1231" s="378" t="b">
        <f>O1223=O1227-O1228</f>
        <v>1</v>
      </c>
    </row>
    <row r="1232" spans="2:24" ht="9" customHeight="1" x14ac:dyDescent="0.45">
      <c r="B1232" s="323"/>
      <c r="D1232" s="473"/>
      <c r="G1232" s="402"/>
      <c r="H1232" s="328"/>
      <c r="I1232" s="328"/>
      <c r="J1232" s="328"/>
      <c r="K1232" s="328"/>
      <c r="L1232" s="328"/>
      <c r="M1232" s="328"/>
      <c r="N1232" s="328"/>
      <c r="O1232" s="328"/>
      <c r="P1232" s="295"/>
      <c r="Q1232" s="442"/>
      <c r="R1232" s="403" t="str">
        <f t="shared" si="47"/>
        <v>DELETE</v>
      </c>
    </row>
    <row r="1233" spans="2:22" ht="9" customHeight="1" x14ac:dyDescent="0.45">
      <c r="B1233" s="323"/>
      <c r="D1233" s="473"/>
      <c r="G1233" s="402"/>
      <c r="H1233" s="327"/>
      <c r="I1233" s="327"/>
      <c r="J1233" s="327"/>
      <c r="K1233" s="327"/>
      <c r="L1233" s="327"/>
      <c r="M1233" s="327"/>
      <c r="N1233" s="327"/>
      <c r="O1233" s="327"/>
      <c r="P1233" s="295"/>
      <c r="Q1233" s="442"/>
      <c r="R1233" s="403" t="str">
        <f t="shared" si="47"/>
        <v>DELETE</v>
      </c>
    </row>
    <row r="1234" spans="2:22" ht="31.5" customHeight="1" x14ac:dyDescent="0.45">
      <c r="B1234" s="323"/>
      <c r="D1234" s="473"/>
      <c r="G1234" s="402"/>
      <c r="H1234" s="327">
        <f>+H1223+H1231</f>
        <v>0</v>
      </c>
      <c r="I1234" s="327"/>
      <c r="J1234" s="327">
        <f>+J1223+J1231</f>
        <v>0</v>
      </c>
      <c r="K1234" s="327">
        <f>+K1223+K1231</f>
        <v>0</v>
      </c>
      <c r="L1234" s="327"/>
      <c r="M1234" s="327">
        <f>+M1223+M1231</f>
        <v>0</v>
      </c>
      <c r="N1234" s="327"/>
      <c r="O1234" s="327">
        <f>+O1223+O1231</f>
        <v>0</v>
      </c>
      <c r="P1234" s="295"/>
      <c r="Q1234" s="442"/>
      <c r="R1234" s="403" t="str">
        <f t="shared" si="47"/>
        <v>DELETE</v>
      </c>
    </row>
    <row r="1235" spans="2:22" ht="31.5" customHeight="1" x14ac:dyDescent="0.45">
      <c r="B1235" s="323"/>
      <c r="D1235" s="473" t="s">
        <v>162</v>
      </c>
      <c r="G1235" s="402"/>
      <c r="H1235" s="327">
        <f>H1238-H1239</f>
        <v>0</v>
      </c>
      <c r="I1235" s="327"/>
      <c r="J1235" s="327">
        <f>J1238-J1239</f>
        <v>0</v>
      </c>
      <c r="K1235" s="327">
        <f>K1238-K1239</f>
        <v>0</v>
      </c>
      <c r="L1235" s="327"/>
      <c r="M1235" s="327">
        <f>M1238-M1239</f>
        <v>0</v>
      </c>
      <c r="N1235" s="327"/>
      <c r="O1235" s="327">
        <f>O1238-O1239</f>
        <v>0</v>
      </c>
      <c r="P1235" s="295"/>
      <c r="Q1235" s="442"/>
      <c r="R1235" s="403" t="str">
        <f t="shared" si="47"/>
        <v>DELETE</v>
      </c>
    </row>
    <row r="1236" spans="2:22" ht="9" customHeight="1" x14ac:dyDescent="0.45">
      <c r="B1236" s="323"/>
      <c r="D1236" s="473"/>
      <c r="G1236" s="402"/>
      <c r="H1236" s="327"/>
      <c r="I1236" s="327"/>
      <c r="J1236" s="327"/>
      <c r="K1236" s="327"/>
      <c r="L1236" s="327"/>
      <c r="M1236" s="327"/>
      <c r="N1236" s="327"/>
      <c r="O1236" s="327"/>
      <c r="P1236" s="295"/>
      <c r="Q1236" s="442"/>
      <c r="R1236" s="403" t="str">
        <f t="shared" si="47"/>
        <v>DELETE</v>
      </c>
    </row>
    <row r="1237" spans="2:22" ht="9" customHeight="1" x14ac:dyDescent="0.45">
      <c r="B1237" s="323"/>
      <c r="D1237" s="473"/>
      <c r="G1237" s="402"/>
      <c r="H1237" s="332"/>
      <c r="I1237" s="333"/>
      <c r="J1237" s="333"/>
      <c r="K1237" s="333"/>
      <c r="L1237" s="333"/>
      <c r="M1237" s="333"/>
      <c r="N1237" s="333"/>
      <c r="O1237" s="334"/>
      <c r="P1237" s="295"/>
      <c r="Q1237" s="442"/>
      <c r="R1237" s="403" t="str">
        <f t="shared" si="47"/>
        <v>DELETE</v>
      </c>
    </row>
    <row r="1238" spans="2:22" ht="31.5" customHeight="1" x14ac:dyDescent="0.45">
      <c r="B1238" s="323"/>
      <c r="D1238" s="473" t="s">
        <v>50</v>
      </c>
      <c r="G1238" s="402"/>
      <c r="H1238" s="335">
        <f>-TrialBalance!L253</f>
        <v>0</v>
      </c>
      <c r="I1238" s="327"/>
      <c r="J1238" s="327">
        <f>-TrialBalance!L261</f>
        <v>0</v>
      </c>
      <c r="K1238" s="327">
        <f>-TrialBalance!L269</f>
        <v>0</v>
      </c>
      <c r="L1238" s="327"/>
      <c r="M1238" s="327">
        <f>-TrialBalance!L277</f>
        <v>0</v>
      </c>
      <c r="N1238" s="327"/>
      <c r="O1238" s="336">
        <f>SUM(H1238:M1238)</f>
        <v>0</v>
      </c>
      <c r="P1238" s="295"/>
      <c r="Q1238" s="442"/>
      <c r="R1238" s="403" t="str">
        <f t="shared" si="47"/>
        <v>DELETE</v>
      </c>
    </row>
    <row r="1239" spans="2:22" ht="31.5" customHeight="1" x14ac:dyDescent="0.45">
      <c r="B1239" s="323"/>
      <c r="D1239" s="473" t="s">
        <v>557</v>
      </c>
      <c r="G1239" s="402"/>
      <c r="H1239" s="335">
        <f>TrialBalance!L257</f>
        <v>0</v>
      </c>
      <c r="I1239" s="327"/>
      <c r="J1239" s="327">
        <f>TrialBalance!L265</f>
        <v>0</v>
      </c>
      <c r="K1239" s="327">
        <f>TrialBalance!L273</f>
        <v>0</v>
      </c>
      <c r="L1239" s="327"/>
      <c r="M1239" s="327">
        <f>+TrialBalance!L281</f>
        <v>0</v>
      </c>
      <c r="N1239" s="327"/>
      <c r="O1239" s="336">
        <f>SUM(H1239:M1239)</f>
        <v>0</v>
      </c>
      <c r="P1239" s="295"/>
      <c r="Q1239" s="442"/>
      <c r="R1239" s="403" t="str">
        <f t="shared" si="47"/>
        <v>DELETE</v>
      </c>
    </row>
    <row r="1240" spans="2:22" ht="9" customHeight="1" x14ac:dyDescent="0.45">
      <c r="B1240" s="323"/>
      <c r="D1240" s="473"/>
      <c r="G1240" s="402"/>
      <c r="H1240" s="337"/>
      <c r="I1240" s="328"/>
      <c r="J1240" s="328"/>
      <c r="K1240" s="328"/>
      <c r="L1240" s="328"/>
      <c r="M1240" s="328"/>
      <c r="N1240" s="328"/>
      <c r="O1240" s="338"/>
      <c r="P1240" s="295"/>
      <c r="Q1240" s="442"/>
      <c r="R1240" s="403" t="str">
        <f t="shared" si="47"/>
        <v>DELETE</v>
      </c>
    </row>
    <row r="1241" spans="2:22" ht="9" customHeight="1" x14ac:dyDescent="0.45">
      <c r="B1241" s="323"/>
      <c r="D1241" s="473"/>
      <c r="G1241" s="402"/>
      <c r="H1241" s="327"/>
      <c r="I1241" s="327"/>
      <c r="J1241" s="327"/>
      <c r="K1241" s="327"/>
      <c r="L1241" s="327"/>
      <c r="M1241" s="327"/>
      <c r="N1241" s="327"/>
      <c r="O1241" s="327"/>
      <c r="P1241" s="295"/>
      <c r="Q1241" s="442"/>
      <c r="R1241" s="403" t="str">
        <f t="shared" si="47"/>
        <v>DELETE</v>
      </c>
    </row>
    <row r="1242" spans="2:22" ht="31.5" customHeight="1" x14ac:dyDescent="0.45">
      <c r="B1242" s="323"/>
      <c r="D1242" s="473" t="s">
        <v>372</v>
      </c>
      <c r="G1242" s="402"/>
      <c r="H1242" s="327">
        <f>TrialBalance!L256</f>
        <v>0</v>
      </c>
      <c r="I1242" s="327"/>
      <c r="J1242" s="327">
        <f>TrialBalance!L264</f>
        <v>0</v>
      </c>
      <c r="K1242" s="327">
        <f>TrialBalance!L272</f>
        <v>0</v>
      </c>
      <c r="L1242" s="327"/>
      <c r="M1242" s="327">
        <f>+TrialBalance!L280</f>
        <v>0</v>
      </c>
      <c r="N1242" s="327"/>
      <c r="O1242" s="327">
        <f>SUM(H1242:M1242)</f>
        <v>0</v>
      </c>
      <c r="P1242" s="295"/>
      <c r="Q1242" s="442"/>
      <c r="R1242" s="403" t="str">
        <f t="shared" si="47"/>
        <v>DELETE</v>
      </c>
    </row>
    <row r="1243" spans="2:22" ht="9" customHeight="1" x14ac:dyDescent="0.45">
      <c r="B1243" s="323"/>
      <c r="D1243" s="473"/>
      <c r="G1243" s="402"/>
      <c r="H1243" s="328"/>
      <c r="I1243" s="328"/>
      <c r="J1243" s="328"/>
      <c r="K1243" s="328"/>
      <c r="L1243" s="328"/>
      <c r="M1243" s="328"/>
      <c r="N1243" s="328"/>
      <c r="O1243" s="328"/>
      <c r="P1243" s="295"/>
      <c r="Q1243" s="442"/>
      <c r="R1243" s="403" t="str">
        <f t="shared" si="47"/>
        <v>DELETE</v>
      </c>
    </row>
    <row r="1244" spans="2:22" ht="9" customHeight="1" x14ac:dyDescent="0.45">
      <c r="B1244" s="323"/>
      <c r="D1244" s="473"/>
      <c r="G1244" s="402"/>
      <c r="H1244" s="327"/>
      <c r="I1244" s="327"/>
      <c r="J1244" s="327"/>
      <c r="K1244" s="327"/>
      <c r="L1244" s="327"/>
      <c r="M1244" s="327"/>
      <c r="N1244" s="327"/>
      <c r="O1244" s="327"/>
      <c r="P1244" s="295"/>
      <c r="Q1244" s="442"/>
      <c r="R1244" s="403" t="str">
        <f t="shared" si="47"/>
        <v>DELETE</v>
      </c>
    </row>
    <row r="1245" spans="2:22" ht="31.5" customHeight="1" x14ac:dyDescent="0.45">
      <c r="B1245" s="323"/>
      <c r="D1245" s="473" t="s">
        <v>201</v>
      </c>
      <c r="G1245" s="474">
        <f>Criteria!G20</f>
        <v>45351</v>
      </c>
      <c r="H1245" s="330">
        <f>+H1223+H1231-H1235+H1242</f>
        <v>0</v>
      </c>
      <c r="I1245" s="330"/>
      <c r="J1245" s="330">
        <f>+J1223+J1231-J1235+J1242</f>
        <v>0</v>
      </c>
      <c r="K1245" s="330">
        <f>+K1223+K1231-K1235+K1242</f>
        <v>0</v>
      </c>
      <c r="L1245" s="330"/>
      <c r="M1245" s="330">
        <f>+M1223+M1231-M1235+M1242</f>
        <v>0</v>
      </c>
      <c r="N1245" s="330"/>
      <c r="O1245" s="330">
        <f>+O1223+O1231-O1235+O1242</f>
        <v>0</v>
      </c>
      <c r="P1245" s="293"/>
      <c r="Q1245" s="442"/>
      <c r="R1245" s="403" t="str">
        <f t="shared" si="47"/>
        <v>DELETE</v>
      </c>
      <c r="V1245" s="378" t="b">
        <f>O1245=SUM(H1245:N1245)</f>
        <v>1</v>
      </c>
    </row>
    <row r="1246" spans="2:22" ht="9" customHeight="1" thickBot="1" x14ac:dyDescent="0.5">
      <c r="B1246" s="323"/>
      <c r="D1246" s="473"/>
      <c r="G1246" s="475"/>
      <c r="H1246" s="331"/>
      <c r="I1246" s="331"/>
      <c r="J1246" s="331"/>
      <c r="K1246" s="331"/>
      <c r="L1246" s="331"/>
      <c r="M1246" s="331"/>
      <c r="N1246" s="331"/>
      <c r="O1246" s="331"/>
      <c r="P1246" s="295"/>
      <c r="Q1246" s="442"/>
      <c r="R1246" s="403" t="str">
        <f t="shared" si="47"/>
        <v>DELETE</v>
      </c>
    </row>
    <row r="1247" spans="2:22" ht="9" customHeight="1" thickTop="1" x14ac:dyDescent="0.45">
      <c r="B1247" s="323"/>
      <c r="D1247" s="473"/>
      <c r="G1247" s="475"/>
      <c r="H1247" s="327"/>
      <c r="I1247" s="327"/>
      <c r="J1247" s="327"/>
      <c r="K1247" s="327"/>
      <c r="L1247" s="327"/>
      <c r="M1247" s="327"/>
      <c r="N1247" s="327"/>
      <c r="O1247" s="327"/>
      <c r="P1247" s="295"/>
      <c r="Q1247" s="442"/>
      <c r="R1247" s="403" t="str">
        <f t="shared" si="47"/>
        <v>DELETE</v>
      </c>
    </row>
    <row r="1248" spans="2:22" ht="9" customHeight="1" x14ac:dyDescent="0.45">
      <c r="B1248" s="323"/>
      <c r="D1248" s="473"/>
      <c r="G1248" s="475"/>
      <c r="H1248" s="332"/>
      <c r="I1248" s="333"/>
      <c r="J1248" s="333"/>
      <c r="K1248" s="333"/>
      <c r="L1248" s="333"/>
      <c r="M1248" s="333"/>
      <c r="N1248" s="333"/>
      <c r="O1248" s="334"/>
      <c r="P1248" s="295"/>
      <c r="Q1248" s="442"/>
      <c r="R1248" s="403" t="str">
        <f t="shared" si="47"/>
        <v>DELETE</v>
      </c>
    </row>
    <row r="1249" spans="2:22" ht="31.5" customHeight="1" x14ac:dyDescent="0.45">
      <c r="B1249" s="323"/>
      <c r="D1249" s="473" t="s">
        <v>383</v>
      </c>
      <c r="G1249" s="402"/>
      <c r="H1249" s="335">
        <f>H1227+H1231-H1238</f>
        <v>0</v>
      </c>
      <c r="I1249" s="339"/>
      <c r="J1249" s="339">
        <f>J1227+J1231-J1238</f>
        <v>0</v>
      </c>
      <c r="K1249" s="339">
        <f>K1227+K1231-K1238</f>
        <v>0</v>
      </c>
      <c r="L1249" s="339"/>
      <c r="M1249" s="339">
        <f>M1227+M1231-M1238</f>
        <v>0</v>
      </c>
      <c r="N1249" s="339"/>
      <c r="O1249" s="336">
        <f>O1227+O1231-O1238</f>
        <v>0</v>
      </c>
      <c r="P1249" s="295"/>
      <c r="Q1249" s="442"/>
      <c r="R1249" s="403" t="str">
        <f t="shared" si="47"/>
        <v>DELETE</v>
      </c>
      <c r="V1249" s="378" t="b">
        <f>O1249=SUM(H1249:N1249)</f>
        <v>1</v>
      </c>
    </row>
    <row r="1250" spans="2:22" ht="31.5" customHeight="1" x14ac:dyDescent="0.45">
      <c r="B1250" s="323"/>
      <c r="D1250" s="473" t="s">
        <v>556</v>
      </c>
      <c r="G1250" s="402"/>
      <c r="H1250" s="335">
        <f>H1228-H1239-H1242</f>
        <v>0</v>
      </c>
      <c r="I1250" s="339"/>
      <c r="J1250" s="339">
        <f>J1228-J1239-J1242</f>
        <v>0</v>
      </c>
      <c r="K1250" s="339">
        <f>K1228-K1239-K1242</f>
        <v>0</v>
      </c>
      <c r="L1250" s="339"/>
      <c r="M1250" s="339">
        <f>M1228-M1239-M1242</f>
        <v>0</v>
      </c>
      <c r="N1250" s="339"/>
      <c r="O1250" s="336">
        <f>O1228-O1239-O1242</f>
        <v>0</v>
      </c>
      <c r="P1250" s="295"/>
      <c r="Q1250" s="442"/>
      <c r="R1250" s="403" t="str">
        <f t="shared" si="47"/>
        <v>DELETE</v>
      </c>
      <c r="V1250" s="378" t="b">
        <f>O1250=SUM(H1250:N1250)</f>
        <v>1</v>
      </c>
    </row>
    <row r="1251" spans="2:22" ht="9" customHeight="1" x14ac:dyDescent="0.45">
      <c r="B1251" s="323"/>
      <c r="D1251" s="473"/>
      <c r="G1251" s="402"/>
      <c r="H1251" s="337"/>
      <c r="I1251" s="328"/>
      <c r="J1251" s="328"/>
      <c r="K1251" s="328"/>
      <c r="L1251" s="328"/>
      <c r="M1251" s="328"/>
      <c r="N1251" s="328"/>
      <c r="O1251" s="338"/>
      <c r="P1251" s="295"/>
      <c r="Q1251" s="442"/>
      <c r="R1251" s="403" t="str">
        <f t="shared" si="47"/>
        <v>DELETE</v>
      </c>
    </row>
    <row r="1252" spans="2:22" ht="31.5" customHeight="1" x14ac:dyDescent="0.45">
      <c r="B1252" s="323"/>
      <c r="G1252" s="402"/>
      <c r="H1252" s="298"/>
      <c r="I1252" s="298"/>
      <c r="J1252" s="298"/>
      <c r="K1252" s="298"/>
      <c r="L1252" s="298"/>
      <c r="M1252" s="327"/>
      <c r="N1252" s="327"/>
      <c r="O1252" s="327"/>
      <c r="P1252" s="295"/>
      <c r="Q1252" s="442"/>
      <c r="R1252" s="403" t="str">
        <f t="shared" si="47"/>
        <v>DELETE</v>
      </c>
    </row>
    <row r="1253" spans="2:22" ht="31.5" customHeight="1" x14ac:dyDescent="0.45">
      <c r="B1253" s="323"/>
      <c r="G1253" s="402"/>
      <c r="H1253" s="298"/>
      <c r="I1253" s="298"/>
      <c r="J1253" s="298"/>
      <c r="K1253" s="298"/>
      <c r="L1253" s="298"/>
      <c r="M1253" s="347"/>
      <c r="N1253" s="298"/>
      <c r="O1253" s="347"/>
      <c r="P1253" s="295"/>
      <c r="Q1253" s="442"/>
      <c r="R1253" s="403" t="str">
        <f t="shared" ref="R1253:R1256" si="48">R$1198</f>
        <v>DELETE</v>
      </c>
    </row>
    <row r="1254" spans="2:22" ht="31.5" customHeight="1" x14ac:dyDescent="0.45">
      <c r="B1254" s="323"/>
      <c r="G1254" s="402"/>
      <c r="H1254" s="298"/>
      <c r="I1254" s="298"/>
      <c r="J1254" s="298"/>
      <c r="K1254" s="298"/>
      <c r="L1254" s="298"/>
      <c r="M1254" s="347"/>
      <c r="N1254" s="298"/>
      <c r="O1254" s="347"/>
      <c r="P1254" s="295"/>
      <c r="Q1254" s="442"/>
      <c r="R1254" s="403" t="str">
        <f t="shared" si="48"/>
        <v>DELETE</v>
      </c>
    </row>
    <row r="1255" spans="2:22" ht="31.5" customHeight="1" x14ac:dyDescent="0.45">
      <c r="B1255" s="324"/>
      <c r="C1255" s="429"/>
      <c r="D1255" s="429"/>
      <c r="E1255" s="429"/>
      <c r="F1255" s="429"/>
      <c r="G1255" s="429"/>
      <c r="H1255" s="476"/>
      <c r="I1255" s="476"/>
      <c r="J1255" s="476"/>
      <c r="K1255" s="476"/>
      <c r="L1255" s="476"/>
      <c r="M1255" s="437"/>
      <c r="N1255" s="461"/>
      <c r="O1255" s="437"/>
      <c r="P1255" s="433"/>
      <c r="Q1255" s="446"/>
      <c r="R1255" s="403" t="str">
        <f t="shared" si="48"/>
        <v>DELETE</v>
      </c>
    </row>
    <row r="1256" spans="2:22" ht="31.5" customHeight="1" x14ac:dyDescent="0.45">
      <c r="B1256" s="325"/>
      <c r="R1256" s="403" t="str">
        <f t="shared" si="48"/>
        <v>DELETE</v>
      </c>
    </row>
    <row r="1257" spans="2:22" ht="31.5" customHeight="1" x14ac:dyDescent="0.45">
      <c r="B1257" s="422"/>
      <c r="R1257" s="403" t="str">
        <f>R$1265</f>
        <v>DELETE</v>
      </c>
    </row>
    <row r="1258" spans="2:22" ht="31.5" customHeight="1" x14ac:dyDescent="0.45">
      <c r="B1258" s="422"/>
      <c r="D1258" s="417" t="str">
        <f>Criteria!E9</f>
        <v>HOLDING COMPANY 268 (PROPRIETARY) LIMITED</v>
      </c>
      <c r="O1258" s="346" t="s">
        <v>96</v>
      </c>
      <c r="Q1258" s="292">
        <f>MAX($Q$114:Q1257)+1</f>
        <v>29</v>
      </c>
      <c r="R1258" s="403" t="str">
        <f t="shared" ref="R1258:R1264" si="49">R$1265</f>
        <v>DELETE</v>
      </c>
    </row>
    <row r="1259" spans="2:22" ht="31.5" customHeight="1" x14ac:dyDescent="0.45">
      <c r="B1259" s="422"/>
      <c r="D1259" s="417" t="str">
        <f>Criteria!E10</f>
        <v>CONSOLIDATED FINANCIAL STATEMENTS</v>
      </c>
      <c r="R1259" s="403" t="str">
        <f>IF(R$1265="DELETE","DELETE",IF(D1259=0,"DELETE"," "))</f>
        <v>DELETE</v>
      </c>
    </row>
    <row r="1260" spans="2:22" ht="31.5" customHeight="1" x14ac:dyDescent="0.45">
      <c r="B1260" s="422"/>
      <c r="R1260" s="403" t="str">
        <f t="shared" si="49"/>
        <v>DELETE</v>
      </c>
    </row>
    <row r="1261" spans="2:22" ht="31.5" customHeight="1" x14ac:dyDescent="0.45">
      <c r="B1261" s="422"/>
      <c r="D1261" s="417" t="s">
        <v>377</v>
      </c>
      <c r="R1261" s="403" t="str">
        <f t="shared" si="49"/>
        <v>DELETE</v>
      </c>
    </row>
    <row r="1262" spans="2:22" ht="31.5" customHeight="1" x14ac:dyDescent="0.45">
      <c r="B1262" s="422"/>
      <c r="D1262" s="417" t="str">
        <f>Criteria!E20</f>
        <v>29 FEBRUARY 2024</v>
      </c>
      <c r="J1262" s="400" t="s">
        <v>247</v>
      </c>
      <c r="R1262" s="403" t="str">
        <f t="shared" si="49"/>
        <v>DELETE</v>
      </c>
    </row>
    <row r="1263" spans="2:22" ht="31.5" customHeight="1" x14ac:dyDescent="0.45">
      <c r="B1263" s="422"/>
      <c r="R1263" s="403" t="str">
        <f t="shared" si="49"/>
        <v>DELETE</v>
      </c>
    </row>
    <row r="1264" spans="2:22" ht="31.5" customHeight="1" x14ac:dyDescent="0.45">
      <c r="B1264" s="457"/>
      <c r="C1264" s="439"/>
      <c r="D1264" s="439"/>
      <c r="E1264" s="439"/>
      <c r="F1264" s="439"/>
      <c r="G1264" s="439"/>
      <c r="H1264" s="439"/>
      <c r="I1264" s="439"/>
      <c r="J1264" s="439"/>
      <c r="K1264" s="439"/>
      <c r="L1264" s="439"/>
      <c r="M1264" s="447"/>
      <c r="N1264" s="448"/>
      <c r="O1264" s="447"/>
      <c r="P1264" s="448"/>
      <c r="Q1264" s="440"/>
      <c r="R1264" s="403" t="str">
        <f t="shared" si="49"/>
        <v>DELETE</v>
      </c>
    </row>
    <row r="1265" spans="2:18" ht="31.5" customHeight="1" x14ac:dyDescent="0.45">
      <c r="B1265" s="323"/>
      <c r="C1265" s="400">
        <f>MAX(C1199:C1264)+0.1</f>
        <v>9.1999999999999993</v>
      </c>
      <c r="D1265" s="400" t="s">
        <v>1013</v>
      </c>
      <c r="Q1265" s="442"/>
      <c r="R1265" s="403" t="str">
        <f>IF(Criteria!J214+Criteria!J221=0,"DELETE"," ")</f>
        <v>DELETE</v>
      </c>
    </row>
    <row r="1266" spans="2:18" ht="31.5" customHeight="1" x14ac:dyDescent="0.45">
      <c r="B1266" s="323"/>
      <c r="H1266" s="295" t="str">
        <f>Criteria!G206</f>
        <v>Plant and</v>
      </c>
      <c r="I1266" s="295"/>
      <c r="J1266" s="295" t="str">
        <f>Criteria!H206</f>
        <v>Motor</v>
      </c>
      <c r="K1266" s="295" t="str">
        <f>Criteria!I206</f>
        <v>Electronic</v>
      </c>
      <c r="L1266" s="295"/>
      <c r="M1266" s="346" t="str">
        <f>Criteria!J206</f>
        <v>Furniture and</v>
      </c>
      <c r="N1266" s="295"/>
      <c r="O1266" s="346" t="s">
        <v>382</v>
      </c>
      <c r="Q1266" s="442"/>
      <c r="R1266" s="403" t="str">
        <f>R$1265</f>
        <v>DELETE</v>
      </c>
    </row>
    <row r="1267" spans="2:18" ht="31.5" customHeight="1" x14ac:dyDescent="0.45">
      <c r="B1267" s="323"/>
      <c r="H1267" s="295" t="str">
        <f>Criteria!G207</f>
        <v>equipment</v>
      </c>
      <c r="I1267" s="295"/>
      <c r="J1267" s="295" t="str">
        <f>Criteria!H207</f>
        <v>vehicles</v>
      </c>
      <c r="K1267" s="295" t="str">
        <f>Criteria!I207</f>
        <v>equipment</v>
      </c>
      <c r="L1267" s="295"/>
      <c r="M1267" s="346" t="str">
        <f>Criteria!J207</f>
        <v>fittings</v>
      </c>
      <c r="N1267" s="295"/>
      <c r="O1267" s="346"/>
      <c r="Q1267" s="442"/>
      <c r="R1267" s="403" t="str">
        <f>R$1265</f>
        <v>DELETE</v>
      </c>
    </row>
    <row r="1268" spans="2:18" ht="31.5" customHeight="1" x14ac:dyDescent="0.45">
      <c r="B1268" s="323"/>
      <c r="D1268" s="473" t="s">
        <v>201</v>
      </c>
      <c r="G1268" s="329">
        <f>Criteria!G21</f>
        <v>44985</v>
      </c>
      <c r="H1268" s="327">
        <f>H1271-H1272</f>
        <v>0</v>
      </c>
      <c r="I1268" s="327"/>
      <c r="J1268" s="327">
        <f>J1271-J1272</f>
        <v>0</v>
      </c>
      <c r="K1268" s="327">
        <f>K1271-K1272</f>
        <v>0</v>
      </c>
      <c r="L1268" s="327"/>
      <c r="M1268" s="327">
        <f>M1271-M1272</f>
        <v>0</v>
      </c>
      <c r="N1268" s="327"/>
      <c r="O1268" s="327">
        <f>O1271-O1272</f>
        <v>0</v>
      </c>
      <c r="P1268" s="406"/>
      <c r="Q1268" s="442"/>
      <c r="R1268" s="403" t="str">
        <f t="shared" ref="R1268:R1285" si="50">R$1265</f>
        <v>DELETE</v>
      </c>
    </row>
    <row r="1269" spans="2:18" ht="9" customHeight="1" x14ac:dyDescent="0.45">
      <c r="B1269" s="323"/>
      <c r="D1269" s="473"/>
      <c r="G1269" s="318"/>
      <c r="H1269" s="327"/>
      <c r="I1269" s="327"/>
      <c r="J1269" s="327"/>
      <c r="K1269" s="327"/>
      <c r="L1269" s="327"/>
      <c r="M1269" s="327"/>
      <c r="N1269" s="327"/>
      <c r="O1269" s="327"/>
      <c r="P1269" s="406"/>
      <c r="Q1269" s="442"/>
      <c r="R1269" s="403" t="str">
        <f t="shared" si="50"/>
        <v>DELETE</v>
      </c>
    </row>
    <row r="1270" spans="2:18" ht="9" customHeight="1" x14ac:dyDescent="0.45">
      <c r="B1270" s="323"/>
      <c r="D1270" s="473"/>
      <c r="G1270" s="318"/>
      <c r="H1270" s="332"/>
      <c r="I1270" s="333"/>
      <c r="J1270" s="333"/>
      <c r="K1270" s="333"/>
      <c r="L1270" s="333"/>
      <c r="M1270" s="333"/>
      <c r="N1270" s="333"/>
      <c r="O1270" s="334"/>
      <c r="P1270" s="406"/>
      <c r="Q1270" s="442"/>
      <c r="R1270" s="403" t="str">
        <f t="shared" si="50"/>
        <v>DELETE</v>
      </c>
    </row>
    <row r="1271" spans="2:18" ht="31.5" customHeight="1" x14ac:dyDescent="0.45">
      <c r="B1271" s="323"/>
      <c r="D1271" s="473" t="s">
        <v>383</v>
      </c>
      <c r="G1271" s="295"/>
      <c r="H1271" s="335">
        <f>Criteria!F217</f>
        <v>0</v>
      </c>
      <c r="I1271" s="327"/>
      <c r="J1271" s="327">
        <f>Criteria!G217</f>
        <v>0</v>
      </c>
      <c r="K1271" s="327">
        <f>Criteria!H217</f>
        <v>0</v>
      </c>
      <c r="L1271" s="327"/>
      <c r="M1271" s="327">
        <f>Criteria!I217</f>
        <v>0</v>
      </c>
      <c r="N1271" s="327"/>
      <c r="O1271" s="336">
        <f>SUM(H1271:M1271)</f>
        <v>0</v>
      </c>
      <c r="P1271" s="406"/>
      <c r="Q1271" s="442"/>
      <c r="R1271" s="403" t="str">
        <f t="shared" si="50"/>
        <v>DELETE</v>
      </c>
    </row>
    <row r="1272" spans="2:18" ht="31.5" customHeight="1" x14ac:dyDescent="0.45">
      <c r="B1272" s="323"/>
      <c r="D1272" s="473" t="s">
        <v>556</v>
      </c>
      <c r="G1272" s="295"/>
      <c r="H1272" s="335">
        <f>Criteria!F218</f>
        <v>0</v>
      </c>
      <c r="I1272" s="327"/>
      <c r="J1272" s="327">
        <f>Criteria!G218</f>
        <v>0</v>
      </c>
      <c r="K1272" s="327">
        <f>Criteria!H218</f>
        <v>0</v>
      </c>
      <c r="L1272" s="327"/>
      <c r="M1272" s="327">
        <f>Criteria!I218</f>
        <v>0</v>
      </c>
      <c r="N1272" s="327"/>
      <c r="O1272" s="336">
        <f>SUM(H1272:M1272)</f>
        <v>0</v>
      </c>
      <c r="P1272" s="406"/>
      <c r="Q1272" s="442"/>
      <c r="R1272" s="403" t="str">
        <f t="shared" si="50"/>
        <v>DELETE</v>
      </c>
    </row>
    <row r="1273" spans="2:18" ht="9" customHeight="1" x14ac:dyDescent="0.45">
      <c r="B1273" s="323"/>
      <c r="D1273" s="473"/>
      <c r="G1273" s="295"/>
      <c r="H1273" s="337"/>
      <c r="I1273" s="328"/>
      <c r="J1273" s="328"/>
      <c r="K1273" s="328"/>
      <c r="L1273" s="328"/>
      <c r="M1273" s="328"/>
      <c r="N1273" s="328"/>
      <c r="O1273" s="338"/>
      <c r="P1273" s="406"/>
      <c r="Q1273" s="442"/>
      <c r="R1273" s="403" t="str">
        <f t="shared" si="50"/>
        <v>DELETE</v>
      </c>
    </row>
    <row r="1274" spans="2:18" ht="9" customHeight="1" x14ac:dyDescent="0.45">
      <c r="B1274" s="323"/>
      <c r="D1274" s="473"/>
      <c r="G1274" s="295"/>
      <c r="H1274" s="327"/>
      <c r="I1274" s="327"/>
      <c r="J1274" s="327"/>
      <c r="K1274" s="327"/>
      <c r="L1274" s="327"/>
      <c r="M1274" s="327"/>
      <c r="N1274" s="327"/>
      <c r="O1274" s="327"/>
      <c r="P1274" s="406"/>
      <c r="Q1274" s="442"/>
      <c r="R1274" s="403" t="str">
        <f t="shared" si="50"/>
        <v>DELETE</v>
      </c>
    </row>
    <row r="1275" spans="2:18" ht="31.5" customHeight="1" x14ac:dyDescent="0.45">
      <c r="B1275" s="323"/>
      <c r="D1275" s="473" t="s">
        <v>201</v>
      </c>
      <c r="G1275" s="329">
        <f>Criteria!G20</f>
        <v>45351</v>
      </c>
      <c r="H1275" s="327">
        <f>H1278-H1279</f>
        <v>0</v>
      </c>
      <c r="I1275" s="327"/>
      <c r="J1275" s="327">
        <f>J1278-J1279</f>
        <v>0</v>
      </c>
      <c r="K1275" s="327">
        <f>K1278-K1279</f>
        <v>0</v>
      </c>
      <c r="L1275" s="327"/>
      <c r="M1275" s="327">
        <f>M1278-M1279</f>
        <v>0</v>
      </c>
      <c r="N1275" s="327"/>
      <c r="O1275" s="327">
        <f>O1278-O1279</f>
        <v>0</v>
      </c>
      <c r="P1275" s="406"/>
      <c r="Q1275" s="442"/>
      <c r="R1275" s="403" t="str">
        <f t="shared" si="50"/>
        <v>DELETE</v>
      </c>
    </row>
    <row r="1276" spans="2:18" ht="9" customHeight="1" x14ac:dyDescent="0.45">
      <c r="B1276" s="323"/>
      <c r="D1276" s="473"/>
      <c r="G1276" s="318"/>
      <c r="H1276" s="327"/>
      <c r="I1276" s="327"/>
      <c r="J1276" s="327"/>
      <c r="K1276" s="327"/>
      <c r="L1276" s="327"/>
      <c r="M1276" s="327"/>
      <c r="N1276" s="327"/>
      <c r="O1276" s="327"/>
      <c r="P1276" s="406"/>
      <c r="Q1276" s="442"/>
      <c r="R1276" s="403" t="str">
        <f t="shared" si="50"/>
        <v>DELETE</v>
      </c>
    </row>
    <row r="1277" spans="2:18" ht="9" customHeight="1" x14ac:dyDescent="0.45">
      <c r="B1277" s="323"/>
      <c r="D1277" s="473"/>
      <c r="G1277" s="318"/>
      <c r="H1277" s="332"/>
      <c r="I1277" s="333"/>
      <c r="J1277" s="333"/>
      <c r="K1277" s="333"/>
      <c r="L1277" s="333"/>
      <c r="M1277" s="333"/>
      <c r="N1277" s="333"/>
      <c r="O1277" s="334"/>
      <c r="P1277" s="406"/>
      <c r="Q1277" s="442"/>
      <c r="R1277" s="403" t="str">
        <f t="shared" si="50"/>
        <v>DELETE</v>
      </c>
    </row>
    <row r="1278" spans="2:18" ht="31.5" customHeight="1" x14ac:dyDescent="0.45">
      <c r="B1278" s="323"/>
      <c r="D1278" s="473" t="s">
        <v>383</v>
      </c>
      <c r="G1278" s="295"/>
      <c r="H1278" s="335">
        <f>Criteria!F224</f>
        <v>0</v>
      </c>
      <c r="I1278" s="327"/>
      <c r="J1278" s="327">
        <f>Criteria!G224</f>
        <v>0</v>
      </c>
      <c r="K1278" s="327">
        <f>Criteria!H224</f>
        <v>0</v>
      </c>
      <c r="L1278" s="327"/>
      <c r="M1278" s="327">
        <f>Criteria!I224</f>
        <v>0</v>
      </c>
      <c r="N1278" s="327"/>
      <c r="O1278" s="336">
        <f>SUM(H1278:M1278)</f>
        <v>0</v>
      </c>
      <c r="P1278" s="406"/>
      <c r="Q1278" s="442"/>
      <c r="R1278" s="403" t="str">
        <f t="shared" si="50"/>
        <v>DELETE</v>
      </c>
    </row>
    <row r="1279" spans="2:18" ht="31.5" customHeight="1" x14ac:dyDescent="0.45">
      <c r="B1279" s="323"/>
      <c r="D1279" s="473" t="s">
        <v>556</v>
      </c>
      <c r="G1279" s="295"/>
      <c r="H1279" s="335">
        <f>Criteria!F225</f>
        <v>0</v>
      </c>
      <c r="I1279" s="327"/>
      <c r="J1279" s="327">
        <f>Criteria!G225</f>
        <v>0</v>
      </c>
      <c r="K1279" s="327">
        <f>Criteria!H225</f>
        <v>0</v>
      </c>
      <c r="L1279" s="327"/>
      <c r="M1279" s="327">
        <f>Criteria!I225</f>
        <v>0</v>
      </c>
      <c r="N1279" s="327"/>
      <c r="O1279" s="336">
        <f>SUM(H1279:M1279)</f>
        <v>0</v>
      </c>
      <c r="P1279" s="406"/>
      <c r="Q1279" s="442"/>
      <c r="R1279" s="403" t="str">
        <f t="shared" si="50"/>
        <v>DELETE</v>
      </c>
    </row>
    <row r="1280" spans="2:18" ht="9" customHeight="1" x14ac:dyDescent="0.45">
      <c r="B1280" s="323"/>
      <c r="G1280" s="295"/>
      <c r="H1280" s="337"/>
      <c r="I1280" s="328"/>
      <c r="J1280" s="328"/>
      <c r="K1280" s="328"/>
      <c r="L1280" s="328"/>
      <c r="M1280" s="328"/>
      <c r="N1280" s="328"/>
      <c r="O1280" s="338"/>
      <c r="P1280" s="406"/>
      <c r="Q1280" s="442"/>
      <c r="R1280" s="403" t="str">
        <f t="shared" si="50"/>
        <v>DELETE</v>
      </c>
    </row>
    <row r="1281" spans="2:18" ht="9" customHeight="1" x14ac:dyDescent="0.45">
      <c r="B1281" s="323"/>
      <c r="Q1281" s="442"/>
      <c r="R1281" s="403" t="str">
        <f t="shared" si="50"/>
        <v>DELETE</v>
      </c>
    </row>
    <row r="1282" spans="2:18" ht="31.5" customHeight="1" x14ac:dyDescent="0.45">
      <c r="B1282" s="323"/>
      <c r="Q1282" s="442"/>
      <c r="R1282" s="403" t="str">
        <f t="shared" si="50"/>
        <v>DELETE</v>
      </c>
    </row>
    <row r="1283" spans="2:18" ht="31.5" customHeight="1" x14ac:dyDescent="0.45">
      <c r="B1283" s="323"/>
      <c r="Q1283" s="442"/>
      <c r="R1283" s="403" t="str">
        <f t="shared" si="50"/>
        <v>DELETE</v>
      </c>
    </row>
    <row r="1284" spans="2:18" ht="31.5" customHeight="1" x14ac:dyDescent="0.45">
      <c r="B1284" s="324"/>
      <c r="C1284" s="429"/>
      <c r="D1284" s="429"/>
      <c r="E1284" s="429"/>
      <c r="F1284" s="429"/>
      <c r="G1284" s="429"/>
      <c r="H1284" s="429"/>
      <c r="I1284" s="429"/>
      <c r="J1284" s="429"/>
      <c r="K1284" s="429"/>
      <c r="L1284" s="429"/>
      <c r="M1284" s="432"/>
      <c r="N1284" s="433"/>
      <c r="O1284" s="432"/>
      <c r="P1284" s="433"/>
      <c r="Q1284" s="446"/>
      <c r="R1284" s="403" t="str">
        <f t="shared" si="50"/>
        <v>DELETE</v>
      </c>
    </row>
    <row r="1285" spans="2:18" ht="31.5" customHeight="1" x14ac:dyDescent="0.45">
      <c r="B1285" s="422"/>
      <c r="R1285" s="403" t="str">
        <f t="shared" si="50"/>
        <v>DELETE</v>
      </c>
    </row>
    <row r="1286" spans="2:18" ht="31.5" customHeight="1" x14ac:dyDescent="0.45">
      <c r="B1286" s="422"/>
      <c r="R1286" s="403" t="str">
        <f>R$1296</f>
        <v>DELETE</v>
      </c>
    </row>
    <row r="1287" spans="2:18" ht="31.5" customHeight="1" x14ac:dyDescent="0.45">
      <c r="B1287" s="422"/>
      <c r="D1287" s="417" t="str">
        <f>Criteria!E9</f>
        <v>HOLDING COMPANY 268 (PROPRIETARY) LIMITED</v>
      </c>
      <c r="O1287" s="346" t="s">
        <v>96</v>
      </c>
      <c r="Q1287" s="292">
        <f>MAX($Q$114:Q1286)+1</f>
        <v>30</v>
      </c>
      <c r="R1287" s="403" t="str">
        <f t="shared" ref="R1287:R1339" si="51">R$1296</f>
        <v>DELETE</v>
      </c>
    </row>
    <row r="1288" spans="2:18" ht="31.5" customHeight="1" x14ac:dyDescent="0.45">
      <c r="B1288" s="422"/>
      <c r="D1288" s="417" t="str">
        <f>Criteria!E10</f>
        <v>CONSOLIDATED FINANCIAL STATEMENTS</v>
      </c>
      <c r="R1288" s="403" t="str">
        <f>IF(R$1296="DELETE","DELETE",IF(D1288=0,"DELETE"," "))</f>
        <v>DELETE</v>
      </c>
    </row>
    <row r="1289" spans="2:18" ht="31.5" customHeight="1" x14ac:dyDescent="0.45">
      <c r="B1289" s="422"/>
      <c r="R1289" s="403" t="str">
        <f t="shared" si="51"/>
        <v>DELETE</v>
      </c>
    </row>
    <row r="1290" spans="2:18" ht="31.5" customHeight="1" x14ac:dyDescent="0.45">
      <c r="B1290" s="422"/>
      <c r="D1290" s="417" t="s">
        <v>377</v>
      </c>
      <c r="R1290" s="403" t="str">
        <f t="shared" si="51"/>
        <v>DELETE</v>
      </c>
    </row>
    <row r="1291" spans="2:18" ht="31.5" customHeight="1" x14ac:dyDescent="0.45">
      <c r="B1291" s="422"/>
      <c r="D1291" s="417" t="str">
        <f>Criteria!E20</f>
        <v>29 FEBRUARY 2024</v>
      </c>
      <c r="J1291" s="400" t="s">
        <v>247</v>
      </c>
      <c r="R1291" s="403" t="str">
        <f t="shared" si="51"/>
        <v>DELETE</v>
      </c>
    </row>
    <row r="1292" spans="2:18" ht="31.5" customHeight="1" x14ac:dyDescent="0.45">
      <c r="B1292" s="422"/>
      <c r="R1292" s="403" t="str">
        <f t="shared" si="51"/>
        <v>DELETE</v>
      </c>
    </row>
    <row r="1293" spans="2:18" ht="31.5" customHeight="1" x14ac:dyDescent="0.45">
      <c r="B1293" s="457"/>
      <c r="C1293" s="439"/>
      <c r="D1293" s="439"/>
      <c r="E1293" s="439"/>
      <c r="F1293" s="439"/>
      <c r="G1293" s="439"/>
      <c r="H1293" s="439"/>
      <c r="I1293" s="439"/>
      <c r="J1293" s="439"/>
      <c r="K1293" s="439"/>
      <c r="L1293" s="439"/>
      <c r="M1293" s="447"/>
      <c r="N1293" s="448"/>
      <c r="O1293" s="447"/>
      <c r="P1293" s="448"/>
      <c r="Q1293" s="440"/>
      <c r="R1293" s="403" t="str">
        <f t="shared" si="51"/>
        <v>DELETE</v>
      </c>
    </row>
    <row r="1294" spans="2:18" ht="31.5" customHeight="1" x14ac:dyDescent="0.45">
      <c r="B1294" s="459"/>
      <c r="M1294" s="344">
        <f>Criteria!E22</f>
        <v>2024</v>
      </c>
      <c r="N1294" s="294"/>
      <c r="O1294" s="344">
        <f>Criteria!E27</f>
        <v>2023</v>
      </c>
      <c r="P1294" s="425"/>
      <c r="Q1294" s="442"/>
      <c r="R1294" s="403" t="str">
        <f t="shared" si="51"/>
        <v>DELETE</v>
      </c>
    </row>
    <row r="1295" spans="2:18" ht="31.5" customHeight="1" x14ac:dyDescent="0.45">
      <c r="B1295" s="459"/>
      <c r="M1295" s="424"/>
      <c r="N1295" s="425"/>
      <c r="O1295" s="424"/>
      <c r="P1295" s="425"/>
      <c r="Q1295" s="442"/>
      <c r="R1295" s="403" t="str">
        <f t="shared" si="51"/>
        <v>DELETE</v>
      </c>
    </row>
    <row r="1296" spans="2:18" ht="31.5" customHeight="1" x14ac:dyDescent="0.45">
      <c r="B1296" s="323">
        <f>MAX(B$559:B1295)+1</f>
        <v>10</v>
      </c>
      <c r="C1296" s="417" t="s">
        <v>961</v>
      </c>
      <c r="M1296" s="424"/>
      <c r="N1296" s="425"/>
      <c r="O1296" s="424"/>
      <c r="P1296" s="425"/>
      <c r="Q1296" s="442"/>
      <c r="R1296" s="403" t="str">
        <f>IF(TrialBalance!N240+TrialBalance!N241+TrialBalance!N243+TrialBalance!L240+TrialBalance!L241+TrialBalance!L243=0,"DELETE"," ")</f>
        <v>DELETE</v>
      </c>
    </row>
    <row r="1297" spans="2:22" ht="31.5" customHeight="1" x14ac:dyDescent="0.45">
      <c r="B1297" s="459"/>
      <c r="C1297" s="466"/>
      <c r="D1297" s="400" t="s">
        <v>1055</v>
      </c>
      <c r="H1297" s="405"/>
      <c r="J1297" s="405"/>
      <c r="K1297" s="471"/>
      <c r="M1297" s="347">
        <f>M1300+M1301</f>
        <v>0</v>
      </c>
      <c r="N1297" s="298"/>
      <c r="O1297" s="347">
        <f>O1300+O1301</f>
        <v>0</v>
      </c>
      <c r="P1297" s="425"/>
      <c r="Q1297" s="442"/>
      <c r="R1297" s="403" t="str">
        <f t="shared" si="51"/>
        <v>DELETE</v>
      </c>
      <c r="V1297" s="378" t="b">
        <f>M1297=O1326</f>
        <v>1</v>
      </c>
    </row>
    <row r="1298" spans="2:22" ht="9" customHeight="1" x14ac:dyDescent="0.45">
      <c r="B1298" s="459"/>
      <c r="C1298" s="466"/>
      <c r="M1298" s="347"/>
      <c r="N1298" s="298"/>
      <c r="O1298" s="347"/>
      <c r="P1298" s="425"/>
      <c r="Q1298" s="442"/>
      <c r="R1298" s="403" t="str">
        <f t="shared" si="51"/>
        <v>DELETE</v>
      </c>
    </row>
    <row r="1299" spans="2:22" ht="9" customHeight="1" x14ac:dyDescent="0.45">
      <c r="B1299" s="459"/>
      <c r="C1299" s="466"/>
      <c r="M1299" s="353"/>
      <c r="N1299" s="299"/>
      <c r="O1299" s="366"/>
      <c r="P1299" s="425"/>
      <c r="Q1299" s="442"/>
      <c r="R1299" s="403" t="str">
        <f t="shared" si="51"/>
        <v>DELETE</v>
      </c>
    </row>
    <row r="1300" spans="2:22" ht="31.5" customHeight="1" x14ac:dyDescent="0.45">
      <c r="B1300" s="459"/>
      <c r="C1300" s="466"/>
      <c r="D1300" s="400" t="s">
        <v>383</v>
      </c>
      <c r="M1300" s="354">
        <f>TrialBalance!L240</f>
        <v>0</v>
      </c>
      <c r="N1300" s="314"/>
      <c r="O1300" s="367">
        <f>TrialBalance!N240</f>
        <v>0</v>
      </c>
      <c r="P1300" s="425"/>
      <c r="Q1300" s="442"/>
      <c r="R1300" s="403" t="str">
        <f t="shared" si="51"/>
        <v>DELETE</v>
      </c>
      <c r="S1300" s="380">
        <f>M1300</f>
        <v>0</v>
      </c>
      <c r="U1300" s="380">
        <f>O1300</f>
        <v>0</v>
      </c>
      <c r="V1300" s="378" t="b">
        <f>M1300=O1330</f>
        <v>1</v>
      </c>
    </row>
    <row r="1301" spans="2:22" ht="31.5" customHeight="1" x14ac:dyDescent="0.45">
      <c r="B1301" s="459"/>
      <c r="C1301" s="466"/>
      <c r="D1301" s="400" t="s">
        <v>1089</v>
      </c>
      <c r="M1301" s="354">
        <f>TrialBalance!L246</f>
        <v>0</v>
      </c>
      <c r="N1301" s="314"/>
      <c r="O1301" s="367">
        <f>TrialBalance!N246</f>
        <v>0</v>
      </c>
      <c r="P1301" s="425"/>
      <c r="Q1301" s="442"/>
      <c r="R1301" s="403" t="str">
        <f t="shared" si="51"/>
        <v>DELETE</v>
      </c>
      <c r="S1301" s="380">
        <f>M1301</f>
        <v>0</v>
      </c>
      <c r="U1301" s="380">
        <f>O1301</f>
        <v>0</v>
      </c>
      <c r="V1301" s="378" t="b">
        <f>M1301=O1331</f>
        <v>1</v>
      </c>
    </row>
    <row r="1302" spans="2:22" ht="9" customHeight="1" x14ac:dyDescent="0.45">
      <c r="B1302" s="459"/>
      <c r="C1302" s="466"/>
      <c r="M1302" s="355"/>
      <c r="N1302" s="300"/>
      <c r="O1302" s="368"/>
      <c r="P1302" s="425"/>
      <c r="Q1302" s="442"/>
      <c r="R1302" s="403" t="str">
        <f t="shared" si="51"/>
        <v>DELETE</v>
      </c>
    </row>
    <row r="1303" spans="2:22" ht="9" customHeight="1" x14ac:dyDescent="0.45">
      <c r="B1303" s="459"/>
      <c r="C1303" s="466"/>
      <c r="M1303" s="347"/>
      <c r="N1303" s="298"/>
      <c r="O1303" s="347"/>
      <c r="P1303" s="425"/>
      <c r="Q1303" s="442"/>
      <c r="R1303" s="403" t="str">
        <f t="shared" si="51"/>
        <v>DELETE</v>
      </c>
    </row>
    <row r="1304" spans="2:22" ht="31.5" customHeight="1" x14ac:dyDescent="0.45">
      <c r="B1304" s="459"/>
      <c r="C1304" s="466"/>
      <c r="D1304" s="400" t="s">
        <v>384</v>
      </c>
      <c r="M1304" s="347">
        <f>TrialBalance!L241</f>
        <v>0</v>
      </c>
      <c r="N1304" s="298"/>
      <c r="O1304" s="347">
        <f>TrialBalance!N241</f>
        <v>0</v>
      </c>
      <c r="P1304" s="425"/>
      <c r="Q1304" s="442"/>
      <c r="R1304" s="403" t="str">
        <f t="shared" si="51"/>
        <v>DELETE</v>
      </c>
      <c r="S1304" s="380">
        <f>M1304</f>
        <v>0</v>
      </c>
      <c r="U1304" s="380">
        <f>O1304</f>
        <v>0</v>
      </c>
    </row>
    <row r="1305" spans="2:22" ht="9" customHeight="1" x14ac:dyDescent="0.45">
      <c r="B1305" s="459"/>
      <c r="C1305" s="466"/>
      <c r="M1305" s="349"/>
      <c r="N1305" s="300"/>
      <c r="O1305" s="349"/>
      <c r="P1305" s="425"/>
      <c r="Q1305" s="442"/>
      <c r="R1305" s="403" t="str">
        <f t="shared" si="51"/>
        <v>DELETE</v>
      </c>
    </row>
    <row r="1306" spans="2:22" ht="9" customHeight="1" x14ac:dyDescent="0.45">
      <c r="B1306" s="459"/>
      <c r="C1306" s="466"/>
      <c r="M1306" s="347"/>
      <c r="N1306" s="298"/>
      <c r="O1306" s="347"/>
      <c r="P1306" s="425"/>
      <c r="Q1306" s="442"/>
      <c r="R1306" s="403" t="str">
        <f t="shared" si="51"/>
        <v>DELETE</v>
      </c>
    </row>
    <row r="1307" spans="2:22" ht="31.5" customHeight="1" x14ac:dyDescent="0.45">
      <c r="B1307" s="459"/>
      <c r="C1307" s="466"/>
      <c r="M1307" s="347">
        <f>M1297+M1304</f>
        <v>0</v>
      </c>
      <c r="N1307" s="298"/>
      <c r="O1307" s="347">
        <f>O1297+O1304</f>
        <v>0</v>
      </c>
      <c r="P1307" s="425"/>
      <c r="Q1307" s="442"/>
      <c r="R1307" s="403" t="str">
        <f t="shared" si="51"/>
        <v>DELETE</v>
      </c>
    </row>
    <row r="1308" spans="2:22" ht="31.5" customHeight="1" x14ac:dyDescent="0.45">
      <c r="B1308" s="459"/>
      <c r="C1308" s="466"/>
      <c r="D1308" s="400" t="s">
        <v>1090</v>
      </c>
      <c r="M1308" s="347">
        <f>TrialBalance!L243</f>
        <v>0</v>
      </c>
      <c r="N1308" s="298"/>
      <c r="O1308" s="347">
        <f>TrialBalance!N243</f>
        <v>0</v>
      </c>
      <c r="P1308" s="425"/>
      <c r="Q1308" s="442"/>
      <c r="R1308" s="403" t="str">
        <f>IF(M1308+O1308=0,"DELETE"," ")</f>
        <v>DELETE</v>
      </c>
      <c r="S1308" s="380">
        <f>M1308</f>
        <v>0</v>
      </c>
      <c r="U1308" s="380">
        <f>O1308</f>
        <v>0</v>
      </c>
    </row>
    <row r="1309" spans="2:22" ht="31.5" customHeight="1" x14ac:dyDescent="0.45">
      <c r="B1309" s="459"/>
      <c r="C1309" s="466"/>
      <c r="D1309" s="400" t="s">
        <v>1091</v>
      </c>
      <c r="M1309" s="347">
        <f>TrialBalance!L247</f>
        <v>0</v>
      </c>
      <c r="N1309" s="298"/>
      <c r="O1309" s="347">
        <f>TrialBalance!N247</f>
        <v>0</v>
      </c>
      <c r="P1309" s="425"/>
      <c r="Q1309" s="442"/>
      <c r="R1309" s="403" t="str">
        <f>IF(M1309+O1309=0,"DELETE"," ")</f>
        <v>DELETE</v>
      </c>
      <c r="S1309" s="380">
        <f>M1309</f>
        <v>0</v>
      </c>
      <c r="U1309" s="380">
        <f>O1309</f>
        <v>0</v>
      </c>
    </row>
    <row r="1310" spans="2:22" ht="31.5" customHeight="1" x14ac:dyDescent="0.45">
      <c r="B1310" s="459"/>
      <c r="C1310" s="466"/>
      <c r="D1310" s="400" t="s">
        <v>162</v>
      </c>
      <c r="M1310" s="347">
        <f>-SUM(S1312:S1315)</f>
        <v>0</v>
      </c>
      <c r="N1310" s="298"/>
      <c r="O1310" s="347">
        <f>-SUM(U1312:U1315)</f>
        <v>0</v>
      </c>
      <c r="P1310" s="425"/>
      <c r="Q1310" s="442"/>
      <c r="R1310" s="403" t="str">
        <f>IF(M1310+O1310=0,"DELETE"," ")</f>
        <v>DELETE</v>
      </c>
    </row>
    <row r="1311" spans="2:22" ht="9" customHeight="1" x14ac:dyDescent="0.45">
      <c r="B1311" s="459"/>
      <c r="C1311" s="466"/>
      <c r="M1311" s="347"/>
      <c r="N1311" s="298"/>
      <c r="O1311" s="347"/>
      <c r="P1311" s="425"/>
      <c r="Q1311" s="442"/>
      <c r="R1311" s="403" t="str">
        <f>R$1310</f>
        <v>DELETE</v>
      </c>
    </row>
    <row r="1312" spans="2:22" ht="9" customHeight="1" x14ac:dyDescent="0.45">
      <c r="B1312" s="459"/>
      <c r="C1312" s="466"/>
      <c r="M1312" s="353"/>
      <c r="N1312" s="299"/>
      <c r="O1312" s="366"/>
      <c r="P1312" s="425"/>
      <c r="Q1312" s="442"/>
      <c r="R1312" s="403" t="str">
        <f>R$1310</f>
        <v>DELETE</v>
      </c>
    </row>
    <row r="1313" spans="2:24" ht="31.5" customHeight="1" x14ac:dyDescent="0.45">
      <c r="B1313" s="459"/>
      <c r="C1313" s="466"/>
      <c r="D1313" s="400" t="s">
        <v>383</v>
      </c>
      <c r="M1313" s="354">
        <f>-TrialBalance!L242</f>
        <v>0</v>
      </c>
      <c r="N1313" s="314"/>
      <c r="O1313" s="367">
        <f>-TrialBalance!N242</f>
        <v>0</v>
      </c>
      <c r="P1313" s="425"/>
      <c r="Q1313" s="442"/>
      <c r="R1313" s="403" t="str">
        <f t="shared" ref="R1313:R1314" si="52">IF(M1313+O1313=0,"DELETE"," ")</f>
        <v>DELETE</v>
      </c>
      <c r="S1313" s="380">
        <f>-M1313</f>
        <v>0</v>
      </c>
      <c r="U1313" s="380">
        <f>-O1313</f>
        <v>0</v>
      </c>
    </row>
    <row r="1314" spans="2:24" ht="31.5" customHeight="1" x14ac:dyDescent="0.45">
      <c r="B1314" s="459"/>
      <c r="C1314" s="466"/>
      <c r="D1314" s="400" t="s">
        <v>1089</v>
      </c>
      <c r="M1314" s="354">
        <f>-TrialBalance!L248</f>
        <v>0</v>
      </c>
      <c r="N1314" s="314"/>
      <c r="O1314" s="367">
        <f>-TrialBalance!N248</f>
        <v>0</v>
      </c>
      <c r="P1314" s="425"/>
      <c r="Q1314" s="442"/>
      <c r="R1314" s="403" t="str">
        <f t="shared" si="52"/>
        <v>DELETE</v>
      </c>
      <c r="S1314" s="380">
        <f>-M1314</f>
        <v>0</v>
      </c>
      <c r="U1314" s="380">
        <f>-O1314</f>
        <v>0</v>
      </c>
    </row>
    <row r="1315" spans="2:24" ht="9" customHeight="1" x14ac:dyDescent="0.45">
      <c r="B1315" s="459"/>
      <c r="C1315" s="466"/>
      <c r="M1315" s="355"/>
      <c r="N1315" s="300"/>
      <c r="O1315" s="368"/>
      <c r="P1315" s="425"/>
      <c r="Q1315" s="442"/>
      <c r="R1315" s="403" t="str">
        <f t="shared" ref="R1315:R1316" si="53">R$1310</f>
        <v>DELETE</v>
      </c>
    </row>
    <row r="1316" spans="2:24" ht="9" customHeight="1" x14ac:dyDescent="0.45">
      <c r="B1316" s="459"/>
      <c r="C1316" s="466"/>
      <c r="M1316" s="363"/>
      <c r="N1316" s="314"/>
      <c r="O1316" s="363"/>
      <c r="P1316" s="425"/>
      <c r="Q1316" s="442"/>
      <c r="R1316" s="403" t="str">
        <f t="shared" si="53"/>
        <v>DELETE</v>
      </c>
    </row>
    <row r="1317" spans="2:24" ht="31.5" customHeight="1" x14ac:dyDescent="0.45">
      <c r="B1317" s="459"/>
      <c r="C1317" s="466"/>
      <c r="D1317" s="400" t="s">
        <v>1092</v>
      </c>
      <c r="M1317" s="347">
        <f>-SUM(S1319:S1322)</f>
        <v>0</v>
      </c>
      <c r="N1317" s="298"/>
      <c r="O1317" s="347">
        <f>-SUM(U1319:U1322)</f>
        <v>0</v>
      </c>
      <c r="P1317" s="425"/>
      <c r="Q1317" s="442"/>
      <c r="R1317" s="403" t="str">
        <f>IF(M1317+O1317=0,"DELETE"," ")</f>
        <v>DELETE</v>
      </c>
    </row>
    <row r="1318" spans="2:24" ht="9" customHeight="1" x14ac:dyDescent="0.45">
      <c r="B1318" s="459"/>
      <c r="C1318" s="466"/>
      <c r="M1318" s="347"/>
      <c r="N1318" s="298"/>
      <c r="O1318" s="347"/>
      <c r="P1318" s="425"/>
      <c r="Q1318" s="442"/>
      <c r="R1318" s="403" t="str">
        <f>R$1317</f>
        <v>DELETE</v>
      </c>
    </row>
    <row r="1319" spans="2:24" ht="9" customHeight="1" x14ac:dyDescent="0.45">
      <c r="B1319" s="459"/>
      <c r="C1319" s="466"/>
      <c r="M1319" s="353"/>
      <c r="N1319" s="299"/>
      <c r="O1319" s="366"/>
      <c r="P1319" s="425"/>
      <c r="Q1319" s="442"/>
      <c r="R1319" s="403" t="str">
        <f>R$1317</f>
        <v>DELETE</v>
      </c>
    </row>
    <row r="1320" spans="2:24" ht="31.5" customHeight="1" x14ac:dyDescent="0.45">
      <c r="B1320" s="459"/>
      <c r="C1320" s="466"/>
      <c r="D1320" s="400" t="s">
        <v>383</v>
      </c>
      <c r="M1320" s="354">
        <f>-TrialBalance!L244</f>
        <v>0</v>
      </c>
      <c r="N1320" s="314"/>
      <c r="O1320" s="367">
        <f>-TrialBalance!N244</f>
        <v>0</v>
      </c>
      <c r="P1320" s="425"/>
      <c r="Q1320" s="442"/>
      <c r="R1320" s="403" t="str">
        <f t="shared" ref="R1320:R1321" si="54">IF(M1320+O1320=0,"DELETE"," ")</f>
        <v>DELETE</v>
      </c>
      <c r="S1320" s="380">
        <f>-M1320</f>
        <v>0</v>
      </c>
      <c r="U1320" s="380">
        <f>-O1320</f>
        <v>0</v>
      </c>
    </row>
    <row r="1321" spans="2:24" ht="31.5" customHeight="1" x14ac:dyDescent="0.45">
      <c r="B1321" s="459"/>
      <c r="C1321" s="466"/>
      <c r="D1321" s="400" t="s">
        <v>1089</v>
      </c>
      <c r="M1321" s="354">
        <f>-TrialBalance!L249</f>
        <v>0</v>
      </c>
      <c r="N1321" s="314"/>
      <c r="O1321" s="367">
        <f>-TrialBalance!N249</f>
        <v>0</v>
      </c>
      <c r="P1321" s="425"/>
      <c r="Q1321" s="442"/>
      <c r="R1321" s="403" t="str">
        <f t="shared" si="54"/>
        <v>DELETE</v>
      </c>
      <c r="S1321" s="380">
        <f>-M1321</f>
        <v>0</v>
      </c>
      <c r="U1321" s="380">
        <f>-O1321</f>
        <v>0</v>
      </c>
    </row>
    <row r="1322" spans="2:24" ht="9" customHeight="1" x14ac:dyDescent="0.45">
      <c r="B1322" s="459"/>
      <c r="C1322" s="466"/>
      <c r="M1322" s="355"/>
      <c r="N1322" s="300"/>
      <c r="O1322" s="368"/>
      <c r="P1322" s="425"/>
      <c r="Q1322" s="442"/>
      <c r="R1322" s="403" t="str">
        <f t="shared" ref="R1322:R1323" si="55">R$1317</f>
        <v>DELETE</v>
      </c>
    </row>
    <row r="1323" spans="2:24" ht="9" customHeight="1" x14ac:dyDescent="0.45">
      <c r="B1323" s="459"/>
      <c r="C1323" s="466"/>
      <c r="M1323" s="363"/>
      <c r="N1323" s="314"/>
      <c r="O1323" s="363"/>
      <c r="P1323" s="425"/>
      <c r="Q1323" s="442"/>
      <c r="R1323" s="403" t="str">
        <f t="shared" si="55"/>
        <v>DELETE</v>
      </c>
    </row>
    <row r="1324" spans="2:24" ht="9" customHeight="1" x14ac:dyDescent="0.45">
      <c r="B1324" s="459"/>
      <c r="C1324" s="466"/>
      <c r="M1324" s="349"/>
      <c r="N1324" s="300"/>
      <c r="O1324" s="349"/>
      <c r="P1324" s="425"/>
      <c r="Q1324" s="442"/>
      <c r="R1324" s="403" t="str">
        <f t="shared" si="51"/>
        <v>DELETE</v>
      </c>
    </row>
    <row r="1325" spans="2:24" ht="9" customHeight="1" x14ac:dyDescent="0.45">
      <c r="B1325" s="459"/>
      <c r="C1325" s="466"/>
      <c r="M1325" s="363"/>
      <c r="N1325" s="314"/>
      <c r="O1325" s="363"/>
      <c r="P1325" s="425"/>
      <c r="Q1325" s="442"/>
      <c r="R1325" s="403" t="str">
        <f t="shared" si="51"/>
        <v>DELETE</v>
      </c>
    </row>
    <row r="1326" spans="2:24" ht="31.5" customHeight="1" x14ac:dyDescent="0.45">
      <c r="B1326" s="459"/>
      <c r="C1326" s="466"/>
      <c r="D1326" s="400" t="s">
        <v>1060</v>
      </c>
      <c r="K1326" s="472"/>
      <c r="M1326" s="347">
        <f>SUM(S1299:S1322)</f>
        <v>0</v>
      </c>
      <c r="N1326" s="298"/>
      <c r="O1326" s="347">
        <f>SUM(U1299:U1322)</f>
        <v>0</v>
      </c>
      <c r="P1326" s="425"/>
      <c r="Q1326" s="442"/>
      <c r="R1326" s="403" t="str">
        <f t="shared" si="51"/>
        <v>DELETE</v>
      </c>
      <c r="V1326" s="378" t="b">
        <f>M1326=M1330+M1331</f>
        <v>1</v>
      </c>
      <c r="X1326" s="378" t="b">
        <f>O1326=O1330+O1331</f>
        <v>1</v>
      </c>
    </row>
    <row r="1327" spans="2:24" ht="9" customHeight="1" thickBot="1" x14ac:dyDescent="0.5">
      <c r="B1327" s="459"/>
      <c r="C1327" s="466"/>
      <c r="M1327" s="351"/>
      <c r="N1327" s="301"/>
      <c r="O1327" s="351"/>
      <c r="P1327" s="425"/>
      <c r="Q1327" s="442"/>
      <c r="R1327" s="403" t="str">
        <f t="shared" si="51"/>
        <v>DELETE</v>
      </c>
    </row>
    <row r="1328" spans="2:24" ht="9" customHeight="1" thickTop="1" x14ac:dyDescent="0.45">
      <c r="B1328" s="459"/>
      <c r="C1328" s="466"/>
      <c r="M1328" s="347"/>
      <c r="N1328" s="298"/>
      <c r="O1328" s="347"/>
      <c r="P1328" s="425"/>
      <c r="Q1328" s="442"/>
      <c r="R1328" s="403" t="str">
        <f t="shared" si="51"/>
        <v>DELETE</v>
      </c>
    </row>
    <row r="1329" spans="2:18" ht="9" customHeight="1" x14ac:dyDescent="0.45">
      <c r="B1329" s="459"/>
      <c r="C1329" s="466"/>
      <c r="M1329" s="353"/>
      <c r="N1329" s="299"/>
      <c r="O1329" s="366"/>
      <c r="P1329" s="425"/>
      <c r="Q1329" s="442"/>
      <c r="R1329" s="403" t="str">
        <f t="shared" si="51"/>
        <v>DELETE</v>
      </c>
    </row>
    <row r="1330" spans="2:18" ht="31.5" customHeight="1" x14ac:dyDescent="0.45">
      <c r="B1330" s="459"/>
      <c r="C1330" s="466"/>
      <c r="D1330" s="400" t="s">
        <v>383</v>
      </c>
      <c r="M1330" s="354">
        <f>SUM(TrialBalance!L240:L244)</f>
        <v>0</v>
      </c>
      <c r="N1330" s="314"/>
      <c r="O1330" s="367">
        <f>SUM(TrialBalance!N240:N244)</f>
        <v>0</v>
      </c>
      <c r="P1330" s="425"/>
      <c r="Q1330" s="442"/>
      <c r="R1330" s="403" t="str">
        <f t="shared" si="51"/>
        <v>DELETE</v>
      </c>
    </row>
    <row r="1331" spans="2:18" ht="31.5" customHeight="1" x14ac:dyDescent="0.45">
      <c r="B1331" s="459"/>
      <c r="C1331" s="466"/>
      <c r="D1331" s="400" t="s">
        <v>1089</v>
      </c>
      <c r="M1331" s="354">
        <f>SUM(TrialBalance!L246:L249)</f>
        <v>0</v>
      </c>
      <c r="N1331" s="314"/>
      <c r="O1331" s="367">
        <f>SUM(TrialBalance!N246:N249)</f>
        <v>0</v>
      </c>
      <c r="P1331" s="425"/>
      <c r="Q1331" s="442"/>
      <c r="R1331" s="403" t="str">
        <f t="shared" si="51"/>
        <v>DELETE</v>
      </c>
    </row>
    <row r="1332" spans="2:18" ht="9" customHeight="1" x14ac:dyDescent="0.45">
      <c r="B1332" s="459"/>
      <c r="C1332" s="466"/>
      <c r="M1332" s="355"/>
      <c r="N1332" s="300"/>
      <c r="O1332" s="368"/>
      <c r="P1332" s="425"/>
      <c r="Q1332" s="442"/>
      <c r="R1332" s="403" t="str">
        <f t="shared" si="51"/>
        <v>DELETE</v>
      </c>
    </row>
    <row r="1333" spans="2:18" ht="9" customHeight="1" x14ac:dyDescent="0.45">
      <c r="B1333" s="459"/>
      <c r="C1333" s="466"/>
      <c r="M1333" s="347"/>
      <c r="N1333" s="298"/>
      <c r="O1333" s="347"/>
      <c r="P1333" s="425"/>
      <c r="Q1333" s="442"/>
      <c r="R1333" s="403" t="str">
        <f t="shared" si="51"/>
        <v>DELETE</v>
      </c>
    </row>
    <row r="1334" spans="2:18" ht="31.5" customHeight="1" x14ac:dyDescent="0.45">
      <c r="B1334" s="459"/>
      <c r="M1334" s="424"/>
      <c r="N1334" s="425"/>
      <c r="O1334" s="424"/>
      <c r="P1334" s="425"/>
      <c r="Q1334" s="442"/>
      <c r="R1334" s="403" t="str">
        <f t="shared" si="51"/>
        <v>DELETE</v>
      </c>
    </row>
    <row r="1335" spans="2:18" ht="31.5" customHeight="1" x14ac:dyDescent="0.45">
      <c r="B1335" s="459"/>
      <c r="D1335" s="400" t="str">
        <f>IF(SUM(TrialBalance!L240:L244)=0," ",IF(Criteria!F119="Yes",CONCATENATE("Investment property is pledged as security - See note ",FS!B1797)," "))</f>
        <v xml:space="preserve"> </v>
      </c>
      <c r="M1335" s="424"/>
      <c r="N1335" s="425"/>
      <c r="O1335" s="424"/>
      <c r="P1335" s="425"/>
      <c r="Q1335" s="442"/>
      <c r="R1335" s="403" t="str">
        <f>IF(R$1296="DELETE","DELETE",IF(D1335=" ","DELETE"," "))</f>
        <v>DELETE</v>
      </c>
    </row>
    <row r="1336" spans="2:18" ht="31.5" customHeight="1" x14ac:dyDescent="0.45">
      <c r="B1336" s="459"/>
      <c r="M1336" s="424"/>
      <c r="N1336" s="425"/>
      <c r="O1336" s="424"/>
      <c r="P1336" s="425"/>
      <c r="Q1336" s="442"/>
      <c r="R1336" s="403" t="str">
        <f t="shared" si="51"/>
        <v>DELETE</v>
      </c>
    </row>
    <row r="1337" spans="2:18" ht="31.5" customHeight="1" x14ac:dyDescent="0.45">
      <c r="B1337" s="459"/>
      <c r="M1337" s="424"/>
      <c r="N1337" s="425"/>
      <c r="O1337" s="424"/>
      <c r="P1337" s="425"/>
      <c r="Q1337" s="442"/>
      <c r="R1337" s="403" t="str">
        <f t="shared" si="51"/>
        <v>DELETE</v>
      </c>
    </row>
    <row r="1338" spans="2:18" ht="31.5" customHeight="1" x14ac:dyDescent="0.45">
      <c r="B1338" s="455"/>
      <c r="C1338" s="429"/>
      <c r="D1338" s="429"/>
      <c r="E1338" s="429"/>
      <c r="F1338" s="429"/>
      <c r="G1338" s="429"/>
      <c r="H1338" s="429"/>
      <c r="I1338" s="429"/>
      <c r="J1338" s="429"/>
      <c r="K1338" s="429"/>
      <c r="L1338" s="429"/>
      <c r="M1338" s="432"/>
      <c r="N1338" s="433"/>
      <c r="O1338" s="432"/>
      <c r="P1338" s="433"/>
      <c r="Q1338" s="446"/>
      <c r="R1338" s="403" t="str">
        <f t="shared" si="51"/>
        <v>DELETE</v>
      </c>
    </row>
    <row r="1339" spans="2:18" ht="31.5" customHeight="1" x14ac:dyDescent="0.45">
      <c r="B1339" s="422"/>
      <c r="R1339" s="403" t="str">
        <f t="shared" si="51"/>
        <v>DELETE</v>
      </c>
    </row>
    <row r="1340" spans="2:18" ht="31.5" customHeight="1" x14ac:dyDescent="0.45">
      <c r="B1340" s="422"/>
      <c r="R1340" s="403" t="str">
        <f t="shared" ref="R1340:R1351" si="56">R$1392</f>
        <v>DELETE</v>
      </c>
    </row>
    <row r="1341" spans="2:18" ht="31.5" customHeight="1" x14ac:dyDescent="0.45">
      <c r="B1341" s="422"/>
      <c r="D1341" s="417" t="str">
        <f>Criteria!E9</f>
        <v>HOLDING COMPANY 268 (PROPRIETARY) LIMITED</v>
      </c>
      <c r="O1341" s="346" t="s">
        <v>96</v>
      </c>
      <c r="Q1341" s="292">
        <f>MAX($Q$114:Q1340)+1</f>
        <v>31</v>
      </c>
      <c r="R1341" s="403" t="str">
        <f t="shared" si="56"/>
        <v>DELETE</v>
      </c>
    </row>
    <row r="1342" spans="2:18" ht="31.5" customHeight="1" x14ac:dyDescent="0.45">
      <c r="B1342" s="422"/>
      <c r="D1342" s="417" t="str">
        <f>Criteria!E10</f>
        <v>CONSOLIDATED FINANCIAL STATEMENTS</v>
      </c>
      <c r="R1342" s="403" t="str">
        <f>IF(R$1392="DELETE","DELETE",IF(D1342=0,"DELETE"," "))</f>
        <v>DELETE</v>
      </c>
    </row>
    <row r="1343" spans="2:18" ht="31.5" customHeight="1" x14ac:dyDescent="0.45">
      <c r="B1343" s="422"/>
      <c r="R1343" s="403" t="str">
        <f t="shared" si="56"/>
        <v>DELETE</v>
      </c>
    </row>
    <row r="1344" spans="2:18" ht="31.5" customHeight="1" x14ac:dyDescent="0.45">
      <c r="B1344" s="422"/>
      <c r="D1344" s="417" t="s">
        <v>377</v>
      </c>
      <c r="R1344" s="403" t="str">
        <f t="shared" si="56"/>
        <v>DELETE</v>
      </c>
    </row>
    <row r="1345" spans="2:18" ht="31.5" customHeight="1" x14ac:dyDescent="0.45">
      <c r="B1345" s="422"/>
      <c r="D1345" s="417" t="str">
        <f>Criteria!E20</f>
        <v>29 FEBRUARY 2024</v>
      </c>
      <c r="J1345" s="400" t="s">
        <v>247</v>
      </c>
      <c r="R1345" s="403" t="str">
        <f t="shared" si="56"/>
        <v>DELETE</v>
      </c>
    </row>
    <row r="1346" spans="2:18" ht="31.5" customHeight="1" x14ac:dyDescent="0.45">
      <c r="B1346" s="422"/>
      <c r="R1346" s="403" t="str">
        <f t="shared" si="56"/>
        <v>DELETE</v>
      </c>
    </row>
    <row r="1347" spans="2:18" ht="31.5" customHeight="1" x14ac:dyDescent="0.45">
      <c r="B1347" s="457"/>
      <c r="C1347" s="439"/>
      <c r="D1347" s="439"/>
      <c r="E1347" s="439"/>
      <c r="F1347" s="439"/>
      <c r="G1347" s="439"/>
      <c r="H1347" s="439"/>
      <c r="I1347" s="439"/>
      <c r="J1347" s="439"/>
      <c r="K1347" s="439"/>
      <c r="L1347" s="439"/>
      <c r="M1347" s="447"/>
      <c r="N1347" s="448"/>
      <c r="O1347" s="447"/>
      <c r="P1347" s="448"/>
      <c r="Q1347" s="440"/>
      <c r="R1347" s="403" t="str">
        <f t="shared" si="56"/>
        <v>DELETE</v>
      </c>
    </row>
    <row r="1348" spans="2:18" ht="31.5" customHeight="1" x14ac:dyDescent="0.45">
      <c r="B1348" s="459"/>
      <c r="M1348" s="344">
        <f>Criteria!E22</f>
        <v>2024</v>
      </c>
      <c r="N1348" s="294"/>
      <c r="O1348" s="344">
        <f>Criteria!E27</f>
        <v>2023</v>
      </c>
      <c r="P1348" s="425"/>
      <c r="Q1348" s="442"/>
      <c r="R1348" s="403" t="str">
        <f t="shared" si="56"/>
        <v>DELETE</v>
      </c>
    </row>
    <row r="1349" spans="2:18" ht="31.5" customHeight="1" x14ac:dyDescent="0.45">
      <c r="B1349" s="459"/>
      <c r="M1349" s="424"/>
      <c r="N1349" s="425"/>
      <c r="O1349" s="424"/>
      <c r="P1349" s="425"/>
      <c r="Q1349" s="442"/>
      <c r="R1349" s="403" t="str">
        <f t="shared" si="56"/>
        <v>DELETE</v>
      </c>
    </row>
    <row r="1350" spans="2:18" ht="31.5" customHeight="1" x14ac:dyDescent="0.45">
      <c r="B1350" s="459"/>
      <c r="C1350" s="400" t="s">
        <v>1203</v>
      </c>
      <c r="M1350" s="424"/>
      <c r="N1350" s="425"/>
      <c r="O1350" s="424"/>
      <c r="P1350" s="425"/>
      <c r="Q1350" s="442"/>
      <c r="R1350" s="403" t="str">
        <f t="shared" si="56"/>
        <v>DELETE</v>
      </c>
    </row>
    <row r="1351" spans="2:18" ht="31.5" customHeight="1" x14ac:dyDescent="0.45">
      <c r="B1351" s="459"/>
      <c r="M1351" s="424"/>
      <c r="N1351" s="425"/>
      <c r="O1351" s="424"/>
      <c r="P1351" s="425"/>
      <c r="Q1351" s="442"/>
      <c r="R1351" s="403" t="str">
        <f t="shared" si="56"/>
        <v>DELETE</v>
      </c>
    </row>
    <row r="1352" spans="2:18" ht="31.5" customHeight="1" x14ac:dyDescent="0.45">
      <c r="B1352" s="459"/>
      <c r="D1352" s="400">
        <f>Criteria!C166</f>
        <v>0</v>
      </c>
      <c r="M1352" s="436">
        <f>Criteria!F166</f>
        <v>0</v>
      </c>
      <c r="N1352" s="460"/>
      <c r="O1352" s="436">
        <f>Criteria!G166</f>
        <v>0</v>
      </c>
      <c r="P1352" s="425"/>
      <c r="Q1352" s="442"/>
      <c r="R1352" s="403" t="str">
        <f t="shared" ref="R1352:R1389" si="57">IF(M1352=0,IF(O1352=0,"DELETE"," ")," ")</f>
        <v>DELETE</v>
      </c>
    </row>
    <row r="1353" spans="2:18" ht="31.5" customHeight="1" x14ac:dyDescent="0.45">
      <c r="B1353" s="459"/>
      <c r="D1353" s="400">
        <f>Criteria!C167</f>
        <v>0</v>
      </c>
      <c r="M1353" s="436">
        <f>Criteria!F167</f>
        <v>0</v>
      </c>
      <c r="N1353" s="460"/>
      <c r="O1353" s="436">
        <f>Criteria!G167</f>
        <v>0</v>
      </c>
      <c r="P1353" s="425"/>
      <c r="Q1353" s="442"/>
      <c r="R1353" s="403" t="str">
        <f t="shared" si="57"/>
        <v>DELETE</v>
      </c>
    </row>
    <row r="1354" spans="2:18" ht="31.5" customHeight="1" x14ac:dyDescent="0.45">
      <c r="B1354" s="459"/>
      <c r="D1354" s="400">
        <f>Criteria!C168</f>
        <v>0</v>
      </c>
      <c r="M1354" s="436">
        <f>Criteria!F168</f>
        <v>0</v>
      </c>
      <c r="N1354" s="460"/>
      <c r="O1354" s="436">
        <f>Criteria!G168</f>
        <v>0</v>
      </c>
      <c r="P1354" s="425"/>
      <c r="Q1354" s="442"/>
      <c r="R1354" s="403" t="str">
        <f t="shared" si="57"/>
        <v>DELETE</v>
      </c>
    </row>
    <row r="1355" spans="2:18" ht="31.5" customHeight="1" x14ac:dyDescent="0.45">
      <c r="B1355" s="459"/>
      <c r="D1355" s="400">
        <f>Criteria!C169</f>
        <v>0</v>
      </c>
      <c r="M1355" s="436">
        <f>Criteria!F169</f>
        <v>0</v>
      </c>
      <c r="N1355" s="460"/>
      <c r="O1355" s="436">
        <f>Criteria!G169</f>
        <v>0</v>
      </c>
      <c r="P1355" s="425"/>
      <c r="Q1355" s="442"/>
      <c r="R1355" s="403" t="str">
        <f t="shared" si="57"/>
        <v>DELETE</v>
      </c>
    </row>
    <row r="1356" spans="2:18" ht="31.5" customHeight="1" x14ac:dyDescent="0.45">
      <c r="B1356" s="459"/>
      <c r="D1356" s="400">
        <f>Criteria!C170</f>
        <v>0</v>
      </c>
      <c r="M1356" s="436">
        <f>Criteria!F170</f>
        <v>0</v>
      </c>
      <c r="N1356" s="460"/>
      <c r="O1356" s="436">
        <f>Criteria!G170</f>
        <v>0</v>
      </c>
      <c r="P1356" s="425"/>
      <c r="Q1356" s="442"/>
      <c r="R1356" s="403" t="str">
        <f t="shared" si="57"/>
        <v>DELETE</v>
      </c>
    </row>
    <row r="1357" spans="2:18" ht="31.5" customHeight="1" x14ac:dyDescent="0.45">
      <c r="B1357" s="459"/>
      <c r="D1357" s="400">
        <f>Criteria!C171</f>
        <v>0</v>
      </c>
      <c r="M1357" s="436">
        <f>Criteria!F171</f>
        <v>0</v>
      </c>
      <c r="N1357" s="460"/>
      <c r="O1357" s="436">
        <f>Criteria!G171</f>
        <v>0</v>
      </c>
      <c r="P1357" s="425"/>
      <c r="Q1357" s="442"/>
      <c r="R1357" s="403" t="str">
        <f t="shared" si="57"/>
        <v>DELETE</v>
      </c>
    </row>
    <row r="1358" spans="2:18" ht="31.5" customHeight="1" x14ac:dyDescent="0.45">
      <c r="B1358" s="459"/>
      <c r="D1358" s="400">
        <f>Criteria!C172</f>
        <v>0</v>
      </c>
      <c r="M1358" s="436">
        <f>Criteria!F172</f>
        <v>0</v>
      </c>
      <c r="N1358" s="460"/>
      <c r="O1358" s="436">
        <f>Criteria!G172</f>
        <v>0</v>
      </c>
      <c r="P1358" s="425"/>
      <c r="Q1358" s="442"/>
      <c r="R1358" s="403" t="str">
        <f t="shared" si="57"/>
        <v>DELETE</v>
      </c>
    </row>
    <row r="1359" spans="2:18" ht="31.5" customHeight="1" x14ac:dyDescent="0.45">
      <c r="B1359" s="459"/>
      <c r="D1359" s="400">
        <f>Criteria!C173</f>
        <v>0</v>
      </c>
      <c r="M1359" s="436">
        <f>Criteria!F173</f>
        <v>0</v>
      </c>
      <c r="N1359" s="460"/>
      <c r="O1359" s="436">
        <f>Criteria!G173</f>
        <v>0</v>
      </c>
      <c r="P1359" s="425"/>
      <c r="Q1359" s="442"/>
      <c r="R1359" s="403" t="str">
        <f t="shared" si="57"/>
        <v>DELETE</v>
      </c>
    </row>
    <row r="1360" spans="2:18" ht="31.5" customHeight="1" x14ac:dyDescent="0.45">
      <c r="B1360" s="459"/>
      <c r="D1360" s="400">
        <f>Criteria!C174</f>
        <v>0</v>
      </c>
      <c r="M1360" s="436">
        <f>Criteria!F174</f>
        <v>0</v>
      </c>
      <c r="N1360" s="460"/>
      <c r="O1360" s="436">
        <f>Criteria!G174</f>
        <v>0</v>
      </c>
      <c r="P1360" s="425"/>
      <c r="Q1360" s="442"/>
      <c r="R1360" s="403" t="str">
        <f t="shared" si="57"/>
        <v>DELETE</v>
      </c>
    </row>
    <row r="1361" spans="2:18" ht="31.5" customHeight="1" x14ac:dyDescent="0.45">
      <c r="B1361" s="459"/>
      <c r="D1361" s="400">
        <f>Criteria!C175</f>
        <v>0</v>
      </c>
      <c r="M1361" s="436">
        <f>Criteria!F175</f>
        <v>0</v>
      </c>
      <c r="N1361" s="460"/>
      <c r="O1361" s="436">
        <f>Criteria!G175</f>
        <v>0</v>
      </c>
      <c r="P1361" s="425"/>
      <c r="Q1361" s="442"/>
      <c r="R1361" s="403" t="str">
        <f t="shared" si="57"/>
        <v>DELETE</v>
      </c>
    </row>
    <row r="1362" spans="2:18" ht="31.5" customHeight="1" x14ac:dyDescent="0.45">
      <c r="B1362" s="459"/>
      <c r="D1362" s="400">
        <f>Criteria!C176</f>
        <v>0</v>
      </c>
      <c r="M1362" s="436">
        <f>Criteria!F176</f>
        <v>0</v>
      </c>
      <c r="N1362" s="460"/>
      <c r="O1362" s="436">
        <f>Criteria!G176</f>
        <v>0</v>
      </c>
      <c r="P1362" s="425"/>
      <c r="Q1362" s="442"/>
      <c r="R1362" s="403" t="str">
        <f t="shared" si="57"/>
        <v>DELETE</v>
      </c>
    </row>
    <row r="1363" spans="2:18" ht="31.5" customHeight="1" x14ac:dyDescent="0.45">
      <c r="B1363" s="459"/>
      <c r="D1363" s="400">
        <f>Criteria!C177</f>
        <v>0</v>
      </c>
      <c r="M1363" s="436">
        <f>Criteria!F177</f>
        <v>0</v>
      </c>
      <c r="N1363" s="460"/>
      <c r="O1363" s="436">
        <f>Criteria!G177</f>
        <v>0</v>
      </c>
      <c r="P1363" s="425"/>
      <c r="Q1363" s="442"/>
      <c r="R1363" s="403" t="str">
        <f t="shared" si="57"/>
        <v>DELETE</v>
      </c>
    </row>
    <row r="1364" spans="2:18" ht="31.5" customHeight="1" x14ac:dyDescent="0.45">
      <c r="B1364" s="459"/>
      <c r="D1364" s="400">
        <f>Criteria!C178</f>
        <v>0</v>
      </c>
      <c r="M1364" s="436">
        <f>Criteria!F178</f>
        <v>0</v>
      </c>
      <c r="N1364" s="460"/>
      <c r="O1364" s="436">
        <f>Criteria!G178</f>
        <v>0</v>
      </c>
      <c r="P1364" s="425"/>
      <c r="Q1364" s="442"/>
      <c r="R1364" s="403" t="str">
        <f t="shared" si="57"/>
        <v>DELETE</v>
      </c>
    </row>
    <row r="1365" spans="2:18" ht="31.5" customHeight="1" x14ac:dyDescent="0.45">
      <c r="B1365" s="459"/>
      <c r="D1365" s="400">
        <f>Criteria!C179</f>
        <v>0</v>
      </c>
      <c r="M1365" s="436">
        <f>Criteria!F179</f>
        <v>0</v>
      </c>
      <c r="N1365" s="460"/>
      <c r="O1365" s="436">
        <f>Criteria!G179</f>
        <v>0</v>
      </c>
      <c r="P1365" s="425"/>
      <c r="Q1365" s="442"/>
      <c r="R1365" s="403" t="str">
        <f t="shared" si="57"/>
        <v>DELETE</v>
      </c>
    </row>
    <row r="1366" spans="2:18" ht="31.5" customHeight="1" x14ac:dyDescent="0.45">
      <c r="B1366" s="459"/>
      <c r="D1366" s="400">
        <f>Criteria!C180</f>
        <v>0</v>
      </c>
      <c r="M1366" s="436">
        <f>Criteria!F180</f>
        <v>0</v>
      </c>
      <c r="N1366" s="460"/>
      <c r="O1366" s="436">
        <f>Criteria!G180</f>
        <v>0</v>
      </c>
      <c r="P1366" s="425"/>
      <c r="Q1366" s="442"/>
      <c r="R1366" s="403" t="str">
        <f t="shared" si="57"/>
        <v>DELETE</v>
      </c>
    </row>
    <row r="1367" spans="2:18" ht="31.5" customHeight="1" x14ac:dyDescent="0.45">
      <c r="B1367" s="459"/>
      <c r="D1367" s="400">
        <f>Criteria!C181</f>
        <v>0</v>
      </c>
      <c r="M1367" s="436">
        <f>Criteria!F181</f>
        <v>0</v>
      </c>
      <c r="N1367" s="460"/>
      <c r="O1367" s="436">
        <f>Criteria!G181</f>
        <v>0</v>
      </c>
      <c r="P1367" s="425"/>
      <c r="Q1367" s="442"/>
      <c r="R1367" s="403" t="str">
        <f t="shared" si="57"/>
        <v>DELETE</v>
      </c>
    </row>
    <row r="1368" spans="2:18" ht="31.5" customHeight="1" x14ac:dyDescent="0.45">
      <c r="B1368" s="459"/>
      <c r="D1368" s="400">
        <f>Criteria!C182</f>
        <v>0</v>
      </c>
      <c r="M1368" s="436">
        <f>Criteria!F182</f>
        <v>0</v>
      </c>
      <c r="N1368" s="460"/>
      <c r="O1368" s="436">
        <f>Criteria!G182</f>
        <v>0</v>
      </c>
      <c r="P1368" s="425"/>
      <c r="Q1368" s="442"/>
      <c r="R1368" s="403" t="str">
        <f t="shared" si="57"/>
        <v>DELETE</v>
      </c>
    </row>
    <row r="1369" spans="2:18" ht="31.5" customHeight="1" x14ac:dyDescent="0.45">
      <c r="B1369" s="459"/>
      <c r="D1369" s="400">
        <f>Criteria!C183</f>
        <v>0</v>
      </c>
      <c r="M1369" s="436">
        <f>Criteria!F183</f>
        <v>0</v>
      </c>
      <c r="N1369" s="460"/>
      <c r="O1369" s="436">
        <f>Criteria!G183</f>
        <v>0</v>
      </c>
      <c r="P1369" s="425"/>
      <c r="Q1369" s="442"/>
      <c r="R1369" s="403" t="str">
        <f t="shared" si="57"/>
        <v>DELETE</v>
      </c>
    </row>
    <row r="1370" spans="2:18" ht="31.5" customHeight="1" x14ac:dyDescent="0.45">
      <c r="B1370" s="459"/>
      <c r="D1370" s="400">
        <f>Criteria!C184</f>
        <v>0</v>
      </c>
      <c r="M1370" s="436">
        <f>Criteria!F184</f>
        <v>0</v>
      </c>
      <c r="N1370" s="460"/>
      <c r="O1370" s="436">
        <f>Criteria!G184</f>
        <v>0</v>
      </c>
      <c r="P1370" s="425"/>
      <c r="Q1370" s="442"/>
      <c r="R1370" s="403" t="str">
        <f t="shared" si="57"/>
        <v>DELETE</v>
      </c>
    </row>
    <row r="1371" spans="2:18" ht="31.5" customHeight="1" x14ac:dyDescent="0.45">
      <c r="B1371" s="459"/>
      <c r="D1371" s="400">
        <f>Criteria!C185</f>
        <v>0</v>
      </c>
      <c r="M1371" s="436">
        <f>Criteria!F185</f>
        <v>0</v>
      </c>
      <c r="N1371" s="460"/>
      <c r="O1371" s="436">
        <f>Criteria!G185</f>
        <v>0</v>
      </c>
      <c r="P1371" s="425"/>
      <c r="Q1371" s="442"/>
      <c r="R1371" s="403" t="str">
        <f t="shared" si="57"/>
        <v>DELETE</v>
      </c>
    </row>
    <row r="1372" spans="2:18" ht="31.5" customHeight="1" x14ac:dyDescent="0.45">
      <c r="B1372" s="459"/>
      <c r="D1372" s="400">
        <f>Criteria!C186</f>
        <v>0</v>
      </c>
      <c r="M1372" s="436">
        <f>Criteria!F186</f>
        <v>0</v>
      </c>
      <c r="N1372" s="460"/>
      <c r="O1372" s="436">
        <f>Criteria!G186</f>
        <v>0</v>
      </c>
      <c r="P1372" s="425"/>
      <c r="Q1372" s="442"/>
      <c r="R1372" s="403" t="str">
        <f t="shared" si="57"/>
        <v>DELETE</v>
      </c>
    </row>
    <row r="1373" spans="2:18" ht="31.5" customHeight="1" x14ac:dyDescent="0.45">
      <c r="B1373" s="459"/>
      <c r="D1373" s="400">
        <f>Criteria!C187</f>
        <v>0</v>
      </c>
      <c r="M1373" s="436">
        <f>Criteria!F187</f>
        <v>0</v>
      </c>
      <c r="N1373" s="460"/>
      <c r="O1373" s="436">
        <f>Criteria!G187</f>
        <v>0</v>
      </c>
      <c r="P1373" s="425"/>
      <c r="Q1373" s="442"/>
      <c r="R1373" s="403" t="str">
        <f t="shared" si="57"/>
        <v>DELETE</v>
      </c>
    </row>
    <row r="1374" spans="2:18" ht="31.5" customHeight="1" x14ac:dyDescent="0.45">
      <c r="B1374" s="459"/>
      <c r="D1374" s="400">
        <f>Criteria!C188</f>
        <v>0</v>
      </c>
      <c r="M1374" s="436">
        <f>Criteria!F188</f>
        <v>0</v>
      </c>
      <c r="N1374" s="460"/>
      <c r="O1374" s="436">
        <f>Criteria!G188</f>
        <v>0</v>
      </c>
      <c r="P1374" s="425"/>
      <c r="Q1374" s="442"/>
      <c r="R1374" s="403" t="str">
        <f t="shared" si="57"/>
        <v>DELETE</v>
      </c>
    </row>
    <row r="1375" spans="2:18" ht="31.5" customHeight="1" x14ac:dyDescent="0.45">
      <c r="B1375" s="459"/>
      <c r="D1375" s="400">
        <f>Criteria!C189</f>
        <v>0</v>
      </c>
      <c r="M1375" s="436">
        <f>Criteria!F189</f>
        <v>0</v>
      </c>
      <c r="N1375" s="460"/>
      <c r="O1375" s="436">
        <f>Criteria!G189</f>
        <v>0</v>
      </c>
      <c r="P1375" s="425"/>
      <c r="Q1375" s="442"/>
      <c r="R1375" s="403" t="str">
        <f t="shared" si="57"/>
        <v>DELETE</v>
      </c>
    </row>
    <row r="1376" spans="2:18" ht="31.5" customHeight="1" x14ac:dyDescent="0.45">
      <c r="B1376" s="459"/>
      <c r="D1376" s="400">
        <f>Criteria!C190</f>
        <v>0</v>
      </c>
      <c r="M1376" s="436">
        <f>Criteria!F190</f>
        <v>0</v>
      </c>
      <c r="N1376" s="460"/>
      <c r="O1376" s="436">
        <f>Criteria!G190</f>
        <v>0</v>
      </c>
      <c r="P1376" s="425"/>
      <c r="Q1376" s="442"/>
      <c r="R1376" s="403" t="str">
        <f t="shared" si="57"/>
        <v>DELETE</v>
      </c>
    </row>
    <row r="1377" spans="2:24" ht="31.5" customHeight="1" x14ac:dyDescent="0.45">
      <c r="B1377" s="459"/>
      <c r="D1377" s="400">
        <f>Criteria!C191</f>
        <v>0</v>
      </c>
      <c r="M1377" s="436">
        <f>Criteria!F191</f>
        <v>0</v>
      </c>
      <c r="N1377" s="460"/>
      <c r="O1377" s="436">
        <f>Criteria!G191</f>
        <v>0</v>
      </c>
      <c r="P1377" s="425"/>
      <c r="Q1377" s="442"/>
      <c r="R1377" s="403" t="str">
        <f t="shared" si="57"/>
        <v>DELETE</v>
      </c>
    </row>
    <row r="1378" spans="2:24" ht="31.5" customHeight="1" x14ac:dyDescent="0.45">
      <c r="B1378" s="459"/>
      <c r="D1378" s="400">
        <f>Criteria!C192</f>
        <v>0</v>
      </c>
      <c r="M1378" s="436">
        <f>Criteria!F192</f>
        <v>0</v>
      </c>
      <c r="N1378" s="460"/>
      <c r="O1378" s="436">
        <f>Criteria!G192</f>
        <v>0</v>
      </c>
      <c r="P1378" s="425"/>
      <c r="Q1378" s="442"/>
      <c r="R1378" s="403" t="str">
        <f t="shared" si="57"/>
        <v>DELETE</v>
      </c>
    </row>
    <row r="1379" spans="2:24" ht="31.5" customHeight="1" x14ac:dyDescent="0.45">
      <c r="B1379" s="459"/>
      <c r="D1379" s="400">
        <f>Criteria!C193</f>
        <v>0</v>
      </c>
      <c r="M1379" s="436">
        <f>Criteria!F193</f>
        <v>0</v>
      </c>
      <c r="N1379" s="460"/>
      <c r="O1379" s="436">
        <f>Criteria!G193</f>
        <v>0</v>
      </c>
      <c r="P1379" s="425"/>
      <c r="Q1379" s="442"/>
      <c r="R1379" s="403" t="str">
        <f t="shared" si="57"/>
        <v>DELETE</v>
      </c>
    </row>
    <row r="1380" spans="2:24" ht="31.5" customHeight="1" x14ac:dyDescent="0.45">
      <c r="B1380" s="459"/>
      <c r="D1380" s="400">
        <f>Criteria!C194</f>
        <v>0</v>
      </c>
      <c r="M1380" s="436">
        <f>Criteria!F194</f>
        <v>0</v>
      </c>
      <c r="N1380" s="460"/>
      <c r="O1380" s="436">
        <f>Criteria!G194</f>
        <v>0</v>
      </c>
      <c r="P1380" s="425"/>
      <c r="Q1380" s="442"/>
      <c r="R1380" s="403" t="str">
        <f t="shared" si="57"/>
        <v>DELETE</v>
      </c>
    </row>
    <row r="1381" spans="2:24" ht="31.5" customHeight="1" x14ac:dyDescent="0.45">
      <c r="B1381" s="459"/>
      <c r="D1381" s="400">
        <f>Criteria!C195</f>
        <v>0</v>
      </c>
      <c r="M1381" s="436">
        <f>Criteria!F195</f>
        <v>0</v>
      </c>
      <c r="N1381" s="460"/>
      <c r="O1381" s="436">
        <f>Criteria!G195</f>
        <v>0</v>
      </c>
      <c r="P1381" s="425"/>
      <c r="Q1381" s="442"/>
      <c r="R1381" s="403" t="str">
        <f t="shared" si="57"/>
        <v>DELETE</v>
      </c>
    </row>
    <row r="1382" spans="2:24" ht="31.5" customHeight="1" x14ac:dyDescent="0.45">
      <c r="B1382" s="459"/>
      <c r="D1382" s="400">
        <f>Criteria!C196</f>
        <v>0</v>
      </c>
      <c r="M1382" s="436">
        <f>Criteria!F196</f>
        <v>0</v>
      </c>
      <c r="N1382" s="460"/>
      <c r="O1382" s="436">
        <f>Criteria!G196</f>
        <v>0</v>
      </c>
      <c r="P1382" s="425"/>
      <c r="Q1382" s="442"/>
      <c r="R1382" s="403" t="str">
        <f t="shared" si="57"/>
        <v>DELETE</v>
      </c>
    </row>
    <row r="1383" spans="2:24" ht="31.5" customHeight="1" x14ac:dyDescent="0.45">
      <c r="B1383" s="459"/>
      <c r="D1383" s="400">
        <f>Criteria!C197</f>
        <v>0</v>
      </c>
      <c r="M1383" s="436">
        <f>Criteria!F197</f>
        <v>0</v>
      </c>
      <c r="N1383" s="460"/>
      <c r="O1383" s="436">
        <f>Criteria!G197</f>
        <v>0</v>
      </c>
      <c r="P1383" s="425"/>
      <c r="Q1383" s="442"/>
      <c r="R1383" s="403" t="str">
        <f t="shared" si="57"/>
        <v>DELETE</v>
      </c>
    </row>
    <row r="1384" spans="2:24" ht="31.5" customHeight="1" x14ac:dyDescent="0.45">
      <c r="B1384" s="459"/>
      <c r="D1384" s="400">
        <f>Criteria!C198</f>
        <v>0</v>
      </c>
      <c r="M1384" s="436">
        <f>Criteria!F198</f>
        <v>0</v>
      </c>
      <c r="N1384" s="460"/>
      <c r="O1384" s="436">
        <f>Criteria!G198</f>
        <v>0</v>
      </c>
      <c r="P1384" s="425"/>
      <c r="Q1384" s="442"/>
      <c r="R1384" s="403" t="str">
        <f t="shared" si="57"/>
        <v>DELETE</v>
      </c>
    </row>
    <row r="1385" spans="2:24" ht="31.5" customHeight="1" x14ac:dyDescent="0.45">
      <c r="B1385" s="459"/>
      <c r="D1385" s="400">
        <f>Criteria!C199</f>
        <v>0</v>
      </c>
      <c r="M1385" s="436">
        <f>Criteria!F199</f>
        <v>0</v>
      </c>
      <c r="N1385" s="460"/>
      <c r="O1385" s="436">
        <f>Criteria!G199</f>
        <v>0</v>
      </c>
      <c r="P1385" s="425"/>
      <c r="Q1385" s="442"/>
      <c r="R1385" s="403" t="str">
        <f t="shared" si="57"/>
        <v>DELETE</v>
      </c>
    </row>
    <row r="1386" spans="2:24" ht="31.5" customHeight="1" x14ac:dyDescent="0.45">
      <c r="B1386" s="459"/>
      <c r="D1386" s="400">
        <f>Criteria!C200</f>
        <v>0</v>
      </c>
      <c r="M1386" s="436">
        <f>Criteria!F200</f>
        <v>0</v>
      </c>
      <c r="N1386" s="460"/>
      <c r="O1386" s="436">
        <f>Criteria!G200</f>
        <v>0</v>
      </c>
      <c r="P1386" s="425"/>
      <c r="Q1386" s="442"/>
      <c r="R1386" s="403" t="str">
        <f t="shared" si="57"/>
        <v>DELETE</v>
      </c>
    </row>
    <row r="1387" spans="2:24" ht="31.5" customHeight="1" x14ac:dyDescent="0.45">
      <c r="B1387" s="459"/>
      <c r="D1387" s="400">
        <f>Criteria!C201</f>
        <v>0</v>
      </c>
      <c r="M1387" s="436">
        <f>Criteria!F201</f>
        <v>0</v>
      </c>
      <c r="N1387" s="460"/>
      <c r="O1387" s="436">
        <f>Criteria!G201</f>
        <v>0</v>
      </c>
      <c r="P1387" s="425"/>
      <c r="Q1387" s="442"/>
      <c r="R1387" s="403" t="str">
        <f t="shared" si="57"/>
        <v>DELETE</v>
      </c>
    </row>
    <row r="1388" spans="2:24" ht="31.5" customHeight="1" x14ac:dyDescent="0.45">
      <c r="B1388" s="459"/>
      <c r="D1388" s="400">
        <f>Criteria!C202</f>
        <v>0</v>
      </c>
      <c r="M1388" s="436">
        <f>Criteria!F202</f>
        <v>0</v>
      </c>
      <c r="N1388" s="460"/>
      <c r="O1388" s="436">
        <f>Criteria!G202</f>
        <v>0</v>
      </c>
      <c r="P1388" s="425"/>
      <c r="Q1388" s="442"/>
      <c r="R1388" s="403" t="str">
        <f t="shared" si="57"/>
        <v>DELETE</v>
      </c>
    </row>
    <row r="1389" spans="2:24" ht="31.5" customHeight="1" x14ac:dyDescent="0.45">
      <c r="B1389" s="459"/>
      <c r="D1389" s="400">
        <f>Criteria!C203</f>
        <v>0</v>
      </c>
      <c r="M1389" s="436">
        <f>Criteria!F203</f>
        <v>0</v>
      </c>
      <c r="N1389" s="460"/>
      <c r="O1389" s="436">
        <f>Criteria!G203</f>
        <v>0</v>
      </c>
      <c r="P1389" s="425"/>
      <c r="Q1389" s="442"/>
      <c r="R1389" s="403" t="str">
        <f t="shared" si="57"/>
        <v>DELETE</v>
      </c>
    </row>
    <row r="1390" spans="2:24" ht="9" customHeight="1" x14ac:dyDescent="0.45">
      <c r="B1390" s="459"/>
      <c r="M1390" s="432"/>
      <c r="N1390" s="433"/>
      <c r="O1390" s="432"/>
      <c r="P1390" s="425"/>
      <c r="Q1390" s="442"/>
      <c r="R1390" s="403" t="str">
        <f>R$1392</f>
        <v>DELETE</v>
      </c>
    </row>
    <row r="1391" spans="2:24" ht="9" customHeight="1" x14ac:dyDescent="0.45">
      <c r="B1391" s="459"/>
      <c r="M1391" s="424"/>
      <c r="N1391" s="425"/>
      <c r="O1391" s="424"/>
      <c r="P1391" s="425"/>
      <c r="Q1391" s="442"/>
      <c r="R1391" s="403" t="str">
        <f>R$1392</f>
        <v>DELETE</v>
      </c>
    </row>
    <row r="1392" spans="2:24" ht="31.5" customHeight="1" x14ac:dyDescent="0.45">
      <c r="B1392" s="459"/>
      <c r="M1392" s="436">
        <f>SUM(M1352:M1390)</f>
        <v>0</v>
      </c>
      <c r="N1392" s="425"/>
      <c r="O1392" s="436">
        <f>SUM(O1352:O1390)</f>
        <v>0</v>
      </c>
      <c r="P1392" s="425"/>
      <c r="Q1392" s="442"/>
      <c r="R1392" s="403" t="str">
        <f t="shared" ref="R1392" si="58">IF(M1392=0,IF(O1392=0,"DELETE"," ")," ")</f>
        <v>DELETE</v>
      </c>
      <c r="V1392" s="378" t="b">
        <f>M1392=M1326</f>
        <v>1</v>
      </c>
      <c r="X1392" s="378" t="b">
        <f>O1392=O1326</f>
        <v>1</v>
      </c>
    </row>
    <row r="1393" spans="2:18" ht="9" customHeight="1" thickBot="1" x14ac:dyDescent="0.5">
      <c r="B1393" s="459"/>
      <c r="M1393" s="502"/>
      <c r="N1393" s="503"/>
      <c r="O1393" s="502"/>
      <c r="P1393" s="425"/>
      <c r="Q1393" s="442"/>
      <c r="R1393" s="403" t="str">
        <f t="shared" ref="R1393:R1397" si="59">R$1392</f>
        <v>DELETE</v>
      </c>
    </row>
    <row r="1394" spans="2:18" ht="9" customHeight="1" thickTop="1" x14ac:dyDescent="0.45">
      <c r="B1394" s="459"/>
      <c r="M1394" s="424"/>
      <c r="N1394" s="425"/>
      <c r="O1394" s="424"/>
      <c r="P1394" s="425"/>
      <c r="Q1394" s="442"/>
      <c r="R1394" s="403" t="str">
        <f t="shared" si="59"/>
        <v>DELETE</v>
      </c>
    </row>
    <row r="1395" spans="2:18" ht="31.5" customHeight="1" x14ac:dyDescent="0.45">
      <c r="B1395" s="459"/>
      <c r="M1395" s="424"/>
      <c r="N1395" s="425"/>
      <c r="O1395" s="424"/>
      <c r="P1395" s="425"/>
      <c r="Q1395" s="442"/>
      <c r="R1395" s="403" t="str">
        <f t="shared" si="59"/>
        <v>DELETE</v>
      </c>
    </row>
    <row r="1396" spans="2:18" ht="31.5" customHeight="1" x14ac:dyDescent="0.45">
      <c r="B1396" s="455"/>
      <c r="C1396" s="429"/>
      <c r="D1396" s="429"/>
      <c r="E1396" s="429"/>
      <c r="F1396" s="429"/>
      <c r="G1396" s="429"/>
      <c r="H1396" s="429"/>
      <c r="I1396" s="429"/>
      <c r="J1396" s="429"/>
      <c r="K1396" s="429"/>
      <c r="L1396" s="429"/>
      <c r="M1396" s="432"/>
      <c r="N1396" s="433"/>
      <c r="O1396" s="432"/>
      <c r="P1396" s="433"/>
      <c r="Q1396" s="446"/>
      <c r="R1396" s="403" t="str">
        <f t="shared" si="59"/>
        <v>DELETE</v>
      </c>
    </row>
    <row r="1397" spans="2:18" ht="31.5" customHeight="1" x14ac:dyDescent="0.45">
      <c r="B1397" s="422"/>
      <c r="R1397" s="403" t="str">
        <f t="shared" si="59"/>
        <v>DELETE</v>
      </c>
    </row>
    <row r="1398" spans="2:18" ht="31.5" customHeight="1" x14ac:dyDescent="0.45">
      <c r="B1398" s="422"/>
      <c r="R1398" s="403" t="str">
        <f t="shared" ref="R1398:R1406" si="60">R$1408</f>
        <v>DELETE</v>
      </c>
    </row>
    <row r="1399" spans="2:18" ht="31.5" customHeight="1" x14ac:dyDescent="0.45">
      <c r="B1399" s="422"/>
      <c r="D1399" s="417" t="str">
        <f>Criteria!E9</f>
        <v>HOLDING COMPANY 268 (PROPRIETARY) LIMITED</v>
      </c>
      <c r="O1399" s="346" t="s">
        <v>96</v>
      </c>
      <c r="Q1399" s="292">
        <f>MAX($Q$114:Q1398)+1</f>
        <v>32</v>
      </c>
      <c r="R1399" s="403" t="str">
        <f t="shared" si="60"/>
        <v>DELETE</v>
      </c>
    </row>
    <row r="1400" spans="2:18" ht="31.5" customHeight="1" x14ac:dyDescent="0.45">
      <c r="B1400" s="422"/>
      <c r="D1400" s="417" t="str">
        <f>Criteria!E10</f>
        <v>CONSOLIDATED FINANCIAL STATEMENTS</v>
      </c>
      <c r="R1400" s="403" t="str">
        <f>IF(R$1408="DELETE","DELETE",IF(D1400=0,"DELETE"," "))</f>
        <v>DELETE</v>
      </c>
    </row>
    <row r="1401" spans="2:18" ht="31.5" customHeight="1" x14ac:dyDescent="0.45">
      <c r="B1401" s="422"/>
      <c r="R1401" s="403" t="str">
        <f t="shared" si="60"/>
        <v>DELETE</v>
      </c>
    </row>
    <row r="1402" spans="2:18" ht="31.5" customHeight="1" x14ac:dyDescent="0.45">
      <c r="B1402" s="422"/>
      <c r="D1402" s="417" t="s">
        <v>377</v>
      </c>
      <c r="R1402" s="403" t="str">
        <f t="shared" si="60"/>
        <v>DELETE</v>
      </c>
    </row>
    <row r="1403" spans="2:18" ht="31.5" customHeight="1" x14ac:dyDescent="0.45">
      <c r="B1403" s="422"/>
      <c r="D1403" s="417" t="str">
        <f>Criteria!E20</f>
        <v>29 FEBRUARY 2024</v>
      </c>
      <c r="J1403" s="400" t="s">
        <v>247</v>
      </c>
      <c r="R1403" s="403" t="str">
        <f t="shared" si="60"/>
        <v>DELETE</v>
      </c>
    </row>
    <row r="1404" spans="2:18" ht="31.5" customHeight="1" x14ac:dyDescent="0.45">
      <c r="B1404" s="422"/>
      <c r="R1404" s="403" t="str">
        <f t="shared" si="60"/>
        <v>DELETE</v>
      </c>
    </row>
    <row r="1405" spans="2:18" ht="31.5" customHeight="1" x14ac:dyDescent="0.45">
      <c r="B1405" s="457"/>
      <c r="C1405" s="439"/>
      <c r="D1405" s="439"/>
      <c r="E1405" s="439"/>
      <c r="F1405" s="439"/>
      <c r="G1405" s="439"/>
      <c r="H1405" s="439"/>
      <c r="I1405" s="439"/>
      <c r="J1405" s="439"/>
      <c r="K1405" s="439"/>
      <c r="L1405" s="439"/>
      <c r="M1405" s="447"/>
      <c r="N1405" s="448"/>
      <c r="O1405" s="447"/>
      <c r="P1405" s="448"/>
      <c r="Q1405" s="440"/>
      <c r="R1405" s="403" t="str">
        <f t="shared" si="60"/>
        <v>DELETE</v>
      </c>
    </row>
    <row r="1406" spans="2:18" ht="31.5" customHeight="1" x14ac:dyDescent="0.45">
      <c r="B1406" s="323"/>
      <c r="C1406" s="417"/>
      <c r="M1406" s="504">
        <f>Criteria!E22</f>
        <v>2024</v>
      </c>
      <c r="N1406" s="505"/>
      <c r="O1406" s="504">
        <f>Criteria!E27</f>
        <v>2023</v>
      </c>
      <c r="P1406" s="425"/>
      <c r="Q1406" s="442"/>
      <c r="R1406" s="403" t="str">
        <f t="shared" si="60"/>
        <v>DELETE</v>
      </c>
    </row>
    <row r="1407" spans="2:18" ht="31.5" customHeight="1" x14ac:dyDescent="0.45">
      <c r="B1407" s="323"/>
      <c r="C1407" s="417"/>
      <c r="M1407" s="504"/>
      <c r="N1407" s="505"/>
      <c r="O1407" s="504"/>
      <c r="P1407" s="425"/>
      <c r="Q1407" s="442"/>
      <c r="R1407" s="403" t="str">
        <f>R$1408</f>
        <v>DELETE</v>
      </c>
    </row>
    <row r="1408" spans="2:18" ht="31.5" customHeight="1" x14ac:dyDescent="0.45">
      <c r="B1408" s="323">
        <f>MAX(B$559:B1407)+1</f>
        <v>11</v>
      </c>
      <c r="C1408" s="417" t="s">
        <v>45</v>
      </c>
      <c r="M1408" s="424"/>
      <c r="N1408" s="425"/>
      <c r="O1408" s="424"/>
      <c r="P1408" s="425"/>
      <c r="Q1408" s="442"/>
      <c r="R1408" s="403" t="str">
        <f>IF(M1473+O1473=0,"DELETE"," ")</f>
        <v>DELETE</v>
      </c>
    </row>
    <row r="1409" spans="2:24" ht="31.5" hidden="1" customHeight="1" x14ac:dyDescent="0.45">
      <c r="B1409" s="323"/>
      <c r="C1409" s="400">
        <f>B1408</f>
        <v>11</v>
      </c>
      <c r="M1409" s="424"/>
      <c r="N1409" s="425"/>
      <c r="O1409" s="424"/>
      <c r="P1409" s="425"/>
      <c r="Q1409" s="442"/>
      <c r="R1409" s="403" t="str">
        <f>IF(M1473+O1473=0,"DELETE"," ")</f>
        <v>DELETE</v>
      </c>
    </row>
    <row r="1410" spans="2:24" ht="31.5" customHeight="1" x14ac:dyDescent="0.45">
      <c r="B1410" s="323"/>
      <c r="C1410" s="466">
        <f>MAX(C1408:C1409)+0.1</f>
        <v>11.1</v>
      </c>
      <c r="D1410" s="400" t="s">
        <v>1054</v>
      </c>
      <c r="M1410" s="363"/>
      <c r="N1410" s="314"/>
      <c r="O1410" s="363"/>
      <c r="P1410" s="425"/>
      <c r="Q1410" s="442"/>
      <c r="R1410" s="403" t="str">
        <f>IF(M1424+O1424=0,"DELETE"," ")</f>
        <v>DELETE</v>
      </c>
      <c r="S1410" s="383"/>
      <c r="U1410" s="383"/>
    </row>
    <row r="1411" spans="2:24" ht="31.5" customHeight="1" x14ac:dyDescent="0.45">
      <c r="B1411" s="323"/>
      <c r="C1411" s="463"/>
      <c r="D1411" s="400" t="s">
        <v>1055</v>
      </c>
      <c r="H1411" s="405"/>
      <c r="J1411" s="405"/>
      <c r="K1411" s="471"/>
      <c r="M1411" s="363">
        <f>SUM(S1414:S1416)</f>
        <v>0</v>
      </c>
      <c r="N1411" s="314"/>
      <c r="O1411" s="363">
        <f>SUM(U1414:U1416)</f>
        <v>0</v>
      </c>
      <c r="P1411" s="425"/>
      <c r="Q1411" s="442"/>
      <c r="R1411" s="403" t="str">
        <f>R$1410</f>
        <v>DELETE</v>
      </c>
      <c r="S1411" s="383"/>
      <c r="U1411" s="383"/>
      <c r="V1411" s="378" t="b">
        <f>M1411=O1424</f>
        <v>1</v>
      </c>
    </row>
    <row r="1412" spans="2:24" ht="9" customHeight="1" x14ac:dyDescent="0.45">
      <c r="B1412" s="323"/>
      <c r="C1412" s="463"/>
      <c r="M1412" s="363"/>
      <c r="N1412" s="314"/>
      <c r="O1412" s="363"/>
      <c r="P1412" s="425"/>
      <c r="Q1412" s="442"/>
      <c r="R1412" s="403" t="str">
        <f t="shared" ref="R1412:R1432" si="61">R$1410</f>
        <v>DELETE</v>
      </c>
      <c r="S1412" s="383"/>
      <c r="U1412" s="383"/>
    </row>
    <row r="1413" spans="2:24" ht="9" customHeight="1" x14ac:dyDescent="0.45">
      <c r="B1413" s="323"/>
      <c r="C1413" s="463"/>
      <c r="M1413" s="353"/>
      <c r="N1413" s="299"/>
      <c r="O1413" s="366"/>
      <c r="P1413" s="425"/>
      <c r="Q1413" s="442"/>
      <c r="R1413" s="403" t="str">
        <f t="shared" si="61"/>
        <v>DELETE</v>
      </c>
      <c r="S1413" s="383"/>
      <c r="U1413" s="383"/>
    </row>
    <row r="1414" spans="2:24" ht="31.5" customHeight="1" x14ac:dyDescent="0.45">
      <c r="B1414" s="323"/>
      <c r="C1414" s="463"/>
      <c r="D1414" s="400" t="s">
        <v>383</v>
      </c>
      <c r="M1414" s="354">
        <f>TrialBalance!L284</f>
        <v>0</v>
      </c>
      <c r="N1414" s="314"/>
      <c r="O1414" s="367">
        <f>TrialBalance!N284</f>
        <v>0</v>
      </c>
      <c r="P1414" s="425"/>
      <c r="Q1414" s="442"/>
      <c r="R1414" s="403" t="str">
        <f t="shared" si="61"/>
        <v>DELETE</v>
      </c>
      <c r="S1414" s="383">
        <f>M1414</f>
        <v>0</v>
      </c>
      <c r="U1414" s="383">
        <f>O1414</f>
        <v>0</v>
      </c>
    </row>
    <row r="1415" spans="2:24" ht="31.5" customHeight="1" x14ac:dyDescent="0.45">
      <c r="B1415" s="323"/>
      <c r="C1415" s="463"/>
      <c r="D1415" s="400" t="s">
        <v>1056</v>
      </c>
      <c r="M1415" s="354">
        <f>-TrialBalance!L287</f>
        <v>0</v>
      </c>
      <c r="N1415" s="314"/>
      <c r="O1415" s="367">
        <f>-TrialBalance!N287</f>
        <v>0</v>
      </c>
      <c r="P1415" s="425"/>
      <c r="Q1415" s="442"/>
      <c r="R1415" s="403" t="str">
        <f t="shared" si="61"/>
        <v>DELETE</v>
      </c>
      <c r="S1415" s="383">
        <f>-M1415</f>
        <v>0</v>
      </c>
      <c r="U1415" s="383">
        <f>-O1415</f>
        <v>0</v>
      </c>
    </row>
    <row r="1416" spans="2:24" ht="31.5" customHeight="1" x14ac:dyDescent="0.45">
      <c r="B1416" s="323"/>
      <c r="C1416" s="463"/>
      <c r="D1416" s="400" t="s">
        <v>1057</v>
      </c>
      <c r="M1416" s="354">
        <f>-TrialBalance!L290</f>
        <v>0</v>
      </c>
      <c r="N1416" s="314"/>
      <c r="O1416" s="367">
        <f>-TrialBalance!N290</f>
        <v>0</v>
      </c>
      <c r="P1416" s="425"/>
      <c r="Q1416" s="442"/>
      <c r="R1416" s="403" t="str">
        <f>IF(M1416+O1416=0,"DELETE"," ")</f>
        <v>DELETE</v>
      </c>
      <c r="S1416" s="383">
        <f>-M1416</f>
        <v>0</v>
      </c>
      <c r="U1416" s="383">
        <f>-O1416</f>
        <v>0</v>
      </c>
    </row>
    <row r="1417" spans="2:24" ht="9" customHeight="1" x14ac:dyDescent="0.45">
      <c r="B1417" s="323"/>
      <c r="C1417" s="463"/>
      <c r="M1417" s="355"/>
      <c r="N1417" s="300"/>
      <c r="O1417" s="368"/>
      <c r="P1417" s="425"/>
      <c r="Q1417" s="442"/>
      <c r="R1417" s="403" t="str">
        <f t="shared" si="61"/>
        <v>DELETE</v>
      </c>
      <c r="S1417" s="383"/>
      <c r="U1417" s="383"/>
    </row>
    <row r="1418" spans="2:24" ht="9" customHeight="1" x14ac:dyDescent="0.45">
      <c r="B1418" s="323"/>
      <c r="C1418" s="463"/>
      <c r="M1418" s="363"/>
      <c r="N1418" s="314"/>
      <c r="O1418" s="363"/>
      <c r="P1418" s="425"/>
      <c r="Q1418" s="442"/>
      <c r="R1418" s="403" t="str">
        <f t="shared" si="61"/>
        <v>DELETE</v>
      </c>
      <c r="S1418" s="383"/>
      <c r="U1418" s="383"/>
    </row>
    <row r="1419" spans="2:24" ht="31.5" customHeight="1" x14ac:dyDescent="0.45">
      <c r="B1419" s="323"/>
      <c r="C1419" s="463"/>
      <c r="D1419" s="400" t="s">
        <v>379</v>
      </c>
      <c r="M1419" s="363">
        <f>TrialBalance!L285</f>
        <v>0</v>
      </c>
      <c r="N1419" s="314"/>
      <c r="O1419" s="363">
        <f>TrialBalance!N285</f>
        <v>0</v>
      </c>
      <c r="P1419" s="425"/>
      <c r="Q1419" s="442"/>
      <c r="R1419" s="403" t="str">
        <f>IF(M1419+O1419=0,"DELETE"," ")</f>
        <v>DELETE</v>
      </c>
      <c r="S1419" s="383"/>
      <c r="U1419" s="383"/>
    </row>
    <row r="1420" spans="2:24" ht="31.5" customHeight="1" x14ac:dyDescent="0.45">
      <c r="B1420" s="323"/>
      <c r="C1420" s="463"/>
      <c r="D1420" s="400" t="s">
        <v>1058</v>
      </c>
      <c r="M1420" s="363">
        <f>TrialBalance!L288</f>
        <v>0</v>
      </c>
      <c r="N1420" s="314"/>
      <c r="O1420" s="363">
        <f>TrialBalance!N288</f>
        <v>0</v>
      </c>
      <c r="P1420" s="425"/>
      <c r="Q1420" s="442"/>
      <c r="R1420" s="403" t="str">
        <f t="shared" si="61"/>
        <v>DELETE</v>
      </c>
      <c r="S1420" s="383"/>
      <c r="U1420" s="383"/>
    </row>
    <row r="1421" spans="2:24" ht="31.5" customHeight="1" x14ac:dyDescent="0.45">
      <c r="B1421" s="323"/>
      <c r="C1421" s="463"/>
      <c r="D1421" s="400" t="s">
        <v>1059</v>
      </c>
      <c r="M1421" s="363">
        <f>TrialBalance!L291</f>
        <v>0</v>
      </c>
      <c r="N1421" s="314"/>
      <c r="O1421" s="363">
        <f>TrialBalance!N291</f>
        <v>0</v>
      </c>
      <c r="P1421" s="425"/>
      <c r="Q1421" s="442"/>
      <c r="R1421" s="403" t="str">
        <f>IF(M1421=0,IF(O1421=0,"DELETE"," ")," ")</f>
        <v>DELETE</v>
      </c>
      <c r="S1421" s="383"/>
      <c r="U1421" s="383"/>
    </row>
    <row r="1422" spans="2:24" ht="9" customHeight="1" x14ac:dyDescent="0.45">
      <c r="B1422" s="323"/>
      <c r="C1422" s="463"/>
      <c r="M1422" s="349"/>
      <c r="N1422" s="300"/>
      <c r="O1422" s="349"/>
      <c r="P1422" s="425"/>
      <c r="Q1422" s="442"/>
      <c r="R1422" s="403" t="str">
        <f t="shared" si="61"/>
        <v>DELETE</v>
      </c>
      <c r="S1422" s="383"/>
      <c r="U1422" s="383"/>
    </row>
    <row r="1423" spans="2:24" ht="9" customHeight="1" x14ac:dyDescent="0.45">
      <c r="B1423" s="323"/>
      <c r="C1423" s="463"/>
      <c r="M1423" s="363"/>
      <c r="N1423" s="314"/>
      <c r="O1423" s="363"/>
      <c r="P1423" s="425"/>
      <c r="Q1423" s="442"/>
      <c r="R1423" s="403" t="str">
        <f t="shared" si="61"/>
        <v>DELETE</v>
      </c>
      <c r="S1423" s="383"/>
      <c r="U1423" s="383"/>
    </row>
    <row r="1424" spans="2:24" ht="31.5" customHeight="1" x14ac:dyDescent="0.45">
      <c r="B1424" s="323"/>
      <c r="C1424" s="463"/>
      <c r="D1424" s="400" t="s">
        <v>1060</v>
      </c>
      <c r="M1424" s="363">
        <f>SUM(S1428:S1430)</f>
        <v>0</v>
      </c>
      <c r="N1424" s="314"/>
      <c r="O1424" s="363">
        <f>SUM(U1428:U1430)</f>
        <v>0</v>
      </c>
      <c r="P1424" s="425"/>
      <c r="Q1424" s="442"/>
      <c r="R1424" s="403" t="str">
        <f t="shared" si="61"/>
        <v>DELETE</v>
      </c>
      <c r="S1424" s="383"/>
      <c r="U1424" s="383"/>
      <c r="V1424" s="378" t="b">
        <f>M1424=M1411+SUM(M1419:M1421)</f>
        <v>1</v>
      </c>
      <c r="X1424" s="378" t="b">
        <f>O1424=O1411+SUM(O1419:O1421)</f>
        <v>1</v>
      </c>
    </row>
    <row r="1425" spans="2:21" ht="9" customHeight="1" thickBot="1" x14ac:dyDescent="0.5">
      <c r="B1425" s="323"/>
      <c r="C1425" s="463"/>
      <c r="M1425" s="351"/>
      <c r="N1425" s="301"/>
      <c r="O1425" s="351"/>
      <c r="P1425" s="425"/>
      <c r="Q1425" s="442"/>
      <c r="R1425" s="403" t="str">
        <f t="shared" si="61"/>
        <v>DELETE</v>
      </c>
      <c r="S1425" s="383"/>
      <c r="U1425" s="383"/>
    </row>
    <row r="1426" spans="2:21" ht="9" customHeight="1" thickTop="1" x14ac:dyDescent="0.45">
      <c r="B1426" s="323"/>
      <c r="C1426" s="463"/>
      <c r="M1426" s="363"/>
      <c r="N1426" s="314"/>
      <c r="O1426" s="363"/>
      <c r="P1426" s="425"/>
      <c r="Q1426" s="442"/>
      <c r="R1426" s="403" t="str">
        <f t="shared" si="61"/>
        <v>DELETE</v>
      </c>
      <c r="S1426" s="383"/>
      <c r="U1426" s="383"/>
    </row>
    <row r="1427" spans="2:21" ht="9" customHeight="1" x14ac:dyDescent="0.45">
      <c r="B1427" s="323"/>
      <c r="C1427" s="463"/>
      <c r="M1427" s="353"/>
      <c r="N1427" s="299"/>
      <c r="O1427" s="366"/>
      <c r="P1427" s="425"/>
      <c r="Q1427" s="442"/>
      <c r="R1427" s="403" t="str">
        <f t="shared" si="61"/>
        <v>DELETE</v>
      </c>
      <c r="S1427" s="383"/>
      <c r="U1427" s="383"/>
    </row>
    <row r="1428" spans="2:21" ht="31.5" customHeight="1" x14ac:dyDescent="0.45">
      <c r="B1428" s="323"/>
      <c r="C1428" s="463"/>
      <c r="D1428" s="400" t="s">
        <v>383</v>
      </c>
      <c r="M1428" s="354">
        <f>TrialBalance!L284+TrialBalance!L285</f>
        <v>0</v>
      </c>
      <c r="N1428" s="314"/>
      <c r="O1428" s="367">
        <f>TrialBalance!N284+TrialBalance!N285</f>
        <v>0</v>
      </c>
      <c r="P1428" s="425"/>
      <c r="Q1428" s="442"/>
      <c r="R1428" s="403" t="str">
        <f t="shared" si="61"/>
        <v>DELETE</v>
      </c>
      <c r="S1428" s="383">
        <f>M1428</f>
        <v>0</v>
      </c>
      <c r="U1428" s="383">
        <f>O1428</f>
        <v>0</v>
      </c>
    </row>
    <row r="1429" spans="2:21" ht="31.5" customHeight="1" x14ac:dyDescent="0.45">
      <c r="B1429" s="323"/>
      <c r="C1429" s="463"/>
      <c r="D1429" s="400" t="s">
        <v>1056</v>
      </c>
      <c r="M1429" s="354">
        <f>-TrialBalance!L287-TrialBalance!L288</f>
        <v>0</v>
      </c>
      <c r="N1429" s="314"/>
      <c r="O1429" s="367">
        <f>-TrialBalance!N287-TrialBalance!N288</f>
        <v>0</v>
      </c>
      <c r="P1429" s="425"/>
      <c r="Q1429" s="442"/>
      <c r="R1429" s="403" t="str">
        <f t="shared" si="61"/>
        <v>DELETE</v>
      </c>
      <c r="S1429" s="383">
        <f>-M1429</f>
        <v>0</v>
      </c>
      <c r="U1429" s="383">
        <f>-O1429</f>
        <v>0</v>
      </c>
    </row>
    <row r="1430" spans="2:21" ht="31.5" customHeight="1" x14ac:dyDescent="0.45">
      <c r="B1430" s="323"/>
      <c r="C1430" s="463"/>
      <c r="D1430" s="400" t="s">
        <v>1057</v>
      </c>
      <c r="M1430" s="354">
        <f>-TrialBalance!L290-TrialBalance!L291</f>
        <v>0</v>
      </c>
      <c r="N1430" s="314"/>
      <c r="O1430" s="367">
        <f>-TrialBalance!N290-TrialBalance!N291</f>
        <v>0</v>
      </c>
      <c r="P1430" s="425"/>
      <c r="Q1430" s="442"/>
      <c r="R1430" s="403" t="str">
        <f>IF(M1430+O1430=0,"DELETE"," ")</f>
        <v>DELETE</v>
      </c>
      <c r="S1430" s="383">
        <f>-M1430</f>
        <v>0</v>
      </c>
      <c r="U1430" s="383">
        <f>-O1430</f>
        <v>0</v>
      </c>
    </row>
    <row r="1431" spans="2:21" ht="9" customHeight="1" x14ac:dyDescent="0.45">
      <c r="B1431" s="323"/>
      <c r="C1431" s="463"/>
      <c r="M1431" s="355"/>
      <c r="N1431" s="300"/>
      <c r="O1431" s="368"/>
      <c r="P1431" s="425"/>
      <c r="Q1431" s="442"/>
      <c r="R1431" s="403" t="str">
        <f t="shared" si="61"/>
        <v>DELETE</v>
      </c>
      <c r="S1431" s="383"/>
      <c r="U1431" s="383"/>
    </row>
    <row r="1432" spans="2:21" ht="9" customHeight="1" x14ac:dyDescent="0.45">
      <c r="B1432" s="323"/>
      <c r="C1432" s="463"/>
      <c r="M1432" s="363"/>
      <c r="N1432" s="314"/>
      <c r="O1432" s="363"/>
      <c r="P1432" s="425"/>
      <c r="Q1432" s="442"/>
      <c r="R1432" s="403" t="str">
        <f t="shared" si="61"/>
        <v>DELETE</v>
      </c>
      <c r="S1432" s="383"/>
      <c r="U1432" s="383"/>
    </row>
    <row r="1433" spans="2:21" ht="31.5" customHeight="1" x14ac:dyDescent="0.45">
      <c r="B1433" s="323"/>
      <c r="C1433" s="463"/>
      <c r="M1433" s="363"/>
      <c r="N1433" s="314"/>
      <c r="O1433" s="363"/>
      <c r="P1433" s="425"/>
      <c r="Q1433" s="442"/>
      <c r="R1433" s="403" t="str">
        <f>IF(R1410="DELETE","DELETE",IF(R1447="DELETE","DELETE"," "))</f>
        <v>DELETE</v>
      </c>
      <c r="S1433" s="383"/>
      <c r="U1433" s="383"/>
    </row>
    <row r="1434" spans="2:21" ht="31.5" customHeight="1" x14ac:dyDescent="0.45">
      <c r="B1434" s="323"/>
      <c r="C1434" s="463"/>
      <c r="M1434" s="363"/>
      <c r="N1434" s="314"/>
      <c r="O1434" s="363"/>
      <c r="P1434" s="425"/>
      <c r="Q1434" s="442"/>
      <c r="R1434" s="403" t="str">
        <f>R$1433</f>
        <v>DELETE</v>
      </c>
      <c r="S1434" s="383"/>
      <c r="U1434" s="383"/>
    </row>
    <row r="1435" spans="2:21" ht="31.5" customHeight="1" x14ac:dyDescent="0.45">
      <c r="B1435" s="324"/>
      <c r="C1435" s="468"/>
      <c r="D1435" s="429"/>
      <c r="E1435" s="429"/>
      <c r="F1435" s="429"/>
      <c r="G1435" s="429"/>
      <c r="H1435" s="429"/>
      <c r="I1435" s="429"/>
      <c r="J1435" s="429"/>
      <c r="K1435" s="429"/>
      <c r="L1435" s="429"/>
      <c r="M1435" s="349"/>
      <c r="N1435" s="300"/>
      <c r="O1435" s="349"/>
      <c r="P1435" s="433"/>
      <c r="Q1435" s="446"/>
      <c r="R1435" s="403" t="str">
        <f t="shared" ref="R1435:R1436" si="62">R$1433</f>
        <v>DELETE</v>
      </c>
      <c r="S1435" s="383"/>
      <c r="U1435" s="383"/>
    </row>
    <row r="1436" spans="2:21" ht="31.5" customHeight="1" x14ac:dyDescent="0.45">
      <c r="B1436" s="325"/>
      <c r="C1436" s="463"/>
      <c r="M1436" s="363"/>
      <c r="N1436" s="314"/>
      <c r="O1436" s="363"/>
      <c r="P1436" s="425"/>
      <c r="R1436" s="403" t="str">
        <f t="shared" si="62"/>
        <v>DELETE</v>
      </c>
      <c r="S1436" s="383"/>
      <c r="U1436" s="383"/>
    </row>
    <row r="1437" spans="2:21" ht="31.5" customHeight="1" x14ac:dyDescent="0.45">
      <c r="B1437" s="325"/>
      <c r="C1437" s="463"/>
      <c r="M1437" s="363"/>
      <c r="N1437" s="314"/>
      <c r="O1437" s="363"/>
      <c r="P1437" s="425"/>
      <c r="R1437" s="403" t="str">
        <f>IF(R1447="DELETE","DELETE",IF(R1410="DELETE","DELETE"," "))</f>
        <v>DELETE</v>
      </c>
      <c r="S1437" s="383"/>
      <c r="U1437" s="383"/>
    </row>
    <row r="1438" spans="2:21" ht="31.5" customHeight="1" x14ac:dyDescent="0.45">
      <c r="B1438" s="325"/>
      <c r="C1438" s="463"/>
      <c r="D1438" s="417" t="str">
        <f>Criteria!E9</f>
        <v>HOLDING COMPANY 268 (PROPRIETARY) LIMITED</v>
      </c>
      <c r="O1438" s="346" t="s">
        <v>96</v>
      </c>
      <c r="Q1438" s="292">
        <f>MAX($Q$114:Q1437)+1</f>
        <v>33</v>
      </c>
      <c r="R1438" s="403" t="str">
        <f>R$1437</f>
        <v>DELETE</v>
      </c>
      <c r="S1438" s="383"/>
      <c r="U1438" s="383"/>
    </row>
    <row r="1439" spans="2:21" ht="31.5" customHeight="1" x14ac:dyDescent="0.45">
      <c r="B1439" s="325"/>
      <c r="C1439" s="463"/>
      <c r="D1439" s="417" t="str">
        <f>Criteria!E10</f>
        <v>CONSOLIDATED FINANCIAL STATEMENTS</v>
      </c>
      <c r="R1439" s="403" t="str">
        <f>IF(R$1437="DELETE","DELETE",IF(D1439=0,"DELETE"," "))</f>
        <v>DELETE</v>
      </c>
      <c r="S1439" s="383"/>
      <c r="U1439" s="383"/>
    </row>
    <row r="1440" spans="2:21" ht="31.5" customHeight="1" x14ac:dyDescent="0.45">
      <c r="B1440" s="325"/>
      <c r="C1440" s="463"/>
      <c r="R1440" s="403" t="str">
        <f t="shared" ref="R1440:R1446" si="63">R$1437</f>
        <v>DELETE</v>
      </c>
      <c r="S1440" s="383"/>
      <c r="U1440" s="383"/>
    </row>
    <row r="1441" spans="2:22" ht="31.5" customHeight="1" x14ac:dyDescent="0.45">
      <c r="B1441" s="325"/>
      <c r="C1441" s="463"/>
      <c r="D1441" s="417" t="s">
        <v>377</v>
      </c>
      <c r="R1441" s="403" t="str">
        <f t="shared" si="63"/>
        <v>DELETE</v>
      </c>
      <c r="S1441" s="383"/>
      <c r="U1441" s="383"/>
    </row>
    <row r="1442" spans="2:22" ht="31.5" customHeight="1" x14ac:dyDescent="0.45">
      <c r="B1442" s="325"/>
      <c r="C1442" s="463"/>
      <c r="D1442" s="417" t="str">
        <f>Criteria!E20</f>
        <v>29 FEBRUARY 2024</v>
      </c>
      <c r="J1442" s="400" t="s">
        <v>247</v>
      </c>
      <c r="R1442" s="403" t="str">
        <f t="shared" si="63"/>
        <v>DELETE</v>
      </c>
      <c r="S1442" s="383"/>
      <c r="U1442" s="383"/>
    </row>
    <row r="1443" spans="2:22" ht="31.5" customHeight="1" x14ac:dyDescent="0.45">
      <c r="B1443" s="325"/>
      <c r="C1443" s="463"/>
      <c r="M1443" s="363"/>
      <c r="N1443" s="314"/>
      <c r="O1443" s="363"/>
      <c r="P1443" s="425"/>
      <c r="R1443" s="403" t="str">
        <f t="shared" si="63"/>
        <v>DELETE</v>
      </c>
      <c r="S1443" s="383"/>
      <c r="U1443" s="383"/>
    </row>
    <row r="1444" spans="2:22" ht="31.5" customHeight="1" x14ac:dyDescent="0.45">
      <c r="B1444" s="326"/>
      <c r="C1444" s="467"/>
      <c r="D1444" s="439"/>
      <c r="E1444" s="439"/>
      <c r="F1444" s="439"/>
      <c r="G1444" s="439"/>
      <c r="H1444" s="439"/>
      <c r="I1444" s="439"/>
      <c r="J1444" s="439"/>
      <c r="K1444" s="439"/>
      <c r="L1444" s="439"/>
      <c r="M1444" s="362"/>
      <c r="N1444" s="299"/>
      <c r="O1444" s="362"/>
      <c r="P1444" s="448"/>
      <c r="Q1444" s="440"/>
      <c r="R1444" s="403" t="str">
        <f t="shared" si="63"/>
        <v>DELETE</v>
      </c>
      <c r="S1444" s="383"/>
      <c r="U1444" s="383"/>
    </row>
    <row r="1445" spans="2:22" ht="31.5" customHeight="1" x14ac:dyDescent="0.45">
      <c r="B1445" s="323"/>
      <c r="C1445" s="463"/>
      <c r="M1445" s="504">
        <f>Criteria!E22</f>
        <v>2024</v>
      </c>
      <c r="N1445" s="505"/>
      <c r="O1445" s="504">
        <f>Criteria!E27</f>
        <v>2023</v>
      </c>
      <c r="P1445" s="425"/>
      <c r="Q1445" s="442"/>
      <c r="R1445" s="403" t="str">
        <f t="shared" si="63"/>
        <v>DELETE</v>
      </c>
      <c r="S1445" s="383"/>
      <c r="U1445" s="383"/>
    </row>
    <row r="1446" spans="2:22" ht="31.5" customHeight="1" x14ac:dyDescent="0.45">
      <c r="B1446" s="323"/>
      <c r="C1446" s="463"/>
      <c r="M1446" s="363"/>
      <c r="N1446" s="314"/>
      <c r="O1446" s="363"/>
      <c r="P1446" s="425"/>
      <c r="Q1446" s="442"/>
      <c r="R1446" s="403" t="str">
        <f t="shared" si="63"/>
        <v>DELETE</v>
      </c>
      <c r="S1446" s="383"/>
      <c r="U1446" s="383"/>
    </row>
    <row r="1447" spans="2:22" ht="31.5" customHeight="1" x14ac:dyDescent="0.45">
      <c r="B1447" s="323"/>
      <c r="C1447" s="466">
        <f>MAX(C1408:C1446)+0.1</f>
        <v>11.2</v>
      </c>
      <c r="D1447" s="400" t="s">
        <v>1061</v>
      </c>
      <c r="M1447" s="363"/>
      <c r="N1447" s="314"/>
      <c r="O1447" s="363"/>
      <c r="P1447" s="425"/>
      <c r="Q1447" s="442"/>
      <c r="R1447" s="403" t="str">
        <f>IF(M1461+O1461=0,"DELETE"," ")</f>
        <v>DELETE</v>
      </c>
      <c r="S1447" s="383"/>
      <c r="U1447" s="383"/>
    </row>
    <row r="1448" spans="2:22" ht="31.5" customHeight="1" x14ac:dyDescent="0.45">
      <c r="B1448" s="323"/>
      <c r="C1448" s="466"/>
      <c r="D1448" s="400" t="s">
        <v>1055</v>
      </c>
      <c r="H1448" s="405"/>
      <c r="J1448" s="405"/>
      <c r="K1448" s="471"/>
      <c r="M1448" s="363">
        <f>SUM(S1451:S1453)</f>
        <v>0</v>
      </c>
      <c r="N1448" s="314"/>
      <c r="O1448" s="363">
        <f>SUM(U1451:U1453)</f>
        <v>0</v>
      </c>
      <c r="P1448" s="425"/>
      <c r="Q1448" s="442"/>
      <c r="R1448" s="403" t="str">
        <f>R$1447</f>
        <v>DELETE</v>
      </c>
      <c r="S1448" s="383"/>
      <c r="U1448" s="383"/>
      <c r="V1448" s="378" t="b">
        <f>M1448=O1461</f>
        <v>1</v>
      </c>
    </row>
    <row r="1449" spans="2:22" ht="9" customHeight="1" x14ac:dyDescent="0.45">
      <c r="B1449" s="323"/>
      <c r="C1449" s="466"/>
      <c r="M1449" s="363"/>
      <c r="N1449" s="314"/>
      <c r="O1449" s="363"/>
      <c r="P1449" s="425"/>
      <c r="Q1449" s="442"/>
      <c r="R1449" s="403" t="str">
        <f t="shared" ref="R1449:R1470" si="64">R$1447</f>
        <v>DELETE</v>
      </c>
      <c r="S1449" s="383"/>
      <c r="U1449" s="383"/>
    </row>
    <row r="1450" spans="2:22" ht="9" customHeight="1" x14ac:dyDescent="0.45">
      <c r="B1450" s="323"/>
      <c r="C1450" s="466"/>
      <c r="M1450" s="353"/>
      <c r="N1450" s="299"/>
      <c r="O1450" s="366"/>
      <c r="P1450" s="425"/>
      <c r="Q1450" s="442"/>
      <c r="R1450" s="403" t="str">
        <f t="shared" si="64"/>
        <v>DELETE</v>
      </c>
      <c r="S1450" s="383"/>
      <c r="U1450" s="383"/>
    </row>
    <row r="1451" spans="2:22" ht="31.5" customHeight="1" x14ac:dyDescent="0.45">
      <c r="B1451" s="323"/>
      <c r="C1451" s="466"/>
      <c r="D1451" s="400" t="s">
        <v>383</v>
      </c>
      <c r="M1451" s="354">
        <f>TrialBalance!L293</f>
        <v>0</v>
      </c>
      <c r="N1451" s="314"/>
      <c r="O1451" s="367">
        <f>TrialBalance!N293</f>
        <v>0</v>
      </c>
      <c r="P1451" s="425"/>
      <c r="Q1451" s="442"/>
      <c r="R1451" s="403" t="str">
        <f t="shared" si="64"/>
        <v>DELETE</v>
      </c>
      <c r="S1451" s="383">
        <f>M1451</f>
        <v>0</v>
      </c>
      <c r="U1451" s="383">
        <f>O1451</f>
        <v>0</v>
      </c>
    </row>
    <row r="1452" spans="2:22" ht="31.5" customHeight="1" x14ac:dyDescent="0.45">
      <c r="B1452" s="323"/>
      <c r="C1452" s="466"/>
      <c r="D1452" s="400" t="s">
        <v>1056</v>
      </c>
      <c r="M1452" s="354">
        <f>-TrialBalance!L296</f>
        <v>0</v>
      </c>
      <c r="N1452" s="314"/>
      <c r="O1452" s="367">
        <f>-TrialBalance!N296</f>
        <v>0</v>
      </c>
      <c r="P1452" s="425"/>
      <c r="Q1452" s="442"/>
      <c r="R1452" s="403" t="str">
        <f t="shared" si="64"/>
        <v>DELETE</v>
      </c>
      <c r="S1452" s="383">
        <f>-M1452</f>
        <v>0</v>
      </c>
      <c r="U1452" s="383">
        <f>-O1452</f>
        <v>0</v>
      </c>
    </row>
    <row r="1453" spans="2:22" ht="31.5" customHeight="1" x14ac:dyDescent="0.45">
      <c r="B1453" s="323"/>
      <c r="C1453" s="466"/>
      <c r="D1453" s="400" t="s">
        <v>1057</v>
      </c>
      <c r="M1453" s="354">
        <f>-TrialBalance!L299</f>
        <v>0</v>
      </c>
      <c r="N1453" s="314"/>
      <c r="O1453" s="367">
        <f>-TrialBalance!N299</f>
        <v>0</v>
      </c>
      <c r="P1453" s="425"/>
      <c r="Q1453" s="442"/>
      <c r="R1453" s="403" t="str">
        <f>IF(M1453+O1453=0,"DELETE"," ")</f>
        <v>DELETE</v>
      </c>
      <c r="S1453" s="383">
        <f>-M1453</f>
        <v>0</v>
      </c>
      <c r="U1453" s="383">
        <f>-O1453</f>
        <v>0</v>
      </c>
    </row>
    <row r="1454" spans="2:22" ht="9" customHeight="1" x14ac:dyDescent="0.45">
      <c r="B1454" s="323"/>
      <c r="C1454" s="466"/>
      <c r="M1454" s="355"/>
      <c r="N1454" s="300"/>
      <c r="O1454" s="368"/>
      <c r="P1454" s="425"/>
      <c r="Q1454" s="442"/>
      <c r="R1454" s="403" t="str">
        <f t="shared" si="64"/>
        <v>DELETE</v>
      </c>
      <c r="S1454" s="383"/>
      <c r="U1454" s="383"/>
    </row>
    <row r="1455" spans="2:22" ht="9" customHeight="1" x14ac:dyDescent="0.45">
      <c r="B1455" s="323"/>
      <c r="C1455" s="466"/>
      <c r="M1455" s="363"/>
      <c r="N1455" s="314"/>
      <c r="O1455" s="363"/>
      <c r="P1455" s="425"/>
      <c r="Q1455" s="442"/>
      <c r="R1455" s="403" t="str">
        <f t="shared" si="64"/>
        <v>DELETE</v>
      </c>
      <c r="S1455" s="383"/>
      <c r="U1455" s="383"/>
    </row>
    <row r="1456" spans="2:22" ht="31.5" customHeight="1" x14ac:dyDescent="0.45">
      <c r="B1456" s="323"/>
      <c r="C1456" s="466"/>
      <c r="D1456" s="400" t="s">
        <v>379</v>
      </c>
      <c r="M1456" s="363">
        <f>TrialBalance!L294</f>
        <v>0</v>
      </c>
      <c r="N1456" s="314"/>
      <c r="O1456" s="363">
        <f>TrialBalance!N294</f>
        <v>0</v>
      </c>
      <c r="P1456" s="425"/>
      <c r="Q1456" s="442"/>
      <c r="R1456" s="403" t="str">
        <f>IF(M1456+O1456=0,"DELETE"," ")</f>
        <v>DELETE</v>
      </c>
      <c r="S1456" s="383"/>
      <c r="U1456" s="383"/>
    </row>
    <row r="1457" spans="2:24" ht="31.5" customHeight="1" x14ac:dyDescent="0.45">
      <c r="B1457" s="323"/>
      <c r="C1457" s="466"/>
      <c r="D1457" s="400" t="s">
        <v>1058</v>
      </c>
      <c r="M1457" s="363">
        <f>TrialBalance!L297</f>
        <v>0</v>
      </c>
      <c r="N1457" s="314"/>
      <c r="O1457" s="363">
        <f>TrialBalance!N297</f>
        <v>0</v>
      </c>
      <c r="P1457" s="425"/>
      <c r="Q1457" s="442"/>
      <c r="R1457" s="403" t="str">
        <f t="shared" si="64"/>
        <v>DELETE</v>
      </c>
      <c r="S1457" s="383"/>
      <c r="U1457" s="383"/>
    </row>
    <row r="1458" spans="2:24" ht="31.5" customHeight="1" x14ac:dyDescent="0.45">
      <c r="B1458" s="323"/>
      <c r="C1458" s="466"/>
      <c r="D1458" s="400" t="s">
        <v>1059</v>
      </c>
      <c r="M1458" s="363">
        <f>TrialBalance!L300</f>
        <v>0</v>
      </c>
      <c r="N1458" s="314"/>
      <c r="O1458" s="363">
        <f>TrialBalance!N300</f>
        <v>0</v>
      </c>
      <c r="P1458" s="425"/>
      <c r="Q1458" s="442"/>
      <c r="R1458" s="403" t="str">
        <f>IF(M1458=0,IF(O1458=0,"DELETE"," ")," ")</f>
        <v>DELETE</v>
      </c>
      <c r="S1458" s="383"/>
      <c r="U1458" s="383"/>
    </row>
    <row r="1459" spans="2:24" ht="9" customHeight="1" x14ac:dyDescent="0.45">
      <c r="B1459" s="323"/>
      <c r="C1459" s="466"/>
      <c r="M1459" s="349"/>
      <c r="N1459" s="300"/>
      <c r="O1459" s="349"/>
      <c r="P1459" s="425"/>
      <c r="Q1459" s="442"/>
      <c r="R1459" s="403" t="str">
        <f t="shared" si="64"/>
        <v>DELETE</v>
      </c>
      <c r="S1459" s="383"/>
      <c r="U1459" s="383"/>
    </row>
    <row r="1460" spans="2:24" ht="9" customHeight="1" x14ac:dyDescent="0.45">
      <c r="B1460" s="323"/>
      <c r="C1460" s="466"/>
      <c r="M1460" s="363"/>
      <c r="N1460" s="314"/>
      <c r="O1460" s="363"/>
      <c r="P1460" s="425"/>
      <c r="Q1460" s="442"/>
      <c r="R1460" s="403" t="str">
        <f t="shared" si="64"/>
        <v>DELETE</v>
      </c>
      <c r="S1460" s="383"/>
      <c r="U1460" s="383"/>
    </row>
    <row r="1461" spans="2:24" ht="31.5" customHeight="1" x14ac:dyDescent="0.45">
      <c r="B1461" s="323"/>
      <c r="C1461" s="466"/>
      <c r="D1461" s="400" t="s">
        <v>1060</v>
      </c>
      <c r="M1461" s="363">
        <f>SUM(S1465:S1467)</f>
        <v>0</v>
      </c>
      <c r="N1461" s="314"/>
      <c r="O1461" s="363">
        <f>SUM(U1465:U1467)</f>
        <v>0</v>
      </c>
      <c r="P1461" s="425"/>
      <c r="Q1461" s="442"/>
      <c r="R1461" s="403" t="str">
        <f t="shared" si="64"/>
        <v>DELETE</v>
      </c>
      <c r="S1461" s="383"/>
      <c r="U1461" s="383"/>
      <c r="V1461" s="378" t="b">
        <f>M1461=M1448+SUM(M1456:M1458)</f>
        <v>1</v>
      </c>
      <c r="X1461" s="378" t="b">
        <f>O1461=O1448+SUM(O1456:O1458)</f>
        <v>1</v>
      </c>
    </row>
    <row r="1462" spans="2:24" ht="9" customHeight="1" thickBot="1" x14ac:dyDescent="0.5">
      <c r="B1462" s="323"/>
      <c r="C1462" s="466"/>
      <c r="M1462" s="351"/>
      <c r="N1462" s="301"/>
      <c r="O1462" s="351"/>
      <c r="P1462" s="425"/>
      <c r="Q1462" s="442"/>
      <c r="R1462" s="403" t="str">
        <f t="shared" si="64"/>
        <v>DELETE</v>
      </c>
      <c r="S1462" s="383"/>
      <c r="U1462" s="383"/>
    </row>
    <row r="1463" spans="2:24" ht="9" customHeight="1" thickTop="1" x14ac:dyDescent="0.45">
      <c r="B1463" s="323"/>
      <c r="C1463" s="466"/>
      <c r="M1463" s="363"/>
      <c r="N1463" s="314"/>
      <c r="O1463" s="363"/>
      <c r="P1463" s="425"/>
      <c r="Q1463" s="442"/>
      <c r="R1463" s="403" t="str">
        <f t="shared" si="64"/>
        <v>DELETE</v>
      </c>
      <c r="S1463" s="383"/>
      <c r="U1463" s="383"/>
    </row>
    <row r="1464" spans="2:24" ht="9" customHeight="1" x14ac:dyDescent="0.45">
      <c r="B1464" s="323"/>
      <c r="C1464" s="466"/>
      <c r="M1464" s="353"/>
      <c r="N1464" s="299"/>
      <c r="O1464" s="366"/>
      <c r="P1464" s="425"/>
      <c r="Q1464" s="442"/>
      <c r="R1464" s="403" t="str">
        <f t="shared" si="64"/>
        <v>DELETE</v>
      </c>
      <c r="S1464" s="383"/>
      <c r="U1464" s="383"/>
    </row>
    <row r="1465" spans="2:24" ht="31.5" customHeight="1" x14ac:dyDescent="0.45">
      <c r="B1465" s="323"/>
      <c r="C1465" s="466"/>
      <c r="D1465" s="400" t="s">
        <v>383</v>
      </c>
      <c r="M1465" s="354">
        <f>TrialBalance!L293+TrialBalance!L294</f>
        <v>0</v>
      </c>
      <c r="N1465" s="314"/>
      <c r="O1465" s="367">
        <f>TrialBalance!N293+TrialBalance!N294</f>
        <v>0</v>
      </c>
      <c r="P1465" s="425"/>
      <c r="Q1465" s="442"/>
      <c r="R1465" s="403" t="str">
        <f t="shared" si="64"/>
        <v>DELETE</v>
      </c>
      <c r="S1465" s="383">
        <f>M1465</f>
        <v>0</v>
      </c>
      <c r="U1465" s="383">
        <f>O1465</f>
        <v>0</v>
      </c>
    </row>
    <row r="1466" spans="2:24" ht="31.5" customHeight="1" x14ac:dyDescent="0.45">
      <c r="B1466" s="323"/>
      <c r="C1466" s="466"/>
      <c r="D1466" s="400" t="s">
        <v>1056</v>
      </c>
      <c r="M1466" s="354">
        <f>-TrialBalance!L296-TrialBalance!L297</f>
        <v>0</v>
      </c>
      <c r="N1466" s="314"/>
      <c r="O1466" s="367">
        <f>-TrialBalance!N296-TrialBalance!N297</f>
        <v>0</v>
      </c>
      <c r="P1466" s="425"/>
      <c r="Q1466" s="442"/>
      <c r="R1466" s="403" t="str">
        <f t="shared" si="64"/>
        <v>DELETE</v>
      </c>
      <c r="S1466" s="383">
        <f>-M1466</f>
        <v>0</v>
      </c>
      <c r="U1466" s="383">
        <f>-O1466</f>
        <v>0</v>
      </c>
    </row>
    <row r="1467" spans="2:24" ht="31.5" customHeight="1" x14ac:dyDescent="0.45">
      <c r="B1467" s="323"/>
      <c r="C1467" s="466"/>
      <c r="D1467" s="400" t="s">
        <v>1057</v>
      </c>
      <c r="M1467" s="354">
        <f>-TrialBalance!L299-TrialBalance!L300</f>
        <v>0</v>
      </c>
      <c r="N1467" s="314"/>
      <c r="O1467" s="367">
        <f>-TrialBalance!N299-TrialBalance!N300</f>
        <v>0</v>
      </c>
      <c r="P1467" s="425"/>
      <c r="Q1467" s="442"/>
      <c r="R1467" s="403" t="str">
        <f>IF(M1467+O1467=0,"DELETE"," ")</f>
        <v>DELETE</v>
      </c>
      <c r="S1467" s="383">
        <f>-M1467</f>
        <v>0</v>
      </c>
      <c r="U1467" s="383">
        <f>-O1467</f>
        <v>0</v>
      </c>
    </row>
    <row r="1468" spans="2:24" ht="9" customHeight="1" x14ac:dyDescent="0.45">
      <c r="B1468" s="323"/>
      <c r="C1468" s="466"/>
      <c r="M1468" s="355"/>
      <c r="N1468" s="300"/>
      <c r="O1468" s="368"/>
      <c r="P1468" s="425"/>
      <c r="Q1468" s="442"/>
      <c r="R1468" s="403" t="str">
        <f t="shared" si="64"/>
        <v>DELETE</v>
      </c>
      <c r="S1468" s="383"/>
      <c r="U1468" s="383"/>
    </row>
    <row r="1469" spans="2:24" ht="9" customHeight="1" x14ac:dyDescent="0.45">
      <c r="B1469" s="323"/>
      <c r="C1469" s="466"/>
      <c r="M1469" s="363"/>
      <c r="N1469" s="314"/>
      <c r="O1469" s="363"/>
      <c r="P1469" s="425"/>
      <c r="Q1469" s="442"/>
      <c r="R1469" s="403" t="str">
        <f t="shared" si="64"/>
        <v>DELETE</v>
      </c>
      <c r="S1469" s="383"/>
      <c r="U1469" s="383"/>
    </row>
    <row r="1470" spans="2:24" ht="31.5" customHeight="1" x14ac:dyDescent="0.45">
      <c r="B1470" s="323"/>
      <c r="C1470" s="466"/>
      <c r="M1470" s="363"/>
      <c r="N1470" s="314"/>
      <c r="O1470" s="363"/>
      <c r="P1470" s="425"/>
      <c r="Q1470" s="442"/>
      <c r="R1470" s="403" t="str">
        <f t="shared" si="64"/>
        <v>DELETE</v>
      </c>
      <c r="S1470" s="383"/>
      <c r="U1470" s="383"/>
    </row>
    <row r="1471" spans="2:24" ht="9" customHeight="1" x14ac:dyDescent="0.45">
      <c r="B1471" s="323"/>
      <c r="C1471" s="466"/>
      <c r="M1471" s="349"/>
      <c r="N1471" s="300"/>
      <c r="O1471" s="349"/>
      <c r="P1471" s="425"/>
      <c r="Q1471" s="442"/>
      <c r="R1471" s="403" t="str">
        <f t="shared" ref="R1471:R1479" si="65">R$1408</f>
        <v>DELETE</v>
      </c>
      <c r="S1471" s="383"/>
      <c r="U1471" s="383"/>
    </row>
    <row r="1472" spans="2:24" ht="9" customHeight="1" x14ac:dyDescent="0.45">
      <c r="B1472" s="323"/>
      <c r="C1472" s="466"/>
      <c r="M1472" s="363"/>
      <c r="N1472" s="314"/>
      <c r="O1472" s="363"/>
      <c r="P1472" s="425"/>
      <c r="Q1472" s="442"/>
      <c r="R1472" s="403" t="str">
        <f t="shared" si="65"/>
        <v>DELETE</v>
      </c>
      <c r="S1472" s="383"/>
      <c r="U1472" s="383"/>
    </row>
    <row r="1473" spans="2:21" ht="31.5" customHeight="1" x14ac:dyDescent="0.45">
      <c r="B1473" s="323"/>
      <c r="C1473" s="466"/>
      <c r="D1473" s="400" t="s">
        <v>382</v>
      </c>
      <c r="M1473" s="363">
        <f>SUM(TrialBalance!L284:L300)</f>
        <v>0</v>
      </c>
      <c r="N1473" s="314"/>
      <c r="O1473" s="363">
        <f>SUM(TrialBalance!N284:N300)</f>
        <v>0</v>
      </c>
      <c r="P1473" s="425"/>
      <c r="Q1473" s="442"/>
      <c r="R1473" s="403" t="str">
        <f t="shared" si="65"/>
        <v>DELETE</v>
      </c>
      <c r="S1473" s="383"/>
      <c r="U1473" s="383"/>
    </row>
    <row r="1474" spans="2:21" ht="9" customHeight="1" thickBot="1" x14ac:dyDescent="0.5">
      <c r="B1474" s="323"/>
      <c r="C1474" s="466"/>
      <c r="M1474" s="351"/>
      <c r="N1474" s="301"/>
      <c r="O1474" s="351"/>
      <c r="P1474" s="425"/>
      <c r="Q1474" s="442"/>
      <c r="R1474" s="403" t="str">
        <f t="shared" si="65"/>
        <v>DELETE</v>
      </c>
      <c r="S1474" s="383"/>
      <c r="U1474" s="383"/>
    </row>
    <row r="1475" spans="2:21" ht="9" customHeight="1" thickTop="1" x14ac:dyDescent="0.45">
      <c r="B1475" s="323"/>
      <c r="C1475" s="466"/>
      <c r="M1475" s="363"/>
      <c r="N1475" s="314"/>
      <c r="O1475" s="363"/>
      <c r="P1475" s="425"/>
      <c r="Q1475" s="442"/>
      <c r="R1475" s="403" t="str">
        <f t="shared" si="65"/>
        <v>DELETE</v>
      </c>
      <c r="S1475" s="383"/>
      <c r="U1475" s="383"/>
    </row>
    <row r="1476" spans="2:21" ht="31.5" customHeight="1" x14ac:dyDescent="0.45">
      <c r="B1476" s="323"/>
      <c r="C1476" s="466"/>
      <c r="M1476" s="363"/>
      <c r="N1476" s="314"/>
      <c r="O1476" s="363"/>
      <c r="P1476" s="425"/>
      <c r="Q1476" s="442"/>
      <c r="R1476" s="403" t="str">
        <f t="shared" si="65"/>
        <v>DELETE</v>
      </c>
      <c r="S1476" s="383"/>
      <c r="U1476" s="383"/>
    </row>
    <row r="1477" spans="2:21" ht="31.5" customHeight="1" x14ac:dyDescent="0.45">
      <c r="B1477" s="323"/>
      <c r="C1477" s="417"/>
      <c r="M1477" s="363"/>
      <c r="N1477" s="314"/>
      <c r="O1477" s="363"/>
      <c r="P1477" s="425"/>
      <c r="Q1477" s="442"/>
      <c r="R1477" s="403" t="str">
        <f t="shared" si="65"/>
        <v>DELETE</v>
      </c>
    </row>
    <row r="1478" spans="2:21" ht="31.5" customHeight="1" x14ac:dyDescent="0.45">
      <c r="B1478" s="324"/>
      <c r="C1478" s="465"/>
      <c r="D1478" s="429"/>
      <c r="E1478" s="429"/>
      <c r="F1478" s="429"/>
      <c r="G1478" s="429"/>
      <c r="H1478" s="429"/>
      <c r="I1478" s="429"/>
      <c r="J1478" s="429"/>
      <c r="K1478" s="429"/>
      <c r="L1478" s="429"/>
      <c r="M1478" s="349"/>
      <c r="N1478" s="300"/>
      <c r="O1478" s="349"/>
      <c r="P1478" s="433"/>
      <c r="Q1478" s="446"/>
      <c r="R1478" s="403" t="str">
        <f t="shared" si="65"/>
        <v>DELETE</v>
      </c>
    </row>
    <row r="1479" spans="2:21" ht="31.5" customHeight="1" x14ac:dyDescent="0.45">
      <c r="B1479" s="422"/>
      <c r="R1479" s="403" t="str">
        <f t="shared" si="65"/>
        <v>DELETE</v>
      </c>
    </row>
    <row r="1480" spans="2:21" ht="31.5" customHeight="1" x14ac:dyDescent="0.45">
      <c r="B1480" s="422"/>
      <c r="R1480" s="403" t="str">
        <f>R$1496</f>
        <v>DELETE</v>
      </c>
    </row>
    <row r="1481" spans="2:21" ht="31.5" customHeight="1" x14ac:dyDescent="0.45">
      <c r="B1481" s="422"/>
      <c r="D1481" s="417" t="str">
        <f>Criteria!E9</f>
        <v>HOLDING COMPANY 268 (PROPRIETARY) LIMITED</v>
      </c>
      <c r="O1481" s="346" t="s">
        <v>96</v>
      </c>
      <c r="Q1481" s="292">
        <f>MAX($Q$114:Q1480)+1</f>
        <v>34</v>
      </c>
      <c r="R1481" s="403" t="str">
        <f t="shared" ref="R1481:R1490" si="66">R$1496</f>
        <v>DELETE</v>
      </c>
    </row>
    <row r="1482" spans="2:21" ht="31.5" customHeight="1" x14ac:dyDescent="0.45">
      <c r="B1482" s="422"/>
      <c r="D1482" s="417" t="str">
        <f>Criteria!E10</f>
        <v>CONSOLIDATED FINANCIAL STATEMENTS</v>
      </c>
      <c r="R1482" s="403" t="str">
        <f>IF(R$1496="DELETE","DELETE",IF(D1482=0,"DELETE"," "))</f>
        <v>DELETE</v>
      </c>
    </row>
    <row r="1483" spans="2:21" ht="31.5" customHeight="1" x14ac:dyDescent="0.45">
      <c r="B1483" s="422"/>
      <c r="R1483" s="403" t="str">
        <f t="shared" si="66"/>
        <v>DELETE</v>
      </c>
    </row>
    <row r="1484" spans="2:21" ht="31.5" customHeight="1" x14ac:dyDescent="0.45">
      <c r="B1484" s="422"/>
      <c r="D1484" s="417" t="s">
        <v>377</v>
      </c>
      <c r="R1484" s="403" t="str">
        <f t="shared" si="66"/>
        <v>DELETE</v>
      </c>
    </row>
    <row r="1485" spans="2:21" ht="31.5" customHeight="1" x14ac:dyDescent="0.45">
      <c r="B1485" s="422"/>
      <c r="D1485" s="417" t="str">
        <f>Criteria!E20</f>
        <v>29 FEBRUARY 2024</v>
      </c>
      <c r="J1485" s="400" t="s">
        <v>247</v>
      </c>
      <c r="R1485" s="403" t="str">
        <f t="shared" si="66"/>
        <v>DELETE</v>
      </c>
    </row>
    <row r="1486" spans="2:21" ht="31.5" customHeight="1" x14ac:dyDescent="0.45">
      <c r="B1486" s="422"/>
      <c r="R1486" s="403" t="str">
        <f t="shared" si="66"/>
        <v>DELETE</v>
      </c>
    </row>
    <row r="1487" spans="2:21" ht="31.5" customHeight="1" x14ac:dyDescent="0.45">
      <c r="B1487" s="457"/>
      <c r="C1487" s="439"/>
      <c r="D1487" s="439"/>
      <c r="E1487" s="439"/>
      <c r="F1487" s="439"/>
      <c r="G1487" s="439"/>
      <c r="H1487" s="439"/>
      <c r="I1487" s="439"/>
      <c r="J1487" s="439"/>
      <c r="K1487" s="439"/>
      <c r="L1487" s="439"/>
      <c r="M1487" s="447"/>
      <c r="N1487" s="448"/>
      <c r="O1487" s="447"/>
      <c r="P1487" s="448"/>
      <c r="Q1487" s="440"/>
      <c r="R1487" s="403" t="str">
        <f t="shared" si="66"/>
        <v>DELETE</v>
      </c>
    </row>
    <row r="1488" spans="2:21" ht="31.5" customHeight="1" x14ac:dyDescent="0.45">
      <c r="B1488" s="459"/>
      <c r="M1488" s="344">
        <f>Criteria!E22</f>
        <v>2024</v>
      </c>
      <c r="N1488" s="294"/>
      <c r="O1488" s="344">
        <f>Criteria!E27</f>
        <v>2023</v>
      </c>
      <c r="P1488" s="425"/>
      <c r="Q1488" s="442"/>
      <c r="R1488" s="403" t="str">
        <f t="shared" si="66"/>
        <v>DELETE</v>
      </c>
    </row>
    <row r="1489" spans="2:18" ht="31.5" customHeight="1" x14ac:dyDescent="0.45">
      <c r="B1489" s="459"/>
      <c r="M1489" s="424"/>
      <c r="N1489" s="425"/>
      <c r="O1489" s="424"/>
      <c r="P1489" s="425"/>
      <c r="Q1489" s="442"/>
      <c r="R1489" s="403" t="str">
        <f t="shared" si="66"/>
        <v>DELETE</v>
      </c>
    </row>
    <row r="1490" spans="2:18" ht="31.5" customHeight="1" x14ac:dyDescent="0.45">
      <c r="B1490" s="323">
        <f>MAX(B$559:B1489)+1</f>
        <v>12</v>
      </c>
      <c r="C1490" s="417" t="str">
        <f>IF(COUNTIF(TrialBalance!N303:N305,"&gt;0")&gt;1,"INVESTMENTS IN ASSOCIATES",IF(COUNTIF(TrialBalance!L303:L305,"&gt;0")&gt;1,"INVESTMENTS IN ASSOCIATES","INVESTMENT IN ASSOCIATE"))</f>
        <v>INVESTMENT IN ASSOCIATE</v>
      </c>
      <c r="M1490" s="424"/>
      <c r="N1490" s="425"/>
      <c r="O1490" s="424"/>
      <c r="P1490" s="425"/>
      <c r="Q1490" s="442"/>
      <c r="R1490" s="403" t="str">
        <f t="shared" si="66"/>
        <v>DELETE</v>
      </c>
    </row>
    <row r="1491" spans="2:18" ht="31.5" customHeight="1" x14ac:dyDescent="0.45">
      <c r="B1491" s="459"/>
      <c r="D1491" s="400" t="str">
        <f>TrialBalance!C303</f>
        <v>100 Shares in ABC Company (Pty) Ltd - 100% interest</v>
      </c>
      <c r="M1491" s="436">
        <f>TrialBalance!L303</f>
        <v>0</v>
      </c>
      <c r="N1491" s="460"/>
      <c r="O1491" s="436">
        <f>TrialBalance!N303</f>
        <v>0</v>
      </c>
      <c r="P1491" s="425"/>
      <c r="Q1491" s="442"/>
      <c r="R1491" s="403" t="str">
        <f t="shared" ref="R1491:R1493" si="67">IF(M1491+O1491=0,"DELETE"," ")</f>
        <v>DELETE</v>
      </c>
    </row>
    <row r="1492" spans="2:18" ht="31.5" customHeight="1" x14ac:dyDescent="0.45">
      <c r="B1492" s="459"/>
      <c r="D1492" s="400">
        <f>TrialBalance!C304</f>
        <v>0</v>
      </c>
      <c r="M1492" s="436">
        <f>TrialBalance!L304</f>
        <v>0</v>
      </c>
      <c r="N1492" s="460"/>
      <c r="O1492" s="436">
        <f>TrialBalance!N304</f>
        <v>0</v>
      </c>
      <c r="P1492" s="425"/>
      <c r="Q1492" s="442"/>
      <c r="R1492" s="403" t="str">
        <f t="shared" si="67"/>
        <v>DELETE</v>
      </c>
    </row>
    <row r="1493" spans="2:18" ht="31.5" customHeight="1" x14ac:dyDescent="0.45">
      <c r="B1493" s="459"/>
      <c r="D1493" s="400">
        <f>TrialBalance!C305</f>
        <v>0</v>
      </c>
      <c r="M1493" s="436">
        <f>TrialBalance!L305</f>
        <v>0</v>
      </c>
      <c r="N1493" s="460"/>
      <c r="O1493" s="436">
        <f>TrialBalance!N305</f>
        <v>0</v>
      </c>
      <c r="P1493" s="425"/>
      <c r="Q1493" s="442"/>
      <c r="R1493" s="403" t="str">
        <f t="shared" si="67"/>
        <v>DELETE</v>
      </c>
    </row>
    <row r="1494" spans="2:18" ht="9" customHeight="1" x14ac:dyDescent="0.45">
      <c r="B1494" s="459"/>
      <c r="M1494" s="437"/>
      <c r="N1494" s="461"/>
      <c r="O1494" s="437"/>
      <c r="P1494" s="425"/>
      <c r="Q1494" s="442"/>
      <c r="R1494" s="403" t="str">
        <f t="shared" ref="R1494:R1503" si="68">R$1496</f>
        <v>DELETE</v>
      </c>
    </row>
    <row r="1495" spans="2:18" ht="9" customHeight="1" x14ac:dyDescent="0.45">
      <c r="B1495" s="459"/>
      <c r="M1495" s="436"/>
      <c r="N1495" s="460"/>
      <c r="O1495" s="436"/>
      <c r="P1495" s="425"/>
      <c r="Q1495" s="442"/>
      <c r="R1495" s="403" t="str">
        <f t="shared" si="68"/>
        <v>DELETE</v>
      </c>
    </row>
    <row r="1496" spans="2:18" ht="31.5" customHeight="1" x14ac:dyDescent="0.45">
      <c r="B1496" s="459"/>
      <c r="M1496" s="436">
        <f>SUM(M1491:M1495)</f>
        <v>0</v>
      </c>
      <c r="N1496" s="460"/>
      <c r="O1496" s="436">
        <f>SUM(O1491:O1495)</f>
        <v>0</v>
      </c>
      <c r="P1496" s="425"/>
      <c r="Q1496" s="442"/>
      <c r="R1496" s="403" t="str">
        <f t="shared" ref="R1496" si="69">IF(M1496+O1496=0,"DELETE"," ")</f>
        <v>DELETE</v>
      </c>
    </row>
    <row r="1497" spans="2:18" ht="9" customHeight="1" thickBot="1" x14ac:dyDescent="0.5">
      <c r="B1497" s="459"/>
      <c r="M1497" s="435"/>
      <c r="N1497" s="462"/>
      <c r="O1497" s="435"/>
      <c r="P1497" s="425"/>
      <c r="Q1497" s="442"/>
      <c r="R1497" s="403" t="str">
        <f t="shared" si="68"/>
        <v>DELETE</v>
      </c>
    </row>
    <row r="1498" spans="2:18" ht="9" customHeight="1" thickTop="1" x14ac:dyDescent="0.45">
      <c r="B1498" s="459"/>
      <c r="M1498" s="436"/>
      <c r="N1498" s="460"/>
      <c r="O1498" s="436"/>
      <c r="P1498" s="425"/>
      <c r="Q1498" s="442"/>
      <c r="R1498" s="403" t="str">
        <f t="shared" si="68"/>
        <v>DELETE</v>
      </c>
    </row>
    <row r="1499" spans="2:18" ht="31.5" customHeight="1" x14ac:dyDescent="0.45">
      <c r="B1499" s="459"/>
      <c r="C1499" s="400" t="str">
        <f>IF(COUNTIF(TrialBalance!N303:N305,"&gt;0")&gt;1,"The shares of the associates are not publicly traded.",IF(COUNTIF(TrialBalance!L303:L305,"&gt;0")&gt;1,"The shares of the associates are not publicly traded.","The shares of the associate are not publicly traded."))</f>
        <v>The shares of the associate are not publicly traded.</v>
      </c>
      <c r="M1499" s="436"/>
      <c r="N1499" s="460"/>
      <c r="O1499" s="436"/>
      <c r="P1499" s="425"/>
      <c r="Q1499" s="442"/>
      <c r="R1499" s="403" t="str">
        <f t="shared" si="68"/>
        <v>DELETE</v>
      </c>
    </row>
    <row r="1500" spans="2:18" ht="31.5" customHeight="1" x14ac:dyDescent="0.45">
      <c r="B1500" s="459"/>
      <c r="M1500" s="424"/>
      <c r="N1500" s="425"/>
      <c r="O1500" s="424"/>
      <c r="P1500" s="425"/>
      <c r="Q1500" s="442"/>
      <c r="R1500" s="403" t="str">
        <f t="shared" si="68"/>
        <v>DELETE</v>
      </c>
    </row>
    <row r="1501" spans="2:18" ht="31.5" customHeight="1" x14ac:dyDescent="0.45">
      <c r="B1501" s="459"/>
      <c r="M1501" s="424"/>
      <c r="N1501" s="425"/>
      <c r="O1501" s="424"/>
      <c r="P1501" s="425"/>
      <c r="Q1501" s="442"/>
      <c r="R1501" s="403" t="str">
        <f t="shared" si="68"/>
        <v>DELETE</v>
      </c>
    </row>
    <row r="1502" spans="2:18" ht="31.5" customHeight="1" x14ac:dyDescent="0.45">
      <c r="B1502" s="455"/>
      <c r="C1502" s="429"/>
      <c r="D1502" s="429"/>
      <c r="E1502" s="429"/>
      <c r="F1502" s="429"/>
      <c r="G1502" s="429"/>
      <c r="H1502" s="429"/>
      <c r="I1502" s="429"/>
      <c r="J1502" s="429"/>
      <c r="K1502" s="429"/>
      <c r="L1502" s="429"/>
      <c r="M1502" s="432"/>
      <c r="N1502" s="433"/>
      <c r="O1502" s="432"/>
      <c r="P1502" s="433"/>
      <c r="Q1502" s="446"/>
      <c r="R1502" s="403" t="str">
        <f t="shared" si="68"/>
        <v>DELETE</v>
      </c>
    </row>
    <row r="1503" spans="2:18" ht="31.5" customHeight="1" x14ac:dyDescent="0.45">
      <c r="B1503" s="422"/>
      <c r="R1503" s="403" t="str">
        <f t="shared" si="68"/>
        <v>DELETE</v>
      </c>
    </row>
    <row r="1504" spans="2:18" ht="31.5" customHeight="1" x14ac:dyDescent="0.45">
      <c r="B1504" s="422"/>
      <c r="R1504" s="403" t="str">
        <f>R$1522</f>
        <v>DELETE</v>
      </c>
    </row>
    <row r="1505" spans="2:18" ht="31.5" customHeight="1" x14ac:dyDescent="0.45">
      <c r="B1505" s="422"/>
      <c r="D1505" s="417" t="str">
        <f>Criteria!E9</f>
        <v>HOLDING COMPANY 268 (PROPRIETARY) LIMITED</v>
      </c>
      <c r="O1505" s="346" t="s">
        <v>96</v>
      </c>
      <c r="Q1505" s="292">
        <f>MAX($Q$114:Q1504)+1</f>
        <v>35</v>
      </c>
      <c r="R1505" s="403" t="str">
        <f t="shared" ref="R1505:R1514" si="70">R$1522</f>
        <v>DELETE</v>
      </c>
    </row>
    <row r="1506" spans="2:18" ht="31.5" customHeight="1" x14ac:dyDescent="0.45">
      <c r="B1506" s="422"/>
      <c r="D1506" s="417" t="str">
        <f>Criteria!E10</f>
        <v>CONSOLIDATED FINANCIAL STATEMENTS</v>
      </c>
      <c r="R1506" s="403" t="str">
        <f>IF(R$1522="DELETE","DELETE",IF(D1506=0,"DELETE"," "))</f>
        <v>DELETE</v>
      </c>
    </row>
    <row r="1507" spans="2:18" ht="31.5" customHeight="1" x14ac:dyDescent="0.45">
      <c r="B1507" s="422"/>
      <c r="R1507" s="403" t="str">
        <f t="shared" si="70"/>
        <v>DELETE</v>
      </c>
    </row>
    <row r="1508" spans="2:18" ht="31.5" customHeight="1" x14ac:dyDescent="0.45">
      <c r="B1508" s="422"/>
      <c r="D1508" s="417" t="s">
        <v>377</v>
      </c>
      <c r="R1508" s="403" t="str">
        <f t="shared" si="70"/>
        <v>DELETE</v>
      </c>
    </row>
    <row r="1509" spans="2:18" ht="31.5" customHeight="1" x14ac:dyDescent="0.45">
      <c r="B1509" s="422"/>
      <c r="D1509" s="417" t="str">
        <f>Criteria!E20</f>
        <v>29 FEBRUARY 2024</v>
      </c>
      <c r="J1509" s="400" t="s">
        <v>247</v>
      </c>
      <c r="R1509" s="403" t="str">
        <f t="shared" si="70"/>
        <v>DELETE</v>
      </c>
    </row>
    <row r="1510" spans="2:18" ht="31.5" customHeight="1" x14ac:dyDescent="0.45">
      <c r="B1510" s="422"/>
      <c r="R1510" s="403" t="str">
        <f t="shared" si="70"/>
        <v>DELETE</v>
      </c>
    </row>
    <row r="1511" spans="2:18" ht="31.5" customHeight="1" x14ac:dyDescent="0.45">
      <c r="B1511" s="457"/>
      <c r="C1511" s="439"/>
      <c r="D1511" s="439"/>
      <c r="E1511" s="439"/>
      <c r="F1511" s="439"/>
      <c r="G1511" s="439"/>
      <c r="H1511" s="439"/>
      <c r="I1511" s="439"/>
      <c r="J1511" s="439"/>
      <c r="K1511" s="439"/>
      <c r="L1511" s="439"/>
      <c r="M1511" s="447"/>
      <c r="N1511" s="448"/>
      <c r="O1511" s="447"/>
      <c r="P1511" s="448"/>
      <c r="Q1511" s="440"/>
      <c r="R1511" s="403" t="str">
        <f t="shared" si="70"/>
        <v>DELETE</v>
      </c>
    </row>
    <row r="1512" spans="2:18" ht="31.5" customHeight="1" x14ac:dyDescent="0.45">
      <c r="B1512" s="459"/>
      <c r="M1512" s="344">
        <f>Criteria!E22</f>
        <v>2024</v>
      </c>
      <c r="N1512" s="294"/>
      <c r="O1512" s="344">
        <f>Criteria!E27</f>
        <v>2023</v>
      </c>
      <c r="Q1512" s="442"/>
      <c r="R1512" s="403" t="str">
        <f t="shared" si="70"/>
        <v>DELETE</v>
      </c>
    </row>
    <row r="1513" spans="2:18" ht="31.5" customHeight="1" x14ac:dyDescent="0.45">
      <c r="B1513" s="459"/>
      <c r="Q1513" s="442"/>
      <c r="R1513" s="403" t="str">
        <f t="shared" si="70"/>
        <v>DELETE</v>
      </c>
    </row>
    <row r="1514" spans="2:18" ht="31.5" customHeight="1" x14ac:dyDescent="0.45">
      <c r="B1514" s="323">
        <f>MAX(B$559:B1513)+1</f>
        <v>13</v>
      </c>
      <c r="C1514" s="417" t="str">
        <f>IF(COUNTIF(TrialBalance!N307:N311,"&gt;0")&gt;1,"LISTED INVESTMENTS",IF(COUNTIF(TrialBalance!L307:L311,"&gt;0")&gt;1,"LISTED INVESTMENTS","LISTED INVESTMENT"))</f>
        <v>LISTED INVESTMENT</v>
      </c>
      <c r="M1514" s="426"/>
      <c r="N1514" s="406"/>
      <c r="O1514" s="426"/>
      <c r="Q1514" s="442"/>
      <c r="R1514" s="403" t="str">
        <f t="shared" si="70"/>
        <v>DELETE</v>
      </c>
    </row>
    <row r="1515" spans="2:18" ht="31.5" customHeight="1" x14ac:dyDescent="0.45">
      <c r="B1515" s="323"/>
      <c r="C1515" s="417"/>
      <c r="D1515" s="400">
        <f>TrialBalance!C307</f>
        <v>0</v>
      </c>
      <c r="M1515" s="347">
        <f>TrialBalance!L307</f>
        <v>0</v>
      </c>
      <c r="N1515" s="298"/>
      <c r="O1515" s="347">
        <f>TrialBalance!N307</f>
        <v>0</v>
      </c>
      <c r="Q1515" s="442"/>
      <c r="R1515" s="403" t="str">
        <f>IF(M1515+O1515=0,"DELETE"," ")</f>
        <v>DELETE</v>
      </c>
    </row>
    <row r="1516" spans="2:18" ht="31.5" customHeight="1" x14ac:dyDescent="0.45">
      <c r="B1516" s="323"/>
      <c r="C1516" s="417"/>
      <c r="D1516" s="400">
        <f>TrialBalance!C308</f>
        <v>0</v>
      </c>
      <c r="M1516" s="347">
        <f>TrialBalance!L308</f>
        <v>0</v>
      </c>
      <c r="N1516" s="298"/>
      <c r="O1516" s="347">
        <f>TrialBalance!N308</f>
        <v>0</v>
      </c>
      <c r="Q1516" s="442"/>
      <c r="R1516" s="403" t="str">
        <f>IF(M1516+O1516=0,"DELETE"," ")</f>
        <v>DELETE</v>
      </c>
    </row>
    <row r="1517" spans="2:18" ht="31.5" customHeight="1" x14ac:dyDescent="0.45">
      <c r="B1517" s="323"/>
      <c r="C1517" s="417"/>
      <c r="D1517" s="400">
        <f>TrialBalance!C309</f>
        <v>0</v>
      </c>
      <c r="M1517" s="347">
        <f>TrialBalance!L309</f>
        <v>0</v>
      </c>
      <c r="N1517" s="298"/>
      <c r="O1517" s="347">
        <f>TrialBalance!N309</f>
        <v>0</v>
      </c>
      <c r="Q1517" s="442"/>
      <c r="R1517" s="403" t="str">
        <f>IF(M1517+O1517=0,"DELETE"," ")</f>
        <v>DELETE</v>
      </c>
    </row>
    <row r="1518" spans="2:18" ht="31.5" customHeight="1" x14ac:dyDescent="0.45">
      <c r="B1518" s="323"/>
      <c r="C1518" s="417"/>
      <c r="D1518" s="400">
        <f>TrialBalance!C310</f>
        <v>0</v>
      </c>
      <c r="M1518" s="347">
        <f>TrialBalance!L310</f>
        <v>0</v>
      </c>
      <c r="N1518" s="298"/>
      <c r="O1518" s="347">
        <f>TrialBalance!N310</f>
        <v>0</v>
      </c>
      <c r="Q1518" s="442"/>
      <c r="R1518" s="403" t="str">
        <f>IF(M1518+O1518=0,"DELETE"," ")</f>
        <v>DELETE</v>
      </c>
    </row>
    <row r="1519" spans="2:18" ht="31.5" customHeight="1" x14ac:dyDescent="0.45">
      <c r="B1519" s="323"/>
      <c r="C1519" s="417"/>
      <c r="D1519" s="400">
        <f>TrialBalance!C311</f>
        <v>0</v>
      </c>
      <c r="M1519" s="347">
        <f>TrialBalance!L311</f>
        <v>0</v>
      </c>
      <c r="N1519" s="298"/>
      <c r="O1519" s="347">
        <f>TrialBalance!N311</f>
        <v>0</v>
      </c>
      <c r="Q1519" s="442"/>
      <c r="R1519" s="403" t="str">
        <f>IF(M1519+O1519=0,"DELETE"," ")</f>
        <v>DELETE</v>
      </c>
    </row>
    <row r="1520" spans="2:18" ht="9" customHeight="1" x14ac:dyDescent="0.45">
      <c r="B1520" s="323"/>
      <c r="C1520" s="417"/>
      <c r="M1520" s="349"/>
      <c r="N1520" s="300"/>
      <c r="O1520" s="349"/>
      <c r="Q1520" s="442"/>
      <c r="R1520" s="403" t="str">
        <f>R1522</f>
        <v>DELETE</v>
      </c>
    </row>
    <row r="1521" spans="2:18" ht="9" customHeight="1" x14ac:dyDescent="0.45">
      <c r="B1521" s="323"/>
      <c r="C1521" s="417"/>
      <c r="M1521" s="347"/>
      <c r="N1521" s="298"/>
      <c r="O1521" s="347"/>
      <c r="Q1521" s="442"/>
      <c r="R1521" s="403" t="str">
        <f>R1522</f>
        <v>DELETE</v>
      </c>
    </row>
    <row r="1522" spans="2:18" ht="31.5" customHeight="1" x14ac:dyDescent="0.45">
      <c r="B1522" s="323"/>
      <c r="C1522" s="417"/>
      <c r="M1522" s="347">
        <f>SUM(M1515:M1521)</f>
        <v>0</v>
      </c>
      <c r="N1522" s="298"/>
      <c r="O1522" s="347">
        <f>SUM(O1515:O1521)</f>
        <v>0</v>
      </c>
      <c r="Q1522" s="442"/>
      <c r="R1522" s="403" t="str">
        <f>IF(M1522+O1522=0,"DELETE"," ")</f>
        <v>DELETE</v>
      </c>
    </row>
    <row r="1523" spans="2:18" ht="9" customHeight="1" thickBot="1" x14ac:dyDescent="0.5">
      <c r="B1523" s="323"/>
      <c r="C1523" s="417"/>
      <c r="M1523" s="351"/>
      <c r="N1523" s="301"/>
      <c r="O1523" s="351"/>
      <c r="Q1523" s="442"/>
      <c r="R1523" s="403" t="str">
        <f>R1522</f>
        <v>DELETE</v>
      </c>
    </row>
    <row r="1524" spans="2:18" ht="9" customHeight="1" thickTop="1" x14ac:dyDescent="0.45">
      <c r="B1524" s="323"/>
      <c r="C1524" s="417"/>
      <c r="M1524" s="363"/>
      <c r="N1524" s="314"/>
      <c r="O1524" s="363"/>
      <c r="Q1524" s="442"/>
      <c r="R1524" s="403" t="str">
        <f>R1523</f>
        <v>DELETE</v>
      </c>
    </row>
    <row r="1525" spans="2:18" ht="31.5" customHeight="1" x14ac:dyDescent="0.45">
      <c r="B1525" s="323"/>
      <c r="C1525" s="417"/>
      <c r="M1525" s="363"/>
      <c r="N1525" s="314"/>
      <c r="O1525" s="363"/>
      <c r="Q1525" s="442"/>
      <c r="R1525" s="403" t="str">
        <f t="shared" ref="R1525:R1532" si="71">R$1522</f>
        <v>DELETE</v>
      </c>
    </row>
    <row r="1526" spans="2:18" ht="9" customHeight="1" x14ac:dyDescent="0.45">
      <c r="B1526" s="323"/>
      <c r="C1526" s="417"/>
      <c r="M1526" s="349"/>
      <c r="N1526" s="300"/>
      <c r="O1526" s="349"/>
      <c r="Q1526" s="442"/>
      <c r="R1526" s="403" t="str">
        <f>R1527</f>
        <v>DELETE</v>
      </c>
    </row>
    <row r="1527" spans="2:18" ht="9" customHeight="1" x14ac:dyDescent="0.45">
      <c r="B1527" s="323"/>
      <c r="C1527" s="417"/>
      <c r="M1527" s="363"/>
      <c r="N1527" s="314"/>
      <c r="O1527" s="363"/>
      <c r="Q1527" s="442"/>
      <c r="R1527" s="403" t="str">
        <f>R1528</f>
        <v>DELETE</v>
      </c>
    </row>
    <row r="1528" spans="2:18" ht="31.5" customHeight="1" x14ac:dyDescent="0.45">
      <c r="B1528" s="323"/>
      <c r="C1528" s="400" t="s">
        <v>743</v>
      </c>
      <c r="M1528" s="363">
        <f>Criteria!G235</f>
        <v>0</v>
      </c>
      <c r="N1528" s="314"/>
      <c r="O1528" s="363">
        <f>Criteria!H235</f>
        <v>0</v>
      </c>
      <c r="Q1528" s="442"/>
      <c r="R1528" s="403" t="str">
        <f>IF(M1528+O1528=0,"DELETE"," ")</f>
        <v>DELETE</v>
      </c>
    </row>
    <row r="1529" spans="2:18" ht="9" customHeight="1" thickBot="1" x14ac:dyDescent="0.5">
      <c r="B1529" s="323"/>
      <c r="M1529" s="351"/>
      <c r="N1529" s="301"/>
      <c r="O1529" s="351"/>
      <c r="Q1529" s="442"/>
      <c r="R1529" s="403" t="str">
        <f>R1528</f>
        <v>DELETE</v>
      </c>
    </row>
    <row r="1530" spans="2:18" ht="9" customHeight="1" thickTop="1" x14ac:dyDescent="0.45">
      <c r="B1530" s="323"/>
      <c r="M1530" s="363"/>
      <c r="N1530" s="314"/>
      <c r="O1530" s="363"/>
      <c r="Q1530" s="442"/>
      <c r="R1530" s="403" t="str">
        <f>R1529</f>
        <v>DELETE</v>
      </c>
    </row>
    <row r="1531" spans="2:18" ht="31.5" customHeight="1" x14ac:dyDescent="0.45">
      <c r="B1531" s="323"/>
      <c r="C1531" s="417"/>
      <c r="M1531" s="363"/>
      <c r="N1531" s="314"/>
      <c r="O1531" s="363"/>
      <c r="Q1531" s="442"/>
      <c r="R1531" s="403" t="str">
        <f t="shared" si="71"/>
        <v>DELETE</v>
      </c>
    </row>
    <row r="1532" spans="2:18" ht="31.5" customHeight="1" x14ac:dyDescent="0.45">
      <c r="B1532" s="323"/>
      <c r="C1532" s="417"/>
      <c r="M1532" s="363"/>
      <c r="N1532" s="314"/>
      <c r="O1532" s="363"/>
      <c r="Q1532" s="442"/>
      <c r="R1532" s="403" t="str">
        <f t="shared" si="71"/>
        <v>DELETE</v>
      </c>
    </row>
    <row r="1533" spans="2:18" ht="31.5" customHeight="1" x14ac:dyDescent="0.45">
      <c r="B1533" s="324"/>
      <c r="C1533" s="465"/>
      <c r="D1533" s="429"/>
      <c r="E1533" s="429"/>
      <c r="F1533" s="429"/>
      <c r="G1533" s="429"/>
      <c r="H1533" s="429"/>
      <c r="I1533" s="429"/>
      <c r="J1533" s="429"/>
      <c r="K1533" s="429"/>
      <c r="L1533" s="429"/>
      <c r="M1533" s="349"/>
      <c r="N1533" s="300"/>
      <c r="O1533" s="349"/>
      <c r="P1533" s="433"/>
      <c r="Q1533" s="446"/>
      <c r="R1533" s="403" t="str">
        <f>R$1522</f>
        <v>DELETE</v>
      </c>
    </row>
    <row r="1534" spans="2:18" ht="31.5" customHeight="1" x14ac:dyDescent="0.45">
      <c r="B1534" s="325"/>
      <c r="C1534" s="417"/>
      <c r="M1534" s="347"/>
      <c r="N1534" s="298"/>
      <c r="O1534" s="347"/>
      <c r="R1534" s="403" t="str">
        <f>R$1522</f>
        <v>DELETE</v>
      </c>
    </row>
    <row r="1535" spans="2:18" ht="31.5" customHeight="1" x14ac:dyDescent="0.45">
      <c r="B1535" s="325"/>
      <c r="C1535" s="417"/>
      <c r="M1535" s="347"/>
      <c r="N1535" s="298"/>
      <c r="O1535" s="347"/>
      <c r="R1535" s="403" t="str">
        <f>R$1553</f>
        <v>DELETE</v>
      </c>
    </row>
    <row r="1536" spans="2:18" ht="31.5" customHeight="1" x14ac:dyDescent="0.45">
      <c r="B1536" s="422"/>
      <c r="D1536" s="417" t="str">
        <f>Criteria!E9</f>
        <v>HOLDING COMPANY 268 (PROPRIETARY) LIMITED</v>
      </c>
      <c r="O1536" s="346" t="s">
        <v>96</v>
      </c>
      <c r="Q1536" s="292">
        <f>MAX($Q$114:Q1535)+1</f>
        <v>36</v>
      </c>
      <c r="R1536" s="403" t="str">
        <f>R$1553</f>
        <v>DELETE</v>
      </c>
    </row>
    <row r="1537" spans="2:24" ht="31.5" customHeight="1" x14ac:dyDescent="0.45">
      <c r="B1537" s="422"/>
      <c r="D1537" s="417" t="str">
        <f>Criteria!E10</f>
        <v>CONSOLIDATED FINANCIAL STATEMENTS</v>
      </c>
      <c r="R1537" s="403" t="str">
        <f>IF(R$1553="DELETE","DELETE",IF(D1537=0,"DELETE"," "))</f>
        <v>DELETE</v>
      </c>
    </row>
    <row r="1538" spans="2:24" ht="31.5" customHeight="1" x14ac:dyDescent="0.45">
      <c r="B1538" s="422"/>
      <c r="R1538" s="403" t="str">
        <f t="shared" ref="R1538:R1545" si="72">R$1553</f>
        <v>DELETE</v>
      </c>
    </row>
    <row r="1539" spans="2:24" ht="31.5" customHeight="1" x14ac:dyDescent="0.45">
      <c r="B1539" s="422"/>
      <c r="D1539" s="417" t="s">
        <v>377</v>
      </c>
      <c r="R1539" s="403" t="str">
        <f t="shared" si="72"/>
        <v>DELETE</v>
      </c>
    </row>
    <row r="1540" spans="2:24" ht="31.5" customHeight="1" x14ac:dyDescent="0.45">
      <c r="B1540" s="422"/>
      <c r="D1540" s="417" t="str">
        <f>Criteria!E20</f>
        <v>29 FEBRUARY 2024</v>
      </c>
      <c r="J1540" s="400" t="s">
        <v>247</v>
      </c>
      <c r="R1540" s="403" t="str">
        <f t="shared" si="72"/>
        <v>DELETE</v>
      </c>
    </row>
    <row r="1541" spans="2:24" ht="31.5" customHeight="1" x14ac:dyDescent="0.45">
      <c r="B1541" s="422"/>
      <c r="R1541" s="403" t="str">
        <f t="shared" si="72"/>
        <v>DELETE</v>
      </c>
    </row>
    <row r="1542" spans="2:24" ht="31.5" customHeight="1" x14ac:dyDescent="0.45">
      <c r="B1542" s="457"/>
      <c r="C1542" s="439"/>
      <c r="D1542" s="439"/>
      <c r="E1542" s="439"/>
      <c r="F1542" s="439"/>
      <c r="G1542" s="439"/>
      <c r="H1542" s="439"/>
      <c r="I1542" s="439"/>
      <c r="J1542" s="439"/>
      <c r="K1542" s="439"/>
      <c r="L1542" s="439"/>
      <c r="M1542" s="447"/>
      <c r="N1542" s="448"/>
      <c r="O1542" s="447"/>
      <c r="P1542" s="448"/>
      <c r="Q1542" s="440"/>
      <c r="R1542" s="403" t="str">
        <f t="shared" si="72"/>
        <v>DELETE</v>
      </c>
    </row>
    <row r="1543" spans="2:24" ht="31.5" customHeight="1" x14ac:dyDescent="0.45">
      <c r="B1543" s="459"/>
      <c r="M1543" s="344">
        <f>Criteria!E22</f>
        <v>2024</v>
      </c>
      <c r="N1543" s="294"/>
      <c r="O1543" s="344">
        <f>Criteria!E27</f>
        <v>2023</v>
      </c>
      <c r="Q1543" s="442"/>
      <c r="R1543" s="403" t="str">
        <f t="shared" si="72"/>
        <v>DELETE</v>
      </c>
    </row>
    <row r="1544" spans="2:24" ht="31.5" customHeight="1" x14ac:dyDescent="0.45">
      <c r="B1544" s="323"/>
      <c r="C1544" s="417"/>
      <c r="M1544" s="347"/>
      <c r="N1544" s="298"/>
      <c r="O1544" s="347"/>
      <c r="Q1544" s="442"/>
      <c r="R1544" s="403" t="str">
        <f t="shared" si="72"/>
        <v>DELETE</v>
      </c>
    </row>
    <row r="1545" spans="2:24" ht="31.5" customHeight="1" x14ac:dyDescent="0.45">
      <c r="B1545" s="323">
        <f>MAX(B$559:B1544)+1</f>
        <v>14</v>
      </c>
      <c r="C1545" s="417" t="str">
        <f>IF(COUNTIF(TrialBalance!N313:N317,"&gt;0")&gt;1,"OTHER INVESTMENTS",IF(COUNTIF(TrialBalance!L313:L317,"&gt;0")&gt;1,"OTHER INVESTMENTS","OTHER INVESTMENT"))</f>
        <v>OTHER INVESTMENT</v>
      </c>
      <c r="D1545" s="405"/>
      <c r="M1545" s="347"/>
      <c r="N1545" s="298"/>
      <c r="O1545" s="347"/>
      <c r="Q1545" s="442"/>
      <c r="R1545" s="403" t="str">
        <f t="shared" si="72"/>
        <v>DELETE</v>
      </c>
      <c r="S1545" s="383"/>
      <c r="T1545" s="383"/>
      <c r="U1545" s="383"/>
      <c r="V1545" s="383"/>
      <c r="W1545" s="383"/>
      <c r="X1545" s="383"/>
    </row>
    <row r="1546" spans="2:24" ht="31.5" customHeight="1" x14ac:dyDescent="0.45">
      <c r="B1546" s="323"/>
      <c r="C1546" s="417"/>
      <c r="D1546" s="400">
        <f>TrialBalance!C313</f>
        <v>0</v>
      </c>
      <c r="M1546" s="347">
        <f>TrialBalance!L313</f>
        <v>0</v>
      </c>
      <c r="N1546" s="298"/>
      <c r="O1546" s="347">
        <f>TrialBalance!N313</f>
        <v>0</v>
      </c>
      <c r="Q1546" s="442"/>
      <c r="R1546" s="403" t="str">
        <f>IF(M1546+O1546=0,"DELETE"," ")</f>
        <v>DELETE</v>
      </c>
    </row>
    <row r="1547" spans="2:24" ht="31.5" customHeight="1" x14ac:dyDescent="0.45">
      <c r="B1547" s="323"/>
      <c r="C1547" s="417"/>
      <c r="D1547" s="400">
        <f>TrialBalance!C314</f>
        <v>0</v>
      </c>
      <c r="M1547" s="347">
        <f>TrialBalance!L314</f>
        <v>0</v>
      </c>
      <c r="N1547" s="298"/>
      <c r="O1547" s="347">
        <f>TrialBalance!N314</f>
        <v>0</v>
      </c>
      <c r="Q1547" s="442"/>
      <c r="R1547" s="403" t="str">
        <f>IF(M1547+O1547=0,"DELETE"," ")</f>
        <v>DELETE</v>
      </c>
    </row>
    <row r="1548" spans="2:24" ht="31.5" customHeight="1" x14ac:dyDescent="0.45">
      <c r="B1548" s="323"/>
      <c r="C1548" s="417"/>
      <c r="D1548" s="400">
        <f>TrialBalance!C315</f>
        <v>0</v>
      </c>
      <c r="M1548" s="347">
        <f>TrialBalance!L315</f>
        <v>0</v>
      </c>
      <c r="N1548" s="298"/>
      <c r="O1548" s="347">
        <f>TrialBalance!N315</f>
        <v>0</v>
      </c>
      <c r="Q1548" s="442"/>
      <c r="R1548" s="403" t="str">
        <f>IF(M1548+O1548=0,"DELETE"," ")</f>
        <v>DELETE</v>
      </c>
    </row>
    <row r="1549" spans="2:24" ht="31.5" customHeight="1" x14ac:dyDescent="0.45">
      <c r="B1549" s="323"/>
      <c r="C1549" s="417"/>
      <c r="D1549" s="400">
        <f>TrialBalance!C316</f>
        <v>0</v>
      </c>
      <c r="M1549" s="347">
        <f>TrialBalance!L316</f>
        <v>0</v>
      </c>
      <c r="N1549" s="298"/>
      <c r="O1549" s="347">
        <f>TrialBalance!N316</f>
        <v>0</v>
      </c>
      <c r="Q1549" s="442"/>
      <c r="R1549" s="403" t="str">
        <f>IF(M1549+O1549=0,"DELETE"," ")</f>
        <v>DELETE</v>
      </c>
    </row>
    <row r="1550" spans="2:24" ht="31.5" customHeight="1" x14ac:dyDescent="0.45">
      <c r="B1550" s="323"/>
      <c r="C1550" s="417"/>
      <c r="D1550" s="400">
        <f>TrialBalance!C317</f>
        <v>0</v>
      </c>
      <c r="M1550" s="347">
        <f>TrialBalance!L317</f>
        <v>0</v>
      </c>
      <c r="N1550" s="298"/>
      <c r="O1550" s="347">
        <f>TrialBalance!N317</f>
        <v>0</v>
      </c>
      <c r="Q1550" s="442"/>
      <c r="R1550" s="403" t="str">
        <f>IF(M1550+O1550=0,"DELETE"," ")</f>
        <v>DELETE</v>
      </c>
    </row>
    <row r="1551" spans="2:24" ht="9" customHeight="1" x14ac:dyDescent="0.45">
      <c r="B1551" s="323"/>
      <c r="C1551" s="417"/>
      <c r="M1551" s="349"/>
      <c r="N1551" s="300"/>
      <c r="O1551" s="349"/>
      <c r="Q1551" s="442"/>
      <c r="R1551" s="403" t="str">
        <f>R1553</f>
        <v>DELETE</v>
      </c>
    </row>
    <row r="1552" spans="2:24" ht="9" customHeight="1" x14ac:dyDescent="0.45">
      <c r="B1552" s="323"/>
      <c r="C1552" s="417"/>
      <c r="M1552" s="347"/>
      <c r="N1552" s="298"/>
      <c r="O1552" s="347"/>
      <c r="Q1552" s="442"/>
      <c r="R1552" s="403" t="str">
        <f>R1553</f>
        <v>DELETE</v>
      </c>
    </row>
    <row r="1553" spans="2:24" ht="31.5" customHeight="1" x14ac:dyDescent="0.45">
      <c r="B1553" s="323"/>
      <c r="C1553" s="417"/>
      <c r="M1553" s="347">
        <f>SUM(M1546:M1552)</f>
        <v>0</v>
      </c>
      <c r="N1553" s="298"/>
      <c r="O1553" s="347">
        <f>SUM(O1546:O1552)</f>
        <v>0</v>
      </c>
      <c r="Q1553" s="442"/>
      <c r="R1553" s="403" t="str">
        <f>IF(M1553+O1553=0,"DELETE"," ")</f>
        <v>DELETE</v>
      </c>
      <c r="V1553" s="385"/>
      <c r="W1553" s="385"/>
      <c r="X1553" s="385"/>
    </row>
    <row r="1554" spans="2:24" ht="9" customHeight="1" thickBot="1" x14ac:dyDescent="0.5">
      <c r="B1554" s="323"/>
      <c r="C1554" s="417"/>
      <c r="M1554" s="351"/>
      <c r="N1554" s="301"/>
      <c r="O1554" s="351"/>
      <c r="Q1554" s="442"/>
      <c r="R1554" s="403" t="str">
        <f>R1553</f>
        <v>DELETE</v>
      </c>
    </row>
    <row r="1555" spans="2:24" ht="9" customHeight="1" thickTop="1" x14ac:dyDescent="0.45">
      <c r="B1555" s="323"/>
      <c r="C1555" s="417"/>
      <c r="M1555" s="363"/>
      <c r="N1555" s="314"/>
      <c r="O1555" s="363"/>
      <c r="Q1555" s="442"/>
      <c r="R1555" s="403" t="str">
        <f>R1554</f>
        <v>DELETE</v>
      </c>
    </row>
    <row r="1556" spans="2:24" ht="31.5" customHeight="1" x14ac:dyDescent="0.45">
      <c r="B1556" s="323"/>
      <c r="C1556" s="417"/>
      <c r="M1556" s="347"/>
      <c r="N1556" s="298"/>
      <c r="O1556" s="347"/>
      <c r="Q1556" s="442"/>
      <c r="R1556" s="403" t="str">
        <f t="shared" ref="R1556:R1565" si="73">R$1553</f>
        <v>DELETE</v>
      </c>
    </row>
    <row r="1557" spans="2:24" ht="9" customHeight="1" x14ac:dyDescent="0.45">
      <c r="B1557" s="323"/>
      <c r="C1557" s="417"/>
      <c r="M1557" s="349"/>
      <c r="N1557" s="300"/>
      <c r="O1557" s="349"/>
      <c r="Q1557" s="442"/>
      <c r="R1557" s="403" t="str">
        <f>R1558</f>
        <v>DELETE</v>
      </c>
    </row>
    <row r="1558" spans="2:24" ht="9" customHeight="1" x14ac:dyDescent="0.45">
      <c r="B1558" s="323"/>
      <c r="C1558" s="417"/>
      <c r="M1558" s="347"/>
      <c r="N1558" s="298"/>
      <c r="O1558" s="347"/>
      <c r="Q1558" s="442"/>
      <c r="R1558" s="403" t="str">
        <f>R1559</f>
        <v>DELETE</v>
      </c>
    </row>
    <row r="1559" spans="2:24" ht="31.5" customHeight="1" x14ac:dyDescent="0.45">
      <c r="B1559" s="323"/>
      <c r="C1559" s="400" t="str">
        <f>IF(MAX(Criteria!I38:I42)&gt;1,"Directors' valuation","Director's valuation")</f>
        <v>Director's valuation</v>
      </c>
      <c r="M1559" s="347">
        <f>Criteria!G238</f>
        <v>0</v>
      </c>
      <c r="N1559" s="298"/>
      <c r="O1559" s="347">
        <f>Criteria!H238</f>
        <v>0</v>
      </c>
      <c r="Q1559" s="442"/>
      <c r="R1559" s="403" t="str">
        <f>IF(M1559+O1559=0,"DELETE"," ")</f>
        <v>DELETE</v>
      </c>
    </row>
    <row r="1560" spans="2:24" ht="9" customHeight="1" thickBot="1" x14ac:dyDescent="0.5">
      <c r="B1560" s="323"/>
      <c r="C1560" s="417"/>
      <c r="M1560" s="351"/>
      <c r="N1560" s="301"/>
      <c r="O1560" s="351"/>
      <c r="Q1560" s="442"/>
      <c r="R1560" s="403" t="str">
        <f>R1559</f>
        <v>DELETE</v>
      </c>
    </row>
    <row r="1561" spans="2:24" ht="9" customHeight="1" thickTop="1" x14ac:dyDescent="0.45">
      <c r="B1561" s="323"/>
      <c r="C1561" s="417"/>
      <c r="M1561" s="347"/>
      <c r="N1561" s="298"/>
      <c r="O1561" s="347"/>
      <c r="Q1561" s="442"/>
      <c r="R1561" s="403" t="str">
        <f>R1560</f>
        <v>DELETE</v>
      </c>
    </row>
    <row r="1562" spans="2:24" ht="31.5" customHeight="1" x14ac:dyDescent="0.45">
      <c r="B1562" s="323"/>
      <c r="C1562" s="417"/>
      <c r="M1562" s="347"/>
      <c r="N1562" s="298"/>
      <c r="O1562" s="347"/>
      <c r="Q1562" s="442"/>
      <c r="R1562" s="403" t="str">
        <f t="shared" si="73"/>
        <v>DELETE</v>
      </c>
    </row>
    <row r="1563" spans="2:24" ht="31.5" customHeight="1" x14ac:dyDescent="0.45">
      <c r="B1563" s="323"/>
      <c r="C1563" s="417"/>
      <c r="M1563" s="347"/>
      <c r="N1563" s="298"/>
      <c r="O1563" s="347"/>
      <c r="Q1563" s="442"/>
      <c r="R1563" s="403" t="str">
        <f t="shared" si="73"/>
        <v>DELETE</v>
      </c>
    </row>
    <row r="1564" spans="2:24" ht="31.5" customHeight="1" x14ac:dyDescent="0.45">
      <c r="B1564" s="324"/>
      <c r="C1564" s="465"/>
      <c r="D1564" s="429"/>
      <c r="E1564" s="429"/>
      <c r="F1564" s="429"/>
      <c r="G1564" s="429"/>
      <c r="H1564" s="429"/>
      <c r="I1564" s="429"/>
      <c r="J1564" s="429"/>
      <c r="K1564" s="429"/>
      <c r="L1564" s="429"/>
      <c r="M1564" s="349"/>
      <c r="N1564" s="300"/>
      <c r="O1564" s="349"/>
      <c r="P1564" s="433"/>
      <c r="Q1564" s="446"/>
      <c r="R1564" s="403" t="str">
        <f t="shared" si="73"/>
        <v>DELETE</v>
      </c>
    </row>
    <row r="1565" spans="2:24" ht="31.5" customHeight="1" x14ac:dyDescent="0.45">
      <c r="B1565" s="325"/>
      <c r="C1565" s="417"/>
      <c r="M1565" s="347"/>
      <c r="N1565" s="298"/>
      <c r="O1565" s="347"/>
      <c r="R1565" s="403" t="str">
        <f t="shared" si="73"/>
        <v>DELETE</v>
      </c>
    </row>
    <row r="1566" spans="2:24" ht="31.5" customHeight="1" x14ac:dyDescent="0.45">
      <c r="B1566" s="422"/>
      <c r="M1566" s="426"/>
      <c r="N1566" s="406"/>
      <c r="O1566" s="426"/>
      <c r="R1566" s="403" t="str">
        <f>R$1617</f>
        <v>DELETE</v>
      </c>
    </row>
    <row r="1567" spans="2:24" ht="31.5" customHeight="1" x14ac:dyDescent="0.45">
      <c r="B1567" s="422"/>
      <c r="D1567" s="417" t="str">
        <f>Criteria!E9</f>
        <v>HOLDING COMPANY 268 (PROPRIETARY) LIMITED</v>
      </c>
      <c r="M1567" s="426"/>
      <c r="N1567" s="406"/>
      <c r="O1567" s="347" t="s">
        <v>96</v>
      </c>
      <c r="Q1567" s="292">
        <f>MAX($Q$114:Q1566)+1</f>
        <v>37</v>
      </c>
      <c r="R1567" s="403" t="str">
        <f t="shared" ref="R1567:R1576" si="74">R$1617</f>
        <v>DELETE</v>
      </c>
    </row>
    <row r="1568" spans="2:24" ht="31.5" customHeight="1" x14ac:dyDescent="0.45">
      <c r="B1568" s="422"/>
      <c r="D1568" s="417" t="str">
        <f>Criteria!E10</f>
        <v>CONSOLIDATED FINANCIAL STATEMENTS</v>
      </c>
      <c r="M1568" s="426"/>
      <c r="N1568" s="406"/>
      <c r="O1568" s="426"/>
      <c r="R1568" s="403" t="str">
        <f>IF(R$1617="DELETE","DELETE",IF(D1568=0,"DELETE"," "))</f>
        <v>DELETE</v>
      </c>
    </row>
    <row r="1569" spans="2:21" ht="31.5" customHeight="1" x14ac:dyDescent="0.45">
      <c r="B1569" s="422"/>
      <c r="M1569" s="426"/>
      <c r="N1569" s="406"/>
      <c r="O1569" s="426"/>
      <c r="R1569" s="403" t="str">
        <f t="shared" si="74"/>
        <v>DELETE</v>
      </c>
    </row>
    <row r="1570" spans="2:21" ht="31.5" customHeight="1" x14ac:dyDescent="0.45">
      <c r="B1570" s="422"/>
      <c r="D1570" s="417" t="s">
        <v>377</v>
      </c>
      <c r="M1570" s="426"/>
      <c r="N1570" s="406"/>
      <c r="O1570" s="426"/>
      <c r="R1570" s="403" t="str">
        <f t="shared" si="74"/>
        <v>DELETE</v>
      </c>
    </row>
    <row r="1571" spans="2:21" ht="31.5" customHeight="1" x14ac:dyDescent="0.45">
      <c r="B1571" s="422"/>
      <c r="D1571" s="417" t="str">
        <f>Criteria!E20</f>
        <v>29 FEBRUARY 2024</v>
      </c>
      <c r="J1571" s="400" t="s">
        <v>247</v>
      </c>
      <c r="M1571" s="426"/>
      <c r="N1571" s="406"/>
      <c r="O1571" s="426"/>
      <c r="R1571" s="403" t="str">
        <f t="shared" si="74"/>
        <v>DELETE</v>
      </c>
    </row>
    <row r="1572" spans="2:21" ht="31.5" customHeight="1" x14ac:dyDescent="0.45">
      <c r="B1572" s="422"/>
      <c r="M1572" s="437"/>
      <c r="N1572" s="461"/>
      <c r="O1572" s="437"/>
      <c r="R1572" s="403" t="str">
        <f t="shared" si="74"/>
        <v>DELETE</v>
      </c>
    </row>
    <row r="1573" spans="2:21" ht="31.5" customHeight="1" x14ac:dyDescent="0.45">
      <c r="B1573" s="457"/>
      <c r="C1573" s="439"/>
      <c r="D1573" s="439"/>
      <c r="E1573" s="439"/>
      <c r="F1573" s="439"/>
      <c r="G1573" s="439"/>
      <c r="H1573" s="439"/>
      <c r="I1573" s="439"/>
      <c r="J1573" s="439"/>
      <c r="K1573" s="439"/>
      <c r="L1573" s="439"/>
      <c r="M1573" s="469"/>
      <c r="N1573" s="470"/>
      <c r="O1573" s="469"/>
      <c r="P1573" s="448"/>
      <c r="Q1573" s="440"/>
      <c r="R1573" s="403" t="str">
        <f t="shared" si="74"/>
        <v>DELETE</v>
      </c>
    </row>
    <row r="1574" spans="2:21" ht="31.5" customHeight="1" x14ac:dyDescent="0.45">
      <c r="B1574" s="323"/>
      <c r="C1574" s="417"/>
      <c r="M1574" s="344">
        <f>Criteria!E22</f>
        <v>2024</v>
      </c>
      <c r="N1574" s="294"/>
      <c r="O1574" s="344">
        <f>Criteria!E27</f>
        <v>2023</v>
      </c>
      <c r="Q1574" s="442"/>
      <c r="R1574" s="403" t="str">
        <f t="shared" si="74"/>
        <v>DELETE</v>
      </c>
    </row>
    <row r="1575" spans="2:21" ht="31.5" customHeight="1" x14ac:dyDescent="0.45">
      <c r="B1575" s="323"/>
      <c r="C1575" s="417"/>
      <c r="M1575" s="347"/>
      <c r="N1575" s="298"/>
      <c r="O1575" s="347"/>
      <c r="Q1575" s="442"/>
      <c r="R1575" s="403" t="str">
        <f t="shared" si="74"/>
        <v>DELETE</v>
      </c>
    </row>
    <row r="1576" spans="2:21" ht="31.5" customHeight="1" x14ac:dyDescent="0.45">
      <c r="B1576" s="323">
        <f>MAX(B$559:B1575)+1</f>
        <v>15</v>
      </c>
      <c r="C1576" s="417" t="str">
        <f>IF(COUNTIF(TrialBalance!N319:N352,"&gt;0")&gt;1,"NON - CURRENT RECEIVABLES",IF(COUNTIF(TrialBalance!L319:L352,"&gt;0")&gt;1,"NON - CURRENT RECEIVABLES","NON - CURRENT RECEIVABLE"))</f>
        <v>NON - CURRENT RECEIVABLE</v>
      </c>
      <c r="M1576" s="347"/>
      <c r="N1576" s="298"/>
      <c r="O1576" s="347"/>
      <c r="Q1576" s="442"/>
      <c r="R1576" s="403" t="str">
        <f t="shared" si="74"/>
        <v>DELETE</v>
      </c>
    </row>
    <row r="1577" spans="2:21" ht="31.5" customHeight="1" x14ac:dyDescent="0.45">
      <c r="B1577" s="323"/>
      <c r="C1577" s="417"/>
      <c r="D1577" s="400" t="str">
        <f>IF(COUNTIF(O1580:O1593,"&gt;0")&gt;1,"Interest bearing non - current receivables",IF(COUNTIF(M1580:M1593,"&gt;0")&gt;1,"Interest bearing non - current receivables","Interest bearing non - current receivable"))</f>
        <v>Interest bearing non - current receivable</v>
      </c>
      <c r="M1577" s="347">
        <f>SUM(M1579:M1594)</f>
        <v>0</v>
      </c>
      <c r="N1577" s="298"/>
      <c r="O1577" s="347">
        <f>SUM(O1579:O1594)</f>
        <v>0</v>
      </c>
      <c r="Q1577" s="442"/>
      <c r="R1577" s="403" t="str">
        <f>IF(M1577+O1577=0,"DELETE"," ")</f>
        <v>DELETE</v>
      </c>
      <c r="S1577" s="380">
        <f>M1577</f>
        <v>0</v>
      </c>
      <c r="U1577" s="380">
        <f>O1577</f>
        <v>0</v>
      </c>
    </row>
    <row r="1578" spans="2:21" ht="9" customHeight="1" x14ac:dyDescent="0.45">
      <c r="B1578" s="323"/>
      <c r="C1578" s="417"/>
      <c r="M1578" s="347"/>
      <c r="N1578" s="298"/>
      <c r="O1578" s="347"/>
      <c r="Q1578" s="442"/>
      <c r="R1578" s="403" t="str">
        <f>R1577</f>
        <v>DELETE</v>
      </c>
    </row>
    <row r="1579" spans="2:21" ht="9" customHeight="1" x14ac:dyDescent="0.45">
      <c r="B1579" s="323"/>
      <c r="C1579" s="417"/>
      <c r="M1579" s="353"/>
      <c r="N1579" s="299"/>
      <c r="O1579" s="366"/>
      <c r="Q1579" s="442"/>
      <c r="R1579" s="403" t="str">
        <f>R1578</f>
        <v>DELETE</v>
      </c>
    </row>
    <row r="1580" spans="2:21" ht="31.5" customHeight="1" x14ac:dyDescent="0.45">
      <c r="B1580" s="323"/>
      <c r="C1580" s="417"/>
      <c r="D1580" s="400">
        <f>TrialBalance!C320</f>
        <v>0</v>
      </c>
      <c r="M1580" s="354">
        <f>TrialBalance!L320</f>
        <v>0</v>
      </c>
      <c r="N1580" s="314"/>
      <c r="O1580" s="367">
        <f>TrialBalance!N320</f>
        <v>0</v>
      </c>
      <c r="Q1580" s="442"/>
      <c r="R1580" s="403" t="str">
        <f t="shared" ref="R1580:R1613" si="75">IF(M1580+O1580=0,"DELETE"," ")</f>
        <v>DELETE</v>
      </c>
    </row>
    <row r="1581" spans="2:21" ht="31.5" customHeight="1" x14ac:dyDescent="0.45">
      <c r="B1581" s="323"/>
      <c r="C1581" s="417"/>
      <c r="D1581" s="400">
        <f>TrialBalance!C321</f>
        <v>0</v>
      </c>
      <c r="M1581" s="354">
        <f>TrialBalance!L321</f>
        <v>0</v>
      </c>
      <c r="N1581" s="314"/>
      <c r="O1581" s="367">
        <f>TrialBalance!N321</f>
        <v>0</v>
      </c>
      <c r="Q1581" s="442"/>
      <c r="R1581" s="403" t="str">
        <f t="shared" ref="R1581:R1582" si="76">IF(M1581+O1581=0,"DELETE"," ")</f>
        <v>DELETE</v>
      </c>
    </row>
    <row r="1582" spans="2:21" ht="31.5" customHeight="1" x14ac:dyDescent="0.45">
      <c r="B1582" s="323"/>
      <c r="C1582" s="417"/>
      <c r="D1582" s="400">
        <f>TrialBalance!C322</f>
        <v>0</v>
      </c>
      <c r="M1582" s="354">
        <f>TrialBalance!L322</f>
        <v>0</v>
      </c>
      <c r="N1582" s="314"/>
      <c r="O1582" s="367">
        <f>TrialBalance!N322</f>
        <v>0</v>
      </c>
      <c r="Q1582" s="442"/>
      <c r="R1582" s="403" t="str">
        <f t="shared" si="76"/>
        <v>DELETE</v>
      </c>
    </row>
    <row r="1583" spans="2:21" ht="31.5" customHeight="1" x14ac:dyDescent="0.45">
      <c r="B1583" s="323"/>
      <c r="C1583" s="417"/>
      <c r="D1583" s="400">
        <f>TrialBalance!C323</f>
        <v>0</v>
      </c>
      <c r="M1583" s="354">
        <f>TrialBalance!L323</f>
        <v>0</v>
      </c>
      <c r="N1583" s="314"/>
      <c r="O1583" s="367">
        <f>TrialBalance!N323</f>
        <v>0</v>
      </c>
      <c r="Q1583" s="442"/>
      <c r="R1583" s="403" t="str">
        <f t="shared" ref="R1583:R1588" si="77">IF(M1583+O1583=0,"DELETE"," ")</f>
        <v>DELETE</v>
      </c>
    </row>
    <row r="1584" spans="2:21" ht="31.5" customHeight="1" x14ac:dyDescent="0.45">
      <c r="B1584" s="323"/>
      <c r="C1584" s="417"/>
      <c r="D1584" s="400">
        <f>TrialBalance!C324</f>
        <v>0</v>
      </c>
      <c r="M1584" s="354">
        <f>TrialBalance!L324</f>
        <v>0</v>
      </c>
      <c r="N1584" s="314"/>
      <c r="O1584" s="367">
        <f>TrialBalance!N324</f>
        <v>0</v>
      </c>
      <c r="Q1584" s="442"/>
      <c r="R1584" s="403" t="str">
        <f t="shared" si="77"/>
        <v>DELETE</v>
      </c>
    </row>
    <row r="1585" spans="2:21" ht="31.5" customHeight="1" x14ac:dyDescent="0.45">
      <c r="B1585" s="323"/>
      <c r="C1585" s="417"/>
      <c r="D1585" s="400">
        <f>TrialBalance!C325</f>
        <v>0</v>
      </c>
      <c r="M1585" s="354">
        <f>TrialBalance!L325</f>
        <v>0</v>
      </c>
      <c r="N1585" s="314"/>
      <c r="O1585" s="367">
        <f>TrialBalance!N325</f>
        <v>0</v>
      </c>
      <c r="Q1585" s="442"/>
      <c r="R1585" s="403" t="str">
        <f t="shared" si="77"/>
        <v>DELETE</v>
      </c>
    </row>
    <row r="1586" spans="2:21" ht="31.5" customHeight="1" x14ac:dyDescent="0.45">
      <c r="B1586" s="323"/>
      <c r="C1586" s="417"/>
      <c r="D1586" s="400">
        <f>TrialBalance!C326</f>
        <v>0</v>
      </c>
      <c r="M1586" s="354">
        <f>TrialBalance!L326</f>
        <v>0</v>
      </c>
      <c r="N1586" s="314"/>
      <c r="O1586" s="367">
        <f>TrialBalance!N326</f>
        <v>0</v>
      </c>
      <c r="Q1586" s="442"/>
      <c r="R1586" s="403" t="str">
        <f t="shared" si="77"/>
        <v>DELETE</v>
      </c>
    </row>
    <row r="1587" spans="2:21" ht="31.5" customHeight="1" x14ac:dyDescent="0.45">
      <c r="B1587" s="323"/>
      <c r="C1587" s="417"/>
      <c r="D1587" s="400">
        <f>TrialBalance!C327</f>
        <v>0</v>
      </c>
      <c r="M1587" s="354">
        <f>TrialBalance!L327</f>
        <v>0</v>
      </c>
      <c r="N1587" s="314"/>
      <c r="O1587" s="367">
        <f>TrialBalance!N327</f>
        <v>0</v>
      </c>
      <c r="Q1587" s="442"/>
      <c r="R1587" s="403" t="str">
        <f t="shared" si="77"/>
        <v>DELETE</v>
      </c>
    </row>
    <row r="1588" spans="2:21" ht="31.5" customHeight="1" x14ac:dyDescent="0.45">
      <c r="B1588" s="323"/>
      <c r="C1588" s="417"/>
      <c r="D1588" s="400">
        <f>TrialBalance!C328</f>
        <v>0</v>
      </c>
      <c r="M1588" s="354">
        <f>TrialBalance!L328</f>
        <v>0</v>
      </c>
      <c r="N1588" s="314"/>
      <c r="O1588" s="367">
        <f>TrialBalance!N328</f>
        <v>0</v>
      </c>
      <c r="Q1588" s="442"/>
      <c r="R1588" s="403" t="str">
        <f t="shared" si="77"/>
        <v>DELETE</v>
      </c>
    </row>
    <row r="1589" spans="2:21" ht="31.5" customHeight="1" x14ac:dyDescent="0.45">
      <c r="B1589" s="323"/>
      <c r="C1589" s="417"/>
      <c r="D1589" s="400">
        <f>TrialBalance!C329</f>
        <v>0</v>
      </c>
      <c r="M1589" s="354">
        <f>TrialBalance!L329</f>
        <v>0</v>
      </c>
      <c r="N1589" s="314"/>
      <c r="O1589" s="367">
        <f>TrialBalance!N329</f>
        <v>0</v>
      </c>
      <c r="Q1589" s="442"/>
      <c r="R1589" s="403" t="str">
        <f t="shared" si="75"/>
        <v>DELETE</v>
      </c>
    </row>
    <row r="1590" spans="2:21" ht="31.5" customHeight="1" x14ac:dyDescent="0.45">
      <c r="B1590" s="323"/>
      <c r="C1590" s="417"/>
      <c r="D1590" s="400">
        <f>TrialBalance!C343</f>
        <v>0</v>
      </c>
      <c r="M1590" s="354">
        <f>TrialBalance!L343</f>
        <v>0</v>
      </c>
      <c r="N1590" s="314"/>
      <c r="O1590" s="367">
        <f>TrialBalance!N343</f>
        <v>0</v>
      </c>
      <c r="Q1590" s="442"/>
      <c r="R1590" s="403" t="str">
        <f t="shared" si="75"/>
        <v>DELETE</v>
      </c>
    </row>
    <row r="1591" spans="2:21" ht="31.5" customHeight="1" x14ac:dyDescent="0.45">
      <c r="B1591" s="323"/>
      <c r="C1591" s="417"/>
      <c r="D1591" s="400">
        <f>TrialBalance!C344</f>
        <v>0</v>
      </c>
      <c r="M1591" s="354">
        <f>TrialBalance!L344</f>
        <v>0</v>
      </c>
      <c r="N1591" s="314"/>
      <c r="O1591" s="367">
        <f>TrialBalance!N344</f>
        <v>0</v>
      </c>
      <c r="Q1591" s="442"/>
      <c r="R1591" s="403" t="str">
        <f t="shared" si="75"/>
        <v>DELETE</v>
      </c>
    </row>
    <row r="1592" spans="2:21" ht="31.5" customHeight="1" x14ac:dyDescent="0.45">
      <c r="B1592" s="323"/>
      <c r="C1592" s="417"/>
      <c r="D1592" s="400">
        <f>TrialBalance!C345</f>
        <v>0</v>
      </c>
      <c r="M1592" s="354">
        <f>TrialBalance!L345</f>
        <v>0</v>
      </c>
      <c r="N1592" s="314"/>
      <c r="O1592" s="367">
        <f>TrialBalance!N345</f>
        <v>0</v>
      </c>
      <c r="Q1592" s="442"/>
      <c r="R1592" s="403" t="str">
        <f t="shared" ref="R1592" si="78">IF(M1592+O1592=0,"DELETE"," ")</f>
        <v>DELETE</v>
      </c>
    </row>
    <row r="1593" spans="2:21" ht="31.5" customHeight="1" x14ac:dyDescent="0.45">
      <c r="B1593" s="323"/>
      <c r="C1593" s="417"/>
      <c r="D1593" s="400">
        <f>TrialBalance!C346</f>
        <v>0</v>
      </c>
      <c r="M1593" s="354">
        <f>TrialBalance!L346</f>
        <v>0</v>
      </c>
      <c r="N1593" s="314"/>
      <c r="O1593" s="367">
        <f>TrialBalance!N346</f>
        <v>0</v>
      </c>
      <c r="Q1593" s="442"/>
      <c r="R1593" s="403" t="str">
        <f t="shared" si="75"/>
        <v>DELETE</v>
      </c>
    </row>
    <row r="1594" spans="2:21" ht="9" customHeight="1" x14ac:dyDescent="0.45">
      <c r="B1594" s="323"/>
      <c r="C1594" s="417"/>
      <c r="M1594" s="355"/>
      <c r="N1594" s="300"/>
      <c r="O1594" s="368"/>
      <c r="Q1594" s="442"/>
      <c r="R1594" s="403" t="str">
        <f>R1577</f>
        <v>DELETE</v>
      </c>
    </row>
    <row r="1595" spans="2:21" ht="9" customHeight="1" x14ac:dyDescent="0.45">
      <c r="B1595" s="323"/>
      <c r="C1595" s="417"/>
      <c r="M1595" s="347"/>
      <c r="N1595" s="298"/>
      <c r="O1595" s="347"/>
      <c r="Q1595" s="442"/>
      <c r="R1595" s="403" t="str">
        <f>R1594</f>
        <v>DELETE</v>
      </c>
    </row>
    <row r="1596" spans="2:21" ht="31.5" customHeight="1" x14ac:dyDescent="0.45">
      <c r="B1596" s="323"/>
      <c r="C1596" s="417"/>
      <c r="D1596" s="400" t="str">
        <f>IF(COUNTIF(O1599:O1613,"&gt;0")&gt;1,"Interest free non - current receivables",IF(COUNTIF(M1599:M1613,"&gt;0")&gt;1,"Interest free non - current receivables","Interest free non - current receivable"))</f>
        <v>Interest free non - current receivable</v>
      </c>
      <c r="M1596" s="347">
        <f>SUM(M1598:M1614)</f>
        <v>0</v>
      </c>
      <c r="N1596" s="298"/>
      <c r="O1596" s="347">
        <f>SUM(O1598:O1614)</f>
        <v>0</v>
      </c>
      <c r="Q1596" s="442"/>
      <c r="R1596" s="403" t="str">
        <f>IF(M1596+O1596=0,"DELETE"," ")</f>
        <v>DELETE</v>
      </c>
      <c r="S1596" s="380">
        <f>M1596</f>
        <v>0</v>
      </c>
      <c r="U1596" s="380">
        <f>O1596</f>
        <v>0</v>
      </c>
    </row>
    <row r="1597" spans="2:21" ht="9" customHeight="1" x14ac:dyDescent="0.45">
      <c r="B1597" s="323"/>
      <c r="C1597" s="417"/>
      <c r="M1597" s="347"/>
      <c r="N1597" s="298"/>
      <c r="O1597" s="347"/>
      <c r="Q1597" s="442"/>
      <c r="R1597" s="403" t="str">
        <f>R1596</f>
        <v>DELETE</v>
      </c>
    </row>
    <row r="1598" spans="2:21" ht="9" customHeight="1" x14ac:dyDescent="0.45">
      <c r="B1598" s="323"/>
      <c r="C1598" s="417"/>
      <c r="M1598" s="353"/>
      <c r="N1598" s="299"/>
      <c r="O1598" s="366"/>
      <c r="Q1598" s="442"/>
      <c r="R1598" s="403" t="str">
        <f>R1597</f>
        <v>DELETE</v>
      </c>
    </row>
    <row r="1599" spans="2:21" ht="31.5" customHeight="1" x14ac:dyDescent="0.45">
      <c r="B1599" s="323"/>
      <c r="C1599" s="417"/>
      <c r="D1599" s="400">
        <f>TrialBalance!C331</f>
        <v>0</v>
      </c>
      <c r="M1599" s="354">
        <f>TrialBalance!L331</f>
        <v>0</v>
      </c>
      <c r="N1599" s="314"/>
      <c r="O1599" s="367">
        <f>TrialBalance!N331</f>
        <v>0</v>
      </c>
      <c r="Q1599" s="442"/>
      <c r="R1599" s="403" t="str">
        <f t="shared" si="75"/>
        <v>DELETE</v>
      </c>
    </row>
    <row r="1600" spans="2:21" ht="31.5" customHeight="1" x14ac:dyDescent="0.45">
      <c r="B1600" s="323"/>
      <c r="C1600" s="417"/>
      <c r="D1600" s="400">
        <f>TrialBalance!C332</f>
        <v>0</v>
      </c>
      <c r="M1600" s="354">
        <f>TrialBalance!L332</f>
        <v>0</v>
      </c>
      <c r="N1600" s="314"/>
      <c r="O1600" s="367">
        <f>TrialBalance!N332</f>
        <v>0</v>
      </c>
      <c r="Q1600" s="442"/>
      <c r="R1600" s="403" t="str">
        <f t="shared" ref="R1600" si="79">IF(M1600+O1600=0,"DELETE"," ")</f>
        <v>DELETE</v>
      </c>
    </row>
    <row r="1601" spans="2:18" ht="31.5" customHeight="1" x14ac:dyDescent="0.45">
      <c r="B1601" s="323"/>
      <c r="C1601" s="417"/>
      <c r="D1601" s="400">
        <f>TrialBalance!C333</f>
        <v>0</v>
      </c>
      <c r="M1601" s="354">
        <f>TrialBalance!L333</f>
        <v>0</v>
      </c>
      <c r="N1601" s="314"/>
      <c r="O1601" s="367">
        <f>TrialBalance!N333</f>
        <v>0</v>
      </c>
      <c r="Q1601" s="442"/>
      <c r="R1601" s="403" t="str">
        <f t="shared" si="75"/>
        <v>DELETE</v>
      </c>
    </row>
    <row r="1602" spans="2:18" ht="31.5" customHeight="1" x14ac:dyDescent="0.45">
      <c r="B1602" s="323"/>
      <c r="C1602" s="417"/>
      <c r="D1602" s="400">
        <f>TrialBalance!C334</f>
        <v>0</v>
      </c>
      <c r="M1602" s="354">
        <f>TrialBalance!L334</f>
        <v>0</v>
      </c>
      <c r="N1602" s="314"/>
      <c r="O1602" s="367">
        <f>TrialBalance!N334</f>
        <v>0</v>
      </c>
      <c r="Q1602" s="442"/>
      <c r="R1602" s="403" t="str">
        <f t="shared" ref="R1602:R1607" si="80">IF(M1602+O1602=0,"DELETE"," ")</f>
        <v>DELETE</v>
      </c>
    </row>
    <row r="1603" spans="2:18" ht="31.5" customHeight="1" x14ac:dyDescent="0.45">
      <c r="B1603" s="323"/>
      <c r="C1603" s="417"/>
      <c r="D1603" s="400">
        <f>TrialBalance!C335</f>
        <v>0</v>
      </c>
      <c r="M1603" s="354">
        <f>TrialBalance!L335</f>
        <v>0</v>
      </c>
      <c r="N1603" s="314"/>
      <c r="O1603" s="367">
        <f>TrialBalance!N335</f>
        <v>0</v>
      </c>
      <c r="Q1603" s="442"/>
      <c r="R1603" s="403" t="str">
        <f t="shared" si="80"/>
        <v>DELETE</v>
      </c>
    </row>
    <row r="1604" spans="2:18" ht="31.5" customHeight="1" x14ac:dyDescent="0.45">
      <c r="B1604" s="323"/>
      <c r="C1604" s="417"/>
      <c r="D1604" s="400">
        <f>TrialBalance!C336</f>
        <v>0</v>
      </c>
      <c r="M1604" s="354">
        <f>TrialBalance!L336</f>
        <v>0</v>
      </c>
      <c r="N1604" s="314"/>
      <c r="O1604" s="367">
        <f>TrialBalance!N336</f>
        <v>0</v>
      </c>
      <c r="Q1604" s="442"/>
      <c r="R1604" s="403" t="str">
        <f t="shared" si="80"/>
        <v>DELETE</v>
      </c>
    </row>
    <row r="1605" spans="2:18" ht="31.5" customHeight="1" x14ac:dyDescent="0.45">
      <c r="B1605" s="323"/>
      <c r="C1605" s="417"/>
      <c r="D1605" s="400">
        <f>TrialBalance!C337</f>
        <v>0</v>
      </c>
      <c r="M1605" s="354">
        <f>TrialBalance!L337</f>
        <v>0</v>
      </c>
      <c r="N1605" s="314"/>
      <c r="O1605" s="367">
        <f>TrialBalance!N337</f>
        <v>0</v>
      </c>
      <c r="Q1605" s="442"/>
      <c r="R1605" s="403" t="str">
        <f t="shared" si="80"/>
        <v>DELETE</v>
      </c>
    </row>
    <row r="1606" spans="2:18" ht="31.5" customHeight="1" x14ac:dyDescent="0.45">
      <c r="B1606" s="323"/>
      <c r="C1606" s="417"/>
      <c r="D1606" s="400">
        <f>TrialBalance!C338</f>
        <v>0</v>
      </c>
      <c r="M1606" s="354">
        <f>TrialBalance!L338</f>
        <v>0</v>
      </c>
      <c r="N1606" s="314"/>
      <c r="O1606" s="367">
        <f>TrialBalance!N338</f>
        <v>0</v>
      </c>
      <c r="Q1606" s="442"/>
      <c r="R1606" s="403" t="str">
        <f t="shared" si="80"/>
        <v>DELETE</v>
      </c>
    </row>
    <row r="1607" spans="2:18" ht="31.5" customHeight="1" x14ac:dyDescent="0.45">
      <c r="B1607" s="323"/>
      <c r="C1607" s="417"/>
      <c r="D1607" s="400">
        <f>TrialBalance!C339</f>
        <v>0</v>
      </c>
      <c r="M1607" s="354">
        <f>TrialBalance!L339</f>
        <v>0</v>
      </c>
      <c r="N1607" s="314"/>
      <c r="O1607" s="367">
        <f>TrialBalance!N339</f>
        <v>0</v>
      </c>
      <c r="Q1607" s="442"/>
      <c r="R1607" s="403" t="str">
        <f t="shared" si="80"/>
        <v>DELETE</v>
      </c>
    </row>
    <row r="1608" spans="2:18" ht="31.5" customHeight="1" x14ac:dyDescent="0.45">
      <c r="B1608" s="323"/>
      <c r="C1608" s="417"/>
      <c r="D1608" s="400">
        <f>TrialBalance!C340</f>
        <v>0</v>
      </c>
      <c r="M1608" s="354">
        <f>TrialBalance!L340</f>
        <v>0</v>
      </c>
      <c r="N1608" s="314"/>
      <c r="O1608" s="367">
        <f>TrialBalance!N340</f>
        <v>0</v>
      </c>
      <c r="Q1608" s="442"/>
      <c r="R1608" s="403" t="str">
        <f t="shared" si="75"/>
        <v>DELETE</v>
      </c>
    </row>
    <row r="1609" spans="2:18" ht="31.5" customHeight="1" x14ac:dyDescent="0.45">
      <c r="B1609" s="323"/>
      <c r="C1609" s="417"/>
      <c r="D1609" s="400">
        <f>TrialBalance!C348</f>
        <v>0</v>
      </c>
      <c r="M1609" s="354">
        <f>TrialBalance!L348</f>
        <v>0</v>
      </c>
      <c r="N1609" s="314"/>
      <c r="O1609" s="367">
        <f>TrialBalance!N348</f>
        <v>0</v>
      </c>
      <c r="Q1609" s="442"/>
      <c r="R1609" s="403" t="str">
        <f t="shared" si="75"/>
        <v>DELETE</v>
      </c>
    </row>
    <row r="1610" spans="2:18" ht="31.5" customHeight="1" x14ac:dyDescent="0.45">
      <c r="B1610" s="323"/>
      <c r="C1610" s="417"/>
      <c r="D1610" s="400">
        <f>TrialBalance!C349</f>
        <v>0</v>
      </c>
      <c r="M1610" s="354">
        <f>TrialBalance!L349</f>
        <v>0</v>
      </c>
      <c r="N1610" s="314"/>
      <c r="O1610" s="367">
        <f>TrialBalance!N349</f>
        <v>0</v>
      </c>
      <c r="Q1610" s="442"/>
      <c r="R1610" s="403" t="str">
        <f t="shared" si="75"/>
        <v>DELETE</v>
      </c>
    </row>
    <row r="1611" spans="2:18" ht="31.5" customHeight="1" x14ac:dyDescent="0.45">
      <c r="B1611" s="323"/>
      <c r="C1611" s="417"/>
      <c r="D1611" s="400">
        <f>TrialBalance!C350</f>
        <v>0</v>
      </c>
      <c r="M1611" s="354">
        <f>TrialBalance!L350</f>
        <v>0</v>
      </c>
      <c r="N1611" s="314"/>
      <c r="O1611" s="367">
        <f>TrialBalance!N350</f>
        <v>0</v>
      </c>
      <c r="Q1611" s="442"/>
      <c r="R1611" s="403" t="str">
        <f t="shared" si="75"/>
        <v>DELETE</v>
      </c>
    </row>
    <row r="1612" spans="2:18" ht="31.5" customHeight="1" x14ac:dyDescent="0.45">
      <c r="B1612" s="323"/>
      <c r="C1612" s="417"/>
      <c r="D1612" s="400">
        <f>TrialBalance!C351</f>
        <v>0</v>
      </c>
      <c r="M1612" s="354">
        <f>TrialBalance!L351</f>
        <v>0</v>
      </c>
      <c r="N1612" s="314"/>
      <c r="O1612" s="367">
        <f>TrialBalance!N351</f>
        <v>0</v>
      </c>
      <c r="Q1612" s="442"/>
      <c r="R1612" s="403" t="str">
        <f t="shared" si="75"/>
        <v>DELETE</v>
      </c>
    </row>
    <row r="1613" spans="2:18" ht="31.5" customHeight="1" x14ac:dyDescent="0.45">
      <c r="B1613" s="323"/>
      <c r="C1613" s="417"/>
      <c r="D1613" s="400">
        <f>TrialBalance!C352</f>
        <v>0</v>
      </c>
      <c r="M1613" s="354">
        <f>TrialBalance!L352</f>
        <v>0</v>
      </c>
      <c r="N1613" s="314"/>
      <c r="O1613" s="367">
        <f>TrialBalance!N352</f>
        <v>0</v>
      </c>
      <c r="Q1613" s="442"/>
      <c r="R1613" s="403" t="str">
        <f t="shared" si="75"/>
        <v>DELETE</v>
      </c>
    </row>
    <row r="1614" spans="2:18" ht="9" customHeight="1" x14ac:dyDescent="0.45">
      <c r="B1614" s="323"/>
      <c r="C1614" s="417"/>
      <c r="M1614" s="355"/>
      <c r="N1614" s="300"/>
      <c r="O1614" s="368"/>
      <c r="Q1614" s="442"/>
      <c r="R1614" s="403" t="str">
        <f>R1596</f>
        <v>DELETE</v>
      </c>
    </row>
    <row r="1615" spans="2:18" ht="9" customHeight="1" x14ac:dyDescent="0.45">
      <c r="B1615" s="323"/>
      <c r="C1615" s="417"/>
      <c r="M1615" s="349"/>
      <c r="N1615" s="300"/>
      <c r="O1615" s="349"/>
      <c r="Q1615" s="442"/>
      <c r="R1615" s="403" t="str">
        <f t="shared" ref="R1615" si="81">R$1617</f>
        <v>DELETE</v>
      </c>
    </row>
    <row r="1616" spans="2:18" ht="9" customHeight="1" x14ac:dyDescent="0.45">
      <c r="B1616" s="323"/>
      <c r="C1616" s="417"/>
      <c r="M1616" s="347"/>
      <c r="N1616" s="298"/>
      <c r="O1616" s="347"/>
      <c r="Q1616" s="442"/>
      <c r="R1616" s="403" t="str">
        <f>R$1617</f>
        <v>DELETE</v>
      </c>
    </row>
    <row r="1617" spans="2:18" ht="31.5" customHeight="1" x14ac:dyDescent="0.45">
      <c r="B1617" s="323"/>
      <c r="C1617" s="417"/>
      <c r="M1617" s="347">
        <f>SUM(S1577:S1615)</f>
        <v>0</v>
      </c>
      <c r="N1617" s="298"/>
      <c r="O1617" s="347">
        <f>SUM(U1577:U1615)</f>
        <v>0</v>
      </c>
      <c r="Q1617" s="442"/>
      <c r="R1617" s="403" t="str">
        <f>IF(M1617+O1617=0,"DELETE"," ")</f>
        <v>DELETE</v>
      </c>
    </row>
    <row r="1618" spans="2:18" ht="9" customHeight="1" thickBot="1" x14ac:dyDescent="0.5">
      <c r="B1618" s="323"/>
      <c r="C1618" s="417"/>
      <c r="M1618" s="351"/>
      <c r="N1618" s="301"/>
      <c r="O1618" s="351"/>
      <c r="Q1618" s="442"/>
      <c r="R1618" s="403" t="str">
        <f t="shared" ref="R1618:R1623" si="82">R$1617</f>
        <v>DELETE</v>
      </c>
    </row>
    <row r="1619" spans="2:18" ht="9" customHeight="1" thickTop="1" x14ac:dyDescent="0.45">
      <c r="B1619" s="323"/>
      <c r="C1619" s="417"/>
      <c r="M1619" s="363"/>
      <c r="N1619" s="314"/>
      <c r="O1619" s="363"/>
      <c r="Q1619" s="442"/>
      <c r="R1619" s="403" t="str">
        <f t="shared" si="82"/>
        <v>DELETE</v>
      </c>
    </row>
    <row r="1620" spans="2:18" ht="31.5" customHeight="1" x14ac:dyDescent="0.45">
      <c r="B1620" s="323"/>
      <c r="C1620" s="417"/>
      <c r="M1620" s="347"/>
      <c r="N1620" s="298"/>
      <c r="O1620" s="347"/>
      <c r="Q1620" s="442"/>
      <c r="R1620" s="403" t="str">
        <f t="shared" si="82"/>
        <v>DELETE</v>
      </c>
    </row>
    <row r="1621" spans="2:18" ht="31.5" customHeight="1" x14ac:dyDescent="0.45">
      <c r="B1621" s="323"/>
      <c r="C1621" s="417"/>
      <c r="M1621" s="347"/>
      <c r="N1621" s="298"/>
      <c r="O1621" s="347"/>
      <c r="Q1621" s="442"/>
      <c r="R1621" s="403" t="str">
        <f t="shared" si="82"/>
        <v>DELETE</v>
      </c>
    </row>
    <row r="1622" spans="2:18" ht="31.5" customHeight="1" x14ac:dyDescent="0.45">
      <c r="B1622" s="324"/>
      <c r="C1622" s="465"/>
      <c r="D1622" s="429"/>
      <c r="E1622" s="429"/>
      <c r="F1622" s="429"/>
      <c r="G1622" s="429"/>
      <c r="H1622" s="429"/>
      <c r="I1622" s="429"/>
      <c r="J1622" s="429"/>
      <c r="K1622" s="429"/>
      <c r="L1622" s="429"/>
      <c r="M1622" s="349"/>
      <c r="N1622" s="300"/>
      <c r="O1622" s="349"/>
      <c r="P1622" s="433"/>
      <c r="Q1622" s="446"/>
      <c r="R1622" s="403" t="str">
        <f t="shared" si="82"/>
        <v>DELETE</v>
      </c>
    </row>
    <row r="1623" spans="2:18" ht="31.5" customHeight="1" x14ac:dyDescent="0.45">
      <c r="B1623" s="422"/>
      <c r="M1623" s="426"/>
      <c r="N1623" s="406"/>
      <c r="O1623" s="426"/>
      <c r="R1623" s="403" t="str">
        <f t="shared" si="82"/>
        <v>DELETE</v>
      </c>
    </row>
    <row r="1624" spans="2:18" ht="31.5" customHeight="1" x14ac:dyDescent="0.45">
      <c r="B1624" s="422"/>
      <c r="M1624" s="426"/>
      <c r="N1624" s="406"/>
      <c r="O1624" s="426"/>
      <c r="R1624" s="403" t="str">
        <f>R$1642</f>
        <v>DELETE</v>
      </c>
    </row>
    <row r="1625" spans="2:18" ht="31.5" customHeight="1" x14ac:dyDescent="0.45">
      <c r="B1625" s="422"/>
      <c r="D1625" s="417" t="str">
        <f>Criteria!E9</f>
        <v>HOLDING COMPANY 268 (PROPRIETARY) LIMITED</v>
      </c>
      <c r="M1625" s="426"/>
      <c r="N1625" s="406"/>
      <c r="O1625" s="347" t="s">
        <v>96</v>
      </c>
      <c r="Q1625" s="292">
        <f>MAX($Q$114:Q1624)+1</f>
        <v>38</v>
      </c>
      <c r="R1625" s="403" t="str">
        <f t="shared" ref="R1625:R1635" si="83">R$1642</f>
        <v>DELETE</v>
      </c>
    </row>
    <row r="1626" spans="2:18" ht="31.5" customHeight="1" x14ac:dyDescent="0.45">
      <c r="B1626" s="422"/>
      <c r="D1626" s="417" t="str">
        <f>Criteria!E10</f>
        <v>CONSOLIDATED FINANCIAL STATEMENTS</v>
      </c>
      <c r="M1626" s="426"/>
      <c r="N1626" s="406"/>
      <c r="O1626" s="426"/>
      <c r="R1626" s="403" t="str">
        <f>IF(R$1642="DELETE","DELETE",IF(D1626=0,"DELETE"," "))</f>
        <v>DELETE</v>
      </c>
    </row>
    <row r="1627" spans="2:18" ht="31.5" customHeight="1" x14ac:dyDescent="0.45">
      <c r="B1627" s="422"/>
      <c r="M1627" s="426"/>
      <c r="N1627" s="406"/>
      <c r="O1627" s="426"/>
      <c r="R1627" s="403" t="str">
        <f t="shared" si="83"/>
        <v>DELETE</v>
      </c>
    </row>
    <row r="1628" spans="2:18" ht="31.5" customHeight="1" x14ac:dyDescent="0.45">
      <c r="B1628" s="422"/>
      <c r="D1628" s="417" t="s">
        <v>377</v>
      </c>
      <c r="M1628" s="426"/>
      <c r="N1628" s="406"/>
      <c r="O1628" s="426"/>
      <c r="R1628" s="403" t="str">
        <f t="shared" si="83"/>
        <v>DELETE</v>
      </c>
    </row>
    <row r="1629" spans="2:18" ht="31.5" customHeight="1" x14ac:dyDescent="0.45">
      <c r="B1629" s="422"/>
      <c r="D1629" s="417" t="str">
        <f>Criteria!E20</f>
        <v>29 FEBRUARY 2024</v>
      </c>
      <c r="J1629" s="400" t="s">
        <v>247</v>
      </c>
      <c r="M1629" s="426"/>
      <c r="N1629" s="406"/>
      <c r="O1629" s="426"/>
      <c r="R1629" s="403" t="str">
        <f t="shared" si="83"/>
        <v>DELETE</v>
      </c>
    </row>
    <row r="1630" spans="2:18" ht="31.5" customHeight="1" x14ac:dyDescent="0.45">
      <c r="B1630" s="422"/>
      <c r="D1630" s="417"/>
      <c r="M1630" s="426"/>
      <c r="N1630" s="406"/>
      <c r="O1630" s="426"/>
      <c r="R1630" s="403" t="str">
        <f t="shared" si="83"/>
        <v>DELETE</v>
      </c>
    </row>
    <row r="1631" spans="2:18" ht="31.5" customHeight="1" x14ac:dyDescent="0.45">
      <c r="B1631" s="326"/>
      <c r="C1631" s="458"/>
      <c r="D1631" s="439"/>
      <c r="E1631" s="439"/>
      <c r="F1631" s="439"/>
      <c r="G1631" s="439"/>
      <c r="H1631" s="439"/>
      <c r="I1631" s="439"/>
      <c r="J1631" s="439"/>
      <c r="K1631" s="439"/>
      <c r="L1631" s="439"/>
      <c r="M1631" s="362"/>
      <c r="N1631" s="299"/>
      <c r="O1631" s="362"/>
      <c r="P1631" s="448"/>
      <c r="Q1631" s="440"/>
      <c r="R1631" s="403" t="str">
        <f t="shared" si="83"/>
        <v>DELETE</v>
      </c>
    </row>
    <row r="1632" spans="2:18" ht="31.5" customHeight="1" x14ac:dyDescent="0.45">
      <c r="B1632" s="323"/>
      <c r="C1632" s="417"/>
      <c r="M1632" s="344">
        <f>Criteria!E22</f>
        <v>2024</v>
      </c>
      <c r="N1632" s="294"/>
      <c r="O1632" s="344">
        <f>Criteria!E27</f>
        <v>2023</v>
      </c>
      <c r="Q1632" s="442"/>
      <c r="R1632" s="403" t="str">
        <f t="shared" si="83"/>
        <v>DELETE</v>
      </c>
    </row>
    <row r="1633" spans="2:18" ht="31.5" customHeight="1" x14ac:dyDescent="0.45">
      <c r="B1633" s="323"/>
      <c r="C1633" s="417"/>
      <c r="M1633" s="347"/>
      <c r="N1633" s="298"/>
      <c r="O1633" s="347"/>
      <c r="Q1633" s="442"/>
      <c r="R1633" s="403" t="str">
        <f t="shared" si="83"/>
        <v>DELETE</v>
      </c>
    </row>
    <row r="1634" spans="2:18" ht="31.5" customHeight="1" x14ac:dyDescent="0.45">
      <c r="B1634" s="323">
        <f>MAX(B$559:B1633)+1</f>
        <v>16</v>
      </c>
      <c r="C1634" s="417" t="s">
        <v>915</v>
      </c>
      <c r="M1634" s="347"/>
      <c r="N1634" s="298"/>
      <c r="O1634" s="347"/>
      <c r="Q1634" s="442"/>
      <c r="R1634" s="403" t="str">
        <f t="shared" si="83"/>
        <v>DELETE</v>
      </c>
    </row>
    <row r="1635" spans="2:18" ht="31.5" customHeight="1" x14ac:dyDescent="0.45">
      <c r="B1635" s="323"/>
      <c r="C1635" s="417"/>
      <c r="D1635" s="400" t="s">
        <v>916</v>
      </c>
      <c r="M1635" s="347"/>
      <c r="N1635" s="298"/>
      <c r="O1635" s="347"/>
      <c r="Q1635" s="442"/>
      <c r="R1635" s="403" t="str">
        <f t="shared" si="83"/>
        <v>DELETE</v>
      </c>
    </row>
    <row r="1636" spans="2:18" ht="31.5" customHeight="1" x14ac:dyDescent="0.45">
      <c r="B1636" s="323"/>
      <c r="C1636" s="417"/>
      <c r="D1636" s="400" t="s">
        <v>558</v>
      </c>
      <c r="M1636" s="347">
        <f>TrialBalance!L354</f>
        <v>0</v>
      </c>
      <c r="N1636" s="298"/>
      <c r="O1636" s="347">
        <f>TrialBalance!N354</f>
        <v>0</v>
      </c>
      <c r="Q1636" s="442"/>
      <c r="R1636" s="403" t="str">
        <f>IF(M1636+O1636=0,"DELETE"," ")</f>
        <v>DELETE</v>
      </c>
    </row>
    <row r="1637" spans="2:18" ht="31.5" customHeight="1" x14ac:dyDescent="0.45">
      <c r="B1637" s="323"/>
      <c r="C1637" s="417"/>
      <c r="D1637" s="400" t="s">
        <v>559</v>
      </c>
      <c r="M1637" s="347">
        <f>TrialBalance!L355</f>
        <v>0</v>
      </c>
      <c r="N1637" s="298"/>
      <c r="O1637" s="347">
        <f>TrialBalance!N355</f>
        <v>0</v>
      </c>
      <c r="Q1637" s="442"/>
      <c r="R1637" s="403" t="str">
        <f>IF(M1637+O1637=0,"DELETE"," ")</f>
        <v>DELETE</v>
      </c>
    </row>
    <row r="1638" spans="2:18" ht="31.5" customHeight="1" x14ac:dyDescent="0.45">
      <c r="B1638" s="323"/>
      <c r="C1638" s="417"/>
      <c r="D1638" s="400" t="s">
        <v>560</v>
      </c>
      <c r="M1638" s="347">
        <f>TrialBalance!L356</f>
        <v>0</v>
      </c>
      <c r="N1638" s="298"/>
      <c r="O1638" s="347">
        <f>TrialBalance!N356</f>
        <v>0</v>
      </c>
      <c r="Q1638" s="442"/>
      <c r="R1638" s="403" t="str">
        <f>IF(M1638+O1638=0,"DELETE"," ")</f>
        <v>DELETE</v>
      </c>
    </row>
    <row r="1639" spans="2:18" ht="31.5" customHeight="1" x14ac:dyDescent="0.45">
      <c r="B1639" s="323"/>
      <c r="C1639" s="417"/>
      <c r="D1639" s="400" t="s">
        <v>561</v>
      </c>
      <c r="M1639" s="347">
        <f>TrialBalance!L357</f>
        <v>0</v>
      </c>
      <c r="N1639" s="298"/>
      <c r="O1639" s="347">
        <f>TrialBalance!N357</f>
        <v>0</v>
      </c>
      <c r="Q1639" s="442"/>
      <c r="R1639" s="403" t="str">
        <f>IF(M1639+O1639=0,"DELETE"," ")</f>
        <v>DELETE</v>
      </c>
    </row>
    <row r="1640" spans="2:18" ht="9" customHeight="1" x14ac:dyDescent="0.45">
      <c r="B1640" s="323"/>
      <c r="C1640" s="417"/>
      <c r="M1640" s="349"/>
      <c r="N1640" s="300"/>
      <c r="O1640" s="349"/>
      <c r="Q1640" s="442"/>
      <c r="R1640" s="403" t="str">
        <f t="shared" ref="R1640:R1648" si="84">R$1642</f>
        <v>DELETE</v>
      </c>
    </row>
    <row r="1641" spans="2:18" ht="9" customHeight="1" x14ac:dyDescent="0.45">
      <c r="B1641" s="323"/>
      <c r="C1641" s="417"/>
      <c r="M1641" s="347"/>
      <c r="N1641" s="298"/>
      <c r="O1641" s="347"/>
      <c r="Q1641" s="442"/>
      <c r="R1641" s="403" t="str">
        <f t="shared" si="84"/>
        <v>DELETE</v>
      </c>
    </row>
    <row r="1642" spans="2:18" ht="31.5" customHeight="1" x14ac:dyDescent="0.45">
      <c r="B1642" s="323"/>
      <c r="C1642" s="417"/>
      <c r="M1642" s="347">
        <f>SUM(M1636:M1641)</f>
        <v>0</v>
      </c>
      <c r="N1642" s="298"/>
      <c r="O1642" s="347">
        <f>SUM(O1636:O1641)</f>
        <v>0</v>
      </c>
      <c r="Q1642" s="442"/>
      <c r="R1642" s="403" t="str">
        <f>IF(M1642+O1642=0,"DELETE"," ")</f>
        <v>DELETE</v>
      </c>
    </row>
    <row r="1643" spans="2:18" ht="9" customHeight="1" thickBot="1" x14ac:dyDescent="0.5">
      <c r="B1643" s="323"/>
      <c r="C1643" s="417"/>
      <c r="M1643" s="351"/>
      <c r="N1643" s="301"/>
      <c r="O1643" s="351"/>
      <c r="Q1643" s="442"/>
      <c r="R1643" s="403" t="str">
        <f t="shared" si="84"/>
        <v>DELETE</v>
      </c>
    </row>
    <row r="1644" spans="2:18" ht="9" customHeight="1" thickTop="1" x14ac:dyDescent="0.45">
      <c r="B1644" s="323"/>
      <c r="C1644" s="417"/>
      <c r="M1644" s="363"/>
      <c r="N1644" s="314"/>
      <c r="O1644" s="363"/>
      <c r="Q1644" s="442"/>
      <c r="R1644" s="403" t="str">
        <f t="shared" si="84"/>
        <v>DELETE</v>
      </c>
    </row>
    <row r="1645" spans="2:18" ht="31.5" customHeight="1" x14ac:dyDescent="0.45">
      <c r="B1645" s="323"/>
      <c r="C1645" s="417"/>
      <c r="M1645" s="347"/>
      <c r="N1645" s="298"/>
      <c r="O1645" s="347"/>
      <c r="Q1645" s="442"/>
      <c r="R1645" s="403" t="str">
        <f t="shared" si="84"/>
        <v>DELETE</v>
      </c>
    </row>
    <row r="1646" spans="2:18" ht="31.5" customHeight="1" x14ac:dyDescent="0.45">
      <c r="B1646" s="323"/>
      <c r="C1646" s="417"/>
      <c r="M1646" s="347"/>
      <c r="N1646" s="298"/>
      <c r="O1646" s="347"/>
      <c r="Q1646" s="442"/>
      <c r="R1646" s="403" t="str">
        <f t="shared" si="84"/>
        <v>DELETE</v>
      </c>
    </row>
    <row r="1647" spans="2:18" ht="31.5" customHeight="1" x14ac:dyDescent="0.45">
      <c r="B1647" s="324"/>
      <c r="C1647" s="465"/>
      <c r="D1647" s="429"/>
      <c r="E1647" s="429"/>
      <c r="F1647" s="429"/>
      <c r="G1647" s="429"/>
      <c r="H1647" s="429"/>
      <c r="I1647" s="429"/>
      <c r="J1647" s="429"/>
      <c r="K1647" s="429"/>
      <c r="L1647" s="429"/>
      <c r="M1647" s="349"/>
      <c r="N1647" s="300"/>
      <c r="O1647" s="349"/>
      <c r="P1647" s="433"/>
      <c r="Q1647" s="446"/>
      <c r="R1647" s="403" t="str">
        <f t="shared" si="84"/>
        <v>DELETE</v>
      </c>
    </row>
    <row r="1648" spans="2:18" ht="31.5" customHeight="1" x14ac:dyDescent="0.45">
      <c r="B1648" s="325"/>
      <c r="C1648" s="417"/>
      <c r="M1648" s="347"/>
      <c r="N1648" s="298"/>
      <c r="O1648" s="347"/>
      <c r="R1648" s="403" t="str">
        <f t="shared" si="84"/>
        <v>DELETE</v>
      </c>
    </row>
    <row r="1649" spans="2:24" ht="31.5" customHeight="1" x14ac:dyDescent="0.45">
      <c r="B1649" s="422"/>
      <c r="M1649" s="426"/>
      <c r="N1649" s="406"/>
      <c r="O1649" s="426"/>
      <c r="R1649" s="403" t="str">
        <f>R$1672</f>
        <v>DELETE</v>
      </c>
    </row>
    <row r="1650" spans="2:24" ht="31.5" customHeight="1" x14ac:dyDescent="0.45">
      <c r="B1650" s="422"/>
      <c r="D1650" s="417" t="str">
        <f>Criteria!E9</f>
        <v>HOLDING COMPANY 268 (PROPRIETARY) LIMITED</v>
      </c>
      <c r="M1650" s="426"/>
      <c r="N1650" s="406"/>
      <c r="O1650" s="347" t="s">
        <v>96</v>
      </c>
      <c r="Q1650" s="292">
        <f>MAX($Q$114:Q1649)+1</f>
        <v>39</v>
      </c>
      <c r="R1650" s="403" t="str">
        <f t="shared" ref="R1650:R1659" si="85">R$1672</f>
        <v>DELETE</v>
      </c>
    </row>
    <row r="1651" spans="2:24" ht="31.5" customHeight="1" x14ac:dyDescent="0.45">
      <c r="B1651" s="422"/>
      <c r="D1651" s="417" t="str">
        <f>Criteria!E10</f>
        <v>CONSOLIDATED FINANCIAL STATEMENTS</v>
      </c>
      <c r="M1651" s="426"/>
      <c r="N1651" s="406"/>
      <c r="O1651" s="426"/>
      <c r="R1651" s="403" t="str">
        <f>IF(R$1672="DELETE","DELETE",IF(D1651=0,"DELETE"," "))</f>
        <v>DELETE</v>
      </c>
    </row>
    <row r="1652" spans="2:24" ht="31.5" customHeight="1" x14ac:dyDescent="0.45">
      <c r="B1652" s="422"/>
      <c r="M1652" s="426"/>
      <c r="N1652" s="406"/>
      <c r="O1652" s="426"/>
      <c r="R1652" s="403" t="str">
        <f t="shared" si="85"/>
        <v>DELETE</v>
      </c>
    </row>
    <row r="1653" spans="2:24" ht="31.5" customHeight="1" x14ac:dyDescent="0.45">
      <c r="B1653" s="422"/>
      <c r="D1653" s="417" t="s">
        <v>377</v>
      </c>
      <c r="M1653" s="426"/>
      <c r="N1653" s="406"/>
      <c r="O1653" s="426"/>
      <c r="R1653" s="403" t="str">
        <f t="shared" si="85"/>
        <v>DELETE</v>
      </c>
    </row>
    <row r="1654" spans="2:24" ht="31.5" customHeight="1" x14ac:dyDescent="0.45">
      <c r="B1654" s="422"/>
      <c r="D1654" s="417" t="str">
        <f>Criteria!E20</f>
        <v>29 FEBRUARY 2024</v>
      </c>
      <c r="J1654" s="400" t="s">
        <v>247</v>
      </c>
      <c r="M1654" s="426"/>
      <c r="N1654" s="406"/>
      <c r="O1654" s="426"/>
      <c r="R1654" s="403" t="str">
        <f t="shared" si="85"/>
        <v>DELETE</v>
      </c>
    </row>
    <row r="1655" spans="2:24" ht="31.5" customHeight="1" x14ac:dyDescent="0.45">
      <c r="B1655" s="422"/>
      <c r="M1655" s="437"/>
      <c r="N1655" s="461"/>
      <c r="O1655" s="437"/>
      <c r="R1655" s="403" t="str">
        <f t="shared" si="85"/>
        <v>DELETE</v>
      </c>
    </row>
    <row r="1656" spans="2:24" ht="31.5" customHeight="1" x14ac:dyDescent="0.45">
      <c r="B1656" s="457"/>
      <c r="C1656" s="439"/>
      <c r="D1656" s="439"/>
      <c r="E1656" s="439"/>
      <c r="F1656" s="439"/>
      <c r="G1656" s="439"/>
      <c r="H1656" s="439"/>
      <c r="I1656" s="439"/>
      <c r="J1656" s="439"/>
      <c r="K1656" s="439"/>
      <c r="L1656" s="439"/>
      <c r="M1656" s="469"/>
      <c r="N1656" s="470"/>
      <c r="O1656" s="469"/>
      <c r="P1656" s="448"/>
      <c r="Q1656" s="440"/>
      <c r="R1656" s="403" t="str">
        <f t="shared" si="85"/>
        <v>DELETE</v>
      </c>
    </row>
    <row r="1657" spans="2:24" ht="31.5" customHeight="1" x14ac:dyDescent="0.45">
      <c r="B1657" s="459"/>
      <c r="M1657" s="344">
        <f>Criteria!E22</f>
        <v>2024</v>
      </c>
      <c r="N1657" s="294"/>
      <c r="O1657" s="344">
        <f>Criteria!E27</f>
        <v>2023</v>
      </c>
      <c r="Q1657" s="442"/>
      <c r="R1657" s="403" t="str">
        <f t="shared" si="85"/>
        <v>DELETE</v>
      </c>
    </row>
    <row r="1658" spans="2:24" ht="31.5" customHeight="1" x14ac:dyDescent="0.45">
      <c r="B1658" s="323"/>
      <c r="C1658" s="417"/>
      <c r="M1658" s="347"/>
      <c r="N1658" s="298"/>
      <c r="O1658" s="347"/>
      <c r="Q1658" s="442"/>
      <c r="R1658" s="403" t="str">
        <f t="shared" si="85"/>
        <v>DELETE</v>
      </c>
    </row>
    <row r="1659" spans="2:24" ht="31.5" customHeight="1" x14ac:dyDescent="0.45">
      <c r="B1659" s="323">
        <f>MAX(B$559:B1658)+1</f>
        <v>17</v>
      </c>
      <c r="C1659" s="417" t="s">
        <v>723</v>
      </c>
      <c r="M1659" s="347"/>
      <c r="N1659" s="298"/>
      <c r="O1659" s="347"/>
      <c r="Q1659" s="442"/>
      <c r="R1659" s="403" t="str">
        <f t="shared" si="85"/>
        <v>DELETE</v>
      </c>
    </row>
    <row r="1660" spans="2:24" ht="31.5" customHeight="1" x14ac:dyDescent="0.45">
      <c r="B1660" s="323"/>
      <c r="C1660" s="417"/>
      <c r="D1660" s="400" t="s">
        <v>562</v>
      </c>
      <c r="M1660" s="347">
        <f>TrialBalance!L359</f>
        <v>0</v>
      </c>
      <c r="N1660" s="298"/>
      <c r="O1660" s="347">
        <f>TrialBalance!N359</f>
        <v>0</v>
      </c>
      <c r="Q1660" s="442"/>
      <c r="R1660" s="403" t="str">
        <f>IF(M1660+O1660=0,"DELETE"," ")</f>
        <v>DELETE</v>
      </c>
      <c r="S1660" s="383">
        <f>M1660</f>
        <v>0</v>
      </c>
      <c r="T1660" s="383"/>
      <c r="U1660" s="383">
        <f>O1660</f>
        <v>0</v>
      </c>
      <c r="V1660" s="383"/>
      <c r="W1660" s="383"/>
      <c r="X1660" s="383"/>
    </row>
    <row r="1661" spans="2:24" ht="31.5" customHeight="1" x14ac:dyDescent="0.45">
      <c r="B1661" s="323"/>
      <c r="C1661" s="417"/>
      <c r="D1661" s="400" t="s">
        <v>656</v>
      </c>
      <c r="M1661" s="347">
        <f>TrialBalance!L360</f>
        <v>0</v>
      </c>
      <c r="N1661" s="298"/>
      <c r="O1661" s="347">
        <f>TrialBalance!N360</f>
        <v>0</v>
      </c>
      <c r="Q1661" s="442"/>
      <c r="R1661" s="403" t="str">
        <f>IF(M1661+O1661=0,"DELETE"," ")</f>
        <v>DELETE</v>
      </c>
      <c r="S1661" s="383">
        <f>M1661</f>
        <v>0</v>
      </c>
      <c r="T1661" s="383"/>
      <c r="U1661" s="383">
        <f>O1661</f>
        <v>0</v>
      </c>
      <c r="V1661" s="383"/>
      <c r="W1661" s="383"/>
      <c r="X1661" s="383"/>
    </row>
    <row r="1662" spans="2:24" ht="9" customHeight="1" x14ac:dyDescent="0.45">
      <c r="B1662" s="323"/>
      <c r="C1662" s="417"/>
      <c r="M1662" s="349"/>
      <c r="N1662" s="300"/>
      <c r="O1662" s="349"/>
      <c r="Q1662" s="442"/>
      <c r="R1662" s="403" t="str">
        <f>R1661</f>
        <v>DELETE</v>
      </c>
    </row>
    <row r="1663" spans="2:24" ht="10.5" customHeight="1" x14ac:dyDescent="0.45">
      <c r="B1663" s="323"/>
      <c r="C1663" s="417"/>
      <c r="M1663" s="347"/>
      <c r="N1663" s="298"/>
      <c r="O1663" s="347"/>
      <c r="Q1663" s="442"/>
      <c r="R1663" s="403" t="str">
        <f>R1662</f>
        <v>DELETE</v>
      </c>
    </row>
    <row r="1664" spans="2:24" ht="31.5" customHeight="1" x14ac:dyDescent="0.45">
      <c r="B1664" s="323"/>
      <c r="C1664" s="417"/>
      <c r="M1664" s="347">
        <f>SUM(M1660:M1663)</f>
        <v>0</v>
      </c>
      <c r="N1664" s="298"/>
      <c r="O1664" s="347">
        <f>SUM(O1660:O1663)</f>
        <v>0</v>
      </c>
      <c r="Q1664" s="442"/>
      <c r="R1664" s="403" t="str">
        <f>R1663</f>
        <v>DELETE</v>
      </c>
    </row>
    <row r="1665" spans="2:24" ht="31.5" customHeight="1" x14ac:dyDescent="0.45">
      <c r="B1665" s="323"/>
      <c r="C1665" s="417"/>
      <c r="D1665" s="400" t="s">
        <v>332</v>
      </c>
      <c r="M1665" s="347">
        <f>TrialBalance!L361</f>
        <v>0</v>
      </c>
      <c r="N1665" s="298"/>
      <c r="O1665" s="347">
        <f>TrialBalance!N361</f>
        <v>0</v>
      </c>
      <c r="Q1665" s="442"/>
      <c r="R1665" s="403" t="str">
        <f>IF(M1665+O1665=0,"DELETE"," ")</f>
        <v>DELETE</v>
      </c>
      <c r="S1665" s="383">
        <f t="shared" ref="S1665:S1669" si="86">M1665</f>
        <v>0</v>
      </c>
      <c r="T1665" s="383"/>
      <c r="U1665" s="383">
        <f t="shared" ref="U1665:U1669" si="87">O1665</f>
        <v>0</v>
      </c>
      <c r="V1665" s="383"/>
      <c r="W1665" s="383"/>
      <c r="X1665" s="383"/>
    </row>
    <row r="1666" spans="2:24" ht="31.5" customHeight="1" x14ac:dyDescent="0.45">
      <c r="B1666" s="323"/>
      <c r="C1666" s="417"/>
      <c r="D1666" s="400" t="s">
        <v>298</v>
      </c>
      <c r="M1666" s="347">
        <f>TrialBalance!L362</f>
        <v>0</v>
      </c>
      <c r="N1666" s="298"/>
      <c r="O1666" s="347">
        <f>TrialBalance!N362</f>
        <v>0</v>
      </c>
      <c r="Q1666" s="442"/>
      <c r="R1666" s="403" t="str">
        <f>IF(M1666+O1666=0,"DELETE"," ")</f>
        <v>DELETE</v>
      </c>
      <c r="S1666" s="383">
        <f t="shared" si="86"/>
        <v>0</v>
      </c>
      <c r="T1666" s="383"/>
      <c r="U1666" s="383">
        <f t="shared" si="87"/>
        <v>0</v>
      </c>
      <c r="V1666" s="383"/>
      <c r="W1666" s="383"/>
      <c r="X1666" s="383"/>
    </row>
    <row r="1667" spans="2:24" ht="31.5" customHeight="1" x14ac:dyDescent="0.45">
      <c r="B1667" s="323"/>
      <c r="C1667" s="417"/>
      <c r="D1667" s="400" t="s">
        <v>376</v>
      </c>
      <c r="M1667" s="347">
        <f>TrialBalance!L363</f>
        <v>0</v>
      </c>
      <c r="N1667" s="298"/>
      <c r="O1667" s="347">
        <f>TrialBalance!N363</f>
        <v>0</v>
      </c>
      <c r="Q1667" s="442"/>
      <c r="R1667" s="403" t="str">
        <f>IF(M1667+O1667=0,"DELETE"," ")</f>
        <v>DELETE</v>
      </c>
      <c r="S1667" s="383">
        <f t="shared" si="86"/>
        <v>0</v>
      </c>
      <c r="T1667" s="383"/>
      <c r="U1667" s="383">
        <f t="shared" si="87"/>
        <v>0</v>
      </c>
      <c r="V1667" s="383"/>
      <c r="W1667" s="383"/>
      <c r="X1667" s="383"/>
    </row>
    <row r="1668" spans="2:24" ht="31.5" customHeight="1" x14ac:dyDescent="0.45">
      <c r="B1668" s="323"/>
      <c r="C1668" s="417"/>
      <c r="D1668" s="400" t="s">
        <v>564</v>
      </c>
      <c r="M1668" s="347">
        <f>TrialBalance!L364</f>
        <v>0</v>
      </c>
      <c r="N1668" s="298"/>
      <c r="O1668" s="347">
        <f>TrialBalance!N364</f>
        <v>0</v>
      </c>
      <c r="Q1668" s="442"/>
      <c r="R1668" s="403" t="str">
        <f>IF(M1668+O1668=0,"DELETE"," ")</f>
        <v>DELETE</v>
      </c>
      <c r="S1668" s="383">
        <f t="shared" si="86"/>
        <v>0</v>
      </c>
      <c r="T1668" s="383"/>
      <c r="U1668" s="383">
        <f t="shared" si="87"/>
        <v>0</v>
      </c>
      <c r="V1668" s="383"/>
      <c r="W1668" s="383"/>
      <c r="X1668" s="383"/>
    </row>
    <row r="1669" spans="2:24" ht="31.5" customHeight="1" x14ac:dyDescent="0.45">
      <c r="B1669" s="323"/>
      <c r="C1669" s="417"/>
      <c r="D1669" s="400" t="s">
        <v>563</v>
      </c>
      <c r="M1669" s="347">
        <f>IF(TrialBalance!L398&gt;0,TrialBalance!L398,0)+IF(TrialBalance!L397&gt;0,TrialBalance!L397,0)</f>
        <v>0</v>
      </c>
      <c r="N1669" s="298"/>
      <c r="O1669" s="347">
        <f>IF(TrialBalance!N398&gt;0,TrialBalance!N398,0)+IF(TrialBalance!N397&gt;0,TrialBalance!N397,0)</f>
        <v>0</v>
      </c>
      <c r="Q1669" s="442"/>
      <c r="R1669" s="403" t="str">
        <f>IF(M1669+O1669=0,"DELETE"," ")</f>
        <v>DELETE</v>
      </c>
      <c r="S1669" s="383">
        <f t="shared" si="86"/>
        <v>0</v>
      </c>
      <c r="T1669" s="383"/>
      <c r="U1669" s="383">
        <f t="shared" si="87"/>
        <v>0</v>
      </c>
      <c r="V1669" s="383"/>
      <c r="W1669" s="383"/>
      <c r="X1669" s="383"/>
    </row>
    <row r="1670" spans="2:24" ht="9" customHeight="1" x14ac:dyDescent="0.45">
      <c r="B1670" s="323"/>
      <c r="C1670" s="417"/>
      <c r="M1670" s="349"/>
      <c r="N1670" s="300"/>
      <c r="O1670" s="349"/>
      <c r="Q1670" s="442"/>
      <c r="R1670" s="403" t="str">
        <f t="shared" ref="R1670:R1679" si="88">R$1672</f>
        <v>DELETE</v>
      </c>
    </row>
    <row r="1671" spans="2:24" ht="9" customHeight="1" x14ac:dyDescent="0.45">
      <c r="B1671" s="323"/>
      <c r="C1671" s="417"/>
      <c r="M1671" s="347"/>
      <c r="N1671" s="298"/>
      <c r="O1671" s="347"/>
      <c r="Q1671" s="442"/>
      <c r="R1671" s="403" t="str">
        <f t="shared" si="88"/>
        <v>DELETE</v>
      </c>
    </row>
    <row r="1672" spans="2:24" ht="31.5" customHeight="1" x14ac:dyDescent="0.45">
      <c r="B1672" s="323"/>
      <c r="C1672" s="417"/>
      <c r="M1672" s="347">
        <f>SUM(S1660:S1669)</f>
        <v>0</v>
      </c>
      <c r="N1672" s="298"/>
      <c r="O1672" s="347">
        <f>SUM(U1660:U1669)</f>
        <v>0</v>
      </c>
      <c r="Q1672" s="442"/>
      <c r="R1672" s="403" t="str">
        <f>IF(M1672+O1672=0,"DELETE"," ")</f>
        <v>DELETE</v>
      </c>
      <c r="S1672" s="380"/>
      <c r="T1672" s="380"/>
      <c r="U1672" s="380"/>
    </row>
    <row r="1673" spans="2:24" ht="9" customHeight="1" thickBot="1" x14ac:dyDescent="0.5">
      <c r="B1673" s="323"/>
      <c r="C1673" s="417"/>
      <c r="M1673" s="351"/>
      <c r="N1673" s="301"/>
      <c r="O1673" s="351"/>
      <c r="Q1673" s="442"/>
      <c r="R1673" s="403" t="str">
        <f t="shared" si="88"/>
        <v>DELETE</v>
      </c>
    </row>
    <row r="1674" spans="2:24" ht="9" customHeight="1" thickTop="1" x14ac:dyDescent="0.45">
      <c r="B1674" s="323"/>
      <c r="C1674" s="417"/>
      <c r="M1674" s="363"/>
      <c r="N1674" s="314"/>
      <c r="O1674" s="363"/>
      <c r="Q1674" s="442"/>
      <c r="R1674" s="403" t="str">
        <f t="shared" si="88"/>
        <v>DELETE</v>
      </c>
    </row>
    <row r="1675" spans="2:24" ht="31.5" customHeight="1" x14ac:dyDescent="0.45">
      <c r="B1675" s="323"/>
      <c r="C1675" s="417"/>
      <c r="D1675" s="400" t="str">
        <f>IF(Criteria!G268="Yes",Criteria!G270," ")</f>
        <v xml:space="preserve"> </v>
      </c>
      <c r="M1675" s="347"/>
      <c r="N1675" s="298"/>
      <c r="O1675" s="347"/>
      <c r="Q1675" s="442"/>
      <c r="R1675" s="403" t="str">
        <f>IF(D1675=" ","DELETE"," ")</f>
        <v>DELETE</v>
      </c>
    </row>
    <row r="1676" spans="2:24" ht="31.5" customHeight="1" x14ac:dyDescent="0.45">
      <c r="B1676" s="323"/>
      <c r="C1676" s="417"/>
      <c r="D1676" s="400" t="str">
        <f>IF(Criteria!G268="Yes",Criteria!G271," ")</f>
        <v xml:space="preserve"> </v>
      </c>
      <c r="M1676" s="347"/>
      <c r="N1676" s="298"/>
      <c r="O1676" s="347"/>
      <c r="Q1676" s="442"/>
      <c r="R1676" s="403" t="str">
        <f>IF(D1676=" ","DELETE"," ")</f>
        <v>DELETE</v>
      </c>
    </row>
    <row r="1677" spans="2:24" ht="31.5" customHeight="1" x14ac:dyDescent="0.45">
      <c r="B1677" s="323"/>
      <c r="C1677" s="417"/>
      <c r="M1677" s="347"/>
      <c r="N1677" s="298"/>
      <c r="O1677" s="347"/>
      <c r="Q1677" s="442"/>
      <c r="R1677" s="403" t="str">
        <f t="shared" si="88"/>
        <v>DELETE</v>
      </c>
    </row>
    <row r="1678" spans="2:24" ht="31.5" customHeight="1" x14ac:dyDescent="0.45">
      <c r="B1678" s="324"/>
      <c r="C1678" s="465"/>
      <c r="D1678" s="429"/>
      <c r="E1678" s="429"/>
      <c r="F1678" s="429"/>
      <c r="G1678" s="429"/>
      <c r="H1678" s="429"/>
      <c r="I1678" s="429"/>
      <c r="J1678" s="429"/>
      <c r="K1678" s="429"/>
      <c r="L1678" s="429"/>
      <c r="M1678" s="349"/>
      <c r="N1678" s="300"/>
      <c r="O1678" s="349"/>
      <c r="P1678" s="433"/>
      <c r="Q1678" s="446"/>
      <c r="R1678" s="403" t="str">
        <f t="shared" si="88"/>
        <v>DELETE</v>
      </c>
    </row>
    <row r="1679" spans="2:24" ht="31.5" customHeight="1" x14ac:dyDescent="0.45">
      <c r="B1679" s="422"/>
      <c r="M1679" s="426"/>
      <c r="N1679" s="406"/>
      <c r="O1679" s="426"/>
      <c r="R1679" s="403" t="str">
        <f t="shared" si="88"/>
        <v>DELETE</v>
      </c>
    </row>
    <row r="1680" spans="2:24" ht="31.5" customHeight="1" x14ac:dyDescent="0.45">
      <c r="B1680" s="422"/>
      <c r="M1680" s="426"/>
      <c r="N1680" s="406"/>
      <c r="O1680" s="426"/>
      <c r="R1680" s="403" t="str">
        <f>R$1700</f>
        <v>DELETE</v>
      </c>
    </row>
    <row r="1681" spans="2:18" ht="31.5" customHeight="1" x14ac:dyDescent="0.45">
      <c r="B1681" s="422"/>
      <c r="D1681" s="417" t="str">
        <f>Criteria!E9</f>
        <v>HOLDING COMPANY 268 (PROPRIETARY) LIMITED</v>
      </c>
      <c r="M1681" s="426"/>
      <c r="N1681" s="406"/>
      <c r="O1681" s="347" t="s">
        <v>96</v>
      </c>
      <c r="Q1681" s="292">
        <f>MAX($Q$114:Q1680)+1</f>
        <v>40</v>
      </c>
      <c r="R1681" s="403" t="str">
        <f t="shared" ref="R1681:R1690" si="89">R$1700</f>
        <v>DELETE</v>
      </c>
    </row>
    <row r="1682" spans="2:18" ht="31.5" customHeight="1" x14ac:dyDescent="0.45">
      <c r="B1682" s="422"/>
      <c r="D1682" s="417" t="str">
        <f>Criteria!E10</f>
        <v>CONSOLIDATED FINANCIAL STATEMENTS</v>
      </c>
      <c r="M1682" s="426"/>
      <c r="N1682" s="406"/>
      <c r="O1682" s="426"/>
      <c r="R1682" s="403" t="str">
        <f>IF(R$1700="DELETE","DELETE",IF(D1682=0,"DELETE"," "))</f>
        <v>DELETE</v>
      </c>
    </row>
    <row r="1683" spans="2:18" ht="31.5" customHeight="1" x14ac:dyDescent="0.45">
      <c r="B1683" s="422"/>
      <c r="M1683" s="426"/>
      <c r="N1683" s="406"/>
      <c r="O1683" s="426"/>
      <c r="R1683" s="403" t="str">
        <f t="shared" si="89"/>
        <v>DELETE</v>
      </c>
    </row>
    <row r="1684" spans="2:18" ht="31.5" customHeight="1" x14ac:dyDescent="0.45">
      <c r="B1684" s="422"/>
      <c r="D1684" s="417" t="s">
        <v>377</v>
      </c>
      <c r="M1684" s="426"/>
      <c r="N1684" s="406"/>
      <c r="O1684" s="426"/>
      <c r="R1684" s="403" t="str">
        <f t="shared" si="89"/>
        <v>DELETE</v>
      </c>
    </row>
    <row r="1685" spans="2:18" ht="31.5" customHeight="1" x14ac:dyDescent="0.45">
      <c r="B1685" s="422"/>
      <c r="D1685" s="417" t="str">
        <f>Criteria!E20</f>
        <v>29 FEBRUARY 2024</v>
      </c>
      <c r="J1685" s="400" t="s">
        <v>247</v>
      </c>
      <c r="M1685" s="426"/>
      <c r="N1685" s="406"/>
      <c r="O1685" s="426"/>
      <c r="R1685" s="403" t="str">
        <f t="shared" si="89"/>
        <v>DELETE</v>
      </c>
    </row>
    <row r="1686" spans="2:18" ht="31.5" customHeight="1" x14ac:dyDescent="0.45">
      <c r="B1686" s="422"/>
      <c r="D1686" s="417"/>
      <c r="M1686" s="426"/>
      <c r="N1686" s="406"/>
      <c r="O1686" s="426"/>
      <c r="R1686" s="403" t="str">
        <f t="shared" si="89"/>
        <v>DELETE</v>
      </c>
    </row>
    <row r="1687" spans="2:18" ht="31.5" customHeight="1" x14ac:dyDescent="0.45">
      <c r="B1687" s="326"/>
      <c r="C1687" s="458"/>
      <c r="D1687" s="439"/>
      <c r="E1687" s="439"/>
      <c r="F1687" s="439"/>
      <c r="G1687" s="439"/>
      <c r="H1687" s="439"/>
      <c r="I1687" s="439"/>
      <c r="J1687" s="439"/>
      <c r="K1687" s="439"/>
      <c r="L1687" s="439"/>
      <c r="M1687" s="362"/>
      <c r="N1687" s="299"/>
      <c r="O1687" s="362"/>
      <c r="P1687" s="448"/>
      <c r="Q1687" s="440"/>
      <c r="R1687" s="403" t="str">
        <f t="shared" si="89"/>
        <v>DELETE</v>
      </c>
    </row>
    <row r="1688" spans="2:18" ht="31.5" customHeight="1" x14ac:dyDescent="0.45">
      <c r="B1688" s="323"/>
      <c r="C1688" s="417"/>
      <c r="M1688" s="344">
        <f>Criteria!E22</f>
        <v>2024</v>
      </c>
      <c r="N1688" s="294"/>
      <c r="O1688" s="344">
        <f>Criteria!E27</f>
        <v>2023</v>
      </c>
      <c r="Q1688" s="442"/>
      <c r="R1688" s="403" t="str">
        <f t="shared" si="89"/>
        <v>DELETE</v>
      </c>
    </row>
    <row r="1689" spans="2:18" ht="31.5" customHeight="1" x14ac:dyDescent="0.45">
      <c r="B1689" s="323"/>
      <c r="C1689" s="417"/>
      <c r="M1689" s="347"/>
      <c r="N1689" s="298"/>
      <c r="O1689" s="347"/>
      <c r="Q1689" s="442"/>
      <c r="R1689" s="403" t="str">
        <f t="shared" si="89"/>
        <v>DELETE</v>
      </c>
    </row>
    <row r="1690" spans="2:18" ht="31.5" customHeight="1" x14ac:dyDescent="0.45">
      <c r="B1690" s="323">
        <f>MAX(B$559:B1689)+1</f>
        <v>18</v>
      </c>
      <c r="C1690" s="417" t="s">
        <v>169</v>
      </c>
      <c r="M1690" s="347"/>
      <c r="N1690" s="298"/>
      <c r="O1690" s="347"/>
      <c r="Q1690" s="442"/>
      <c r="R1690" s="403" t="str">
        <f t="shared" si="89"/>
        <v>DELETE</v>
      </c>
    </row>
    <row r="1691" spans="2:18" ht="31.5" customHeight="1" x14ac:dyDescent="0.45">
      <c r="B1691" s="323"/>
      <c r="C1691" s="417"/>
      <c r="D1691" s="400">
        <f>TrialBalance!C366</f>
        <v>0</v>
      </c>
      <c r="M1691" s="347">
        <f>IF(TrialBalance!L366&gt;0,TrialBalance!L366,0)</f>
        <v>0</v>
      </c>
      <c r="N1691" s="298"/>
      <c r="O1691" s="347">
        <f>IF(TrialBalance!N366&gt;0,TrialBalance!N366,0)</f>
        <v>0</v>
      </c>
      <c r="Q1691" s="442"/>
      <c r="R1691" s="403" t="str">
        <f>IF(M1691+O1691=0,"DELETE"," ")</f>
        <v>DELETE</v>
      </c>
    </row>
    <row r="1692" spans="2:18" ht="31.5" customHeight="1" x14ac:dyDescent="0.45">
      <c r="B1692" s="323"/>
      <c r="C1692" s="417"/>
      <c r="D1692" s="400">
        <f>TrialBalance!C367</f>
        <v>0</v>
      </c>
      <c r="M1692" s="347">
        <f>IF(TrialBalance!L367&gt;0,TrialBalance!L367,0)</f>
        <v>0</v>
      </c>
      <c r="N1692" s="298"/>
      <c r="O1692" s="347">
        <f>IF(TrialBalance!N367&gt;0,TrialBalance!N367,0)</f>
        <v>0</v>
      </c>
      <c r="Q1692" s="442"/>
      <c r="R1692" s="403" t="str">
        <f t="shared" ref="R1692:R1696" si="90">IF(M1692+O1692=0,"DELETE"," ")</f>
        <v>DELETE</v>
      </c>
    </row>
    <row r="1693" spans="2:18" ht="31.5" customHeight="1" x14ac:dyDescent="0.45">
      <c r="B1693" s="323"/>
      <c r="C1693" s="417"/>
      <c r="D1693" s="400">
        <f>TrialBalance!C368</f>
        <v>0</v>
      </c>
      <c r="M1693" s="347">
        <f>IF(TrialBalance!L368&gt;0,TrialBalance!L368,0)</f>
        <v>0</v>
      </c>
      <c r="N1693" s="298"/>
      <c r="O1693" s="347">
        <f>IF(TrialBalance!N368&gt;0,TrialBalance!N368,0)</f>
        <v>0</v>
      </c>
      <c r="Q1693" s="442"/>
      <c r="R1693" s="403" t="str">
        <f t="shared" si="90"/>
        <v>DELETE</v>
      </c>
    </row>
    <row r="1694" spans="2:18" ht="31.5" customHeight="1" x14ac:dyDescent="0.45">
      <c r="B1694" s="323"/>
      <c r="C1694" s="417"/>
      <c r="D1694" s="400">
        <f>TrialBalance!C369</f>
        <v>0</v>
      </c>
      <c r="M1694" s="347">
        <f>IF(TrialBalance!L369&gt;0,TrialBalance!L369,0)</f>
        <v>0</v>
      </c>
      <c r="N1694" s="298"/>
      <c r="O1694" s="347">
        <f>IF(TrialBalance!N369&gt;0,TrialBalance!N369,0)</f>
        <v>0</v>
      </c>
      <c r="Q1694" s="442"/>
      <c r="R1694" s="403" t="str">
        <f t="shared" si="90"/>
        <v>DELETE</v>
      </c>
    </row>
    <row r="1695" spans="2:18" ht="31.5" customHeight="1" x14ac:dyDescent="0.45">
      <c r="B1695" s="323"/>
      <c r="C1695" s="417"/>
      <c r="D1695" s="400">
        <f>TrialBalance!C370</f>
        <v>0</v>
      </c>
      <c r="M1695" s="347">
        <f>IF(TrialBalance!L370&gt;0,TrialBalance!L370,0)</f>
        <v>0</v>
      </c>
      <c r="N1695" s="298"/>
      <c r="O1695" s="347">
        <f>IF(TrialBalance!N370&gt;0,TrialBalance!N370,0)</f>
        <v>0</v>
      </c>
      <c r="Q1695" s="442"/>
      <c r="R1695" s="403" t="str">
        <f t="shared" si="90"/>
        <v>DELETE</v>
      </c>
    </row>
    <row r="1696" spans="2:18" ht="31.5" customHeight="1" x14ac:dyDescent="0.45">
      <c r="B1696" s="323"/>
      <c r="C1696" s="417"/>
      <c r="D1696" s="400">
        <f>TrialBalance!C371</f>
        <v>0</v>
      </c>
      <c r="M1696" s="347">
        <f>IF(TrialBalance!L371&gt;0,TrialBalance!L371,0)</f>
        <v>0</v>
      </c>
      <c r="N1696" s="298"/>
      <c r="O1696" s="347">
        <f>IF(TrialBalance!N371&gt;0,TrialBalance!N371,0)</f>
        <v>0</v>
      </c>
      <c r="Q1696" s="442"/>
      <c r="R1696" s="403" t="str">
        <f t="shared" si="90"/>
        <v>DELETE</v>
      </c>
    </row>
    <row r="1697" spans="2:24" ht="31.5" customHeight="1" x14ac:dyDescent="0.45">
      <c r="B1697" s="323"/>
      <c r="C1697" s="417"/>
      <c r="D1697" s="400" t="s">
        <v>427</v>
      </c>
      <c r="M1697" s="347">
        <f>TrialBalance!L372</f>
        <v>0</v>
      </c>
      <c r="N1697" s="298"/>
      <c r="O1697" s="347">
        <f>TrialBalance!N372</f>
        <v>0</v>
      </c>
      <c r="Q1697" s="442"/>
      <c r="R1697" s="403" t="str">
        <f>IF(M1697+O1697=0,"DELETE"," ")</f>
        <v>DELETE</v>
      </c>
    </row>
    <row r="1698" spans="2:24" ht="9" customHeight="1" x14ac:dyDescent="0.45">
      <c r="B1698" s="323"/>
      <c r="C1698" s="417"/>
      <c r="M1698" s="349"/>
      <c r="N1698" s="300"/>
      <c r="O1698" s="349"/>
      <c r="Q1698" s="442"/>
      <c r="R1698" s="403" t="str">
        <f t="shared" ref="R1698:R1706" si="91">R$1700</f>
        <v>DELETE</v>
      </c>
    </row>
    <row r="1699" spans="2:24" ht="9" customHeight="1" x14ac:dyDescent="0.45">
      <c r="B1699" s="323"/>
      <c r="C1699" s="417"/>
      <c r="M1699" s="347"/>
      <c r="N1699" s="298"/>
      <c r="O1699" s="347"/>
      <c r="Q1699" s="442"/>
      <c r="R1699" s="403" t="str">
        <f t="shared" si="91"/>
        <v>DELETE</v>
      </c>
    </row>
    <row r="1700" spans="2:24" ht="31.5" customHeight="1" x14ac:dyDescent="0.45">
      <c r="B1700" s="323"/>
      <c r="C1700" s="417"/>
      <c r="M1700" s="347">
        <f>SUM(M1691:M1699)</f>
        <v>0</v>
      </c>
      <c r="N1700" s="298"/>
      <c r="O1700" s="347">
        <f>SUM(O1691:O1699)</f>
        <v>0</v>
      </c>
      <c r="Q1700" s="442"/>
      <c r="R1700" s="403" t="str">
        <f>IF(M1700+O1700=0,"DELETE"," ")</f>
        <v>DELETE</v>
      </c>
      <c r="V1700" s="383"/>
      <c r="W1700" s="383"/>
      <c r="X1700" s="383"/>
    </row>
    <row r="1701" spans="2:24" ht="9" customHeight="1" thickBot="1" x14ac:dyDescent="0.5">
      <c r="B1701" s="323"/>
      <c r="C1701" s="417"/>
      <c r="M1701" s="351"/>
      <c r="N1701" s="301"/>
      <c r="O1701" s="351"/>
      <c r="Q1701" s="442"/>
      <c r="R1701" s="403" t="str">
        <f t="shared" si="91"/>
        <v>DELETE</v>
      </c>
    </row>
    <row r="1702" spans="2:24" ht="9" customHeight="1" thickTop="1" x14ac:dyDescent="0.45">
      <c r="B1702" s="323"/>
      <c r="C1702" s="417"/>
      <c r="M1702" s="363"/>
      <c r="N1702" s="314"/>
      <c r="O1702" s="363"/>
      <c r="Q1702" s="442"/>
      <c r="R1702" s="403" t="str">
        <f t="shared" si="91"/>
        <v>DELETE</v>
      </c>
    </row>
    <row r="1703" spans="2:24" ht="31.5" customHeight="1" x14ac:dyDescent="0.45">
      <c r="B1703" s="323"/>
      <c r="C1703" s="417"/>
      <c r="M1703" s="347"/>
      <c r="N1703" s="298"/>
      <c r="O1703" s="347"/>
      <c r="Q1703" s="442"/>
      <c r="R1703" s="403" t="str">
        <f t="shared" si="91"/>
        <v>DELETE</v>
      </c>
    </row>
    <row r="1704" spans="2:24" ht="31.5" customHeight="1" x14ac:dyDescent="0.45">
      <c r="B1704" s="323"/>
      <c r="C1704" s="417"/>
      <c r="M1704" s="347"/>
      <c r="N1704" s="298"/>
      <c r="O1704" s="347"/>
      <c r="Q1704" s="442"/>
      <c r="R1704" s="403" t="str">
        <f t="shared" si="91"/>
        <v>DELETE</v>
      </c>
    </row>
    <row r="1705" spans="2:24" ht="31.5" customHeight="1" x14ac:dyDescent="0.45">
      <c r="B1705" s="324"/>
      <c r="C1705" s="465"/>
      <c r="D1705" s="429"/>
      <c r="E1705" s="429"/>
      <c r="F1705" s="429"/>
      <c r="G1705" s="429"/>
      <c r="H1705" s="429"/>
      <c r="I1705" s="429"/>
      <c r="J1705" s="429"/>
      <c r="K1705" s="429"/>
      <c r="L1705" s="429"/>
      <c r="M1705" s="349"/>
      <c r="N1705" s="300"/>
      <c r="O1705" s="349"/>
      <c r="P1705" s="433"/>
      <c r="Q1705" s="446"/>
      <c r="R1705" s="403" t="str">
        <f t="shared" si="91"/>
        <v>DELETE</v>
      </c>
    </row>
    <row r="1706" spans="2:24" ht="31.5" customHeight="1" x14ac:dyDescent="0.45">
      <c r="B1706" s="325"/>
      <c r="C1706" s="417"/>
      <c r="M1706" s="347"/>
      <c r="N1706" s="298"/>
      <c r="O1706" s="347"/>
      <c r="R1706" s="403" t="str">
        <f t="shared" si="91"/>
        <v>DELETE</v>
      </c>
    </row>
    <row r="1707" spans="2:24" ht="31.5" customHeight="1" x14ac:dyDescent="0.45">
      <c r="B1707" s="325"/>
      <c r="C1707" s="417"/>
      <c r="M1707" s="347"/>
      <c r="N1707" s="298"/>
      <c r="O1707" s="347"/>
    </row>
    <row r="1708" spans="2:24" ht="31.5" customHeight="1" x14ac:dyDescent="0.45">
      <c r="B1708" s="422"/>
      <c r="D1708" s="417" t="str">
        <f>Criteria!E9</f>
        <v>HOLDING COMPANY 268 (PROPRIETARY) LIMITED</v>
      </c>
      <c r="M1708" s="426"/>
      <c r="N1708" s="406"/>
      <c r="O1708" s="347" t="s">
        <v>96</v>
      </c>
      <c r="Q1708" s="292">
        <f>MAX($Q$114:Q1707)+1</f>
        <v>41</v>
      </c>
    </row>
    <row r="1709" spans="2:24" ht="31.5" customHeight="1" x14ac:dyDescent="0.45">
      <c r="B1709" s="422"/>
      <c r="D1709" s="417" t="str">
        <f>Criteria!E10</f>
        <v>CONSOLIDATED FINANCIAL STATEMENTS</v>
      </c>
      <c r="M1709" s="426"/>
      <c r="N1709" s="406"/>
      <c r="O1709" s="426"/>
      <c r="R1709" s="403" t="str">
        <f>IF(D1709=0,"DELETE"," ")</f>
        <v xml:space="preserve"> </v>
      </c>
    </row>
    <row r="1710" spans="2:24" ht="31.5" customHeight="1" x14ac:dyDescent="0.45">
      <c r="B1710" s="422"/>
      <c r="M1710" s="426"/>
      <c r="N1710" s="406"/>
      <c r="O1710" s="426"/>
    </row>
    <row r="1711" spans="2:24" ht="31.5" customHeight="1" x14ac:dyDescent="0.45">
      <c r="B1711" s="422"/>
      <c r="D1711" s="417" t="s">
        <v>377</v>
      </c>
      <c r="M1711" s="426"/>
      <c r="N1711" s="406"/>
      <c r="O1711" s="426"/>
    </row>
    <row r="1712" spans="2:24" ht="31.5" customHeight="1" x14ac:dyDescent="0.45">
      <c r="B1712" s="422"/>
      <c r="D1712" s="417" t="str">
        <f>Criteria!E20</f>
        <v>29 FEBRUARY 2024</v>
      </c>
      <c r="J1712" s="400" t="s">
        <v>247</v>
      </c>
      <c r="M1712" s="426"/>
      <c r="N1712" s="406"/>
      <c r="O1712" s="426"/>
    </row>
    <row r="1713" spans="2:17" ht="31.5" customHeight="1" x14ac:dyDescent="0.45">
      <c r="B1713" s="422"/>
      <c r="D1713" s="417"/>
      <c r="M1713" s="426"/>
      <c r="N1713" s="406"/>
      <c r="O1713" s="426"/>
    </row>
    <row r="1714" spans="2:17" ht="31.5" customHeight="1" x14ac:dyDescent="0.45">
      <c r="B1714" s="326"/>
      <c r="C1714" s="458"/>
      <c r="D1714" s="439"/>
      <c r="E1714" s="439"/>
      <c r="F1714" s="439"/>
      <c r="G1714" s="439"/>
      <c r="H1714" s="439"/>
      <c r="I1714" s="439"/>
      <c r="J1714" s="439"/>
      <c r="K1714" s="439"/>
      <c r="L1714" s="439"/>
      <c r="M1714" s="362"/>
      <c r="N1714" s="299"/>
      <c r="O1714" s="362"/>
      <c r="P1714" s="448"/>
      <c r="Q1714" s="440"/>
    </row>
    <row r="1715" spans="2:17" ht="31.5" customHeight="1" x14ac:dyDescent="0.45">
      <c r="B1715" s="323"/>
      <c r="C1715" s="417"/>
      <c r="M1715" s="344">
        <f>Criteria!E22</f>
        <v>2024</v>
      </c>
      <c r="N1715" s="294"/>
      <c r="O1715" s="344">
        <f>Criteria!E27</f>
        <v>2023</v>
      </c>
      <c r="Q1715" s="442"/>
    </row>
    <row r="1716" spans="2:17" ht="31.5" customHeight="1" x14ac:dyDescent="0.45">
      <c r="B1716" s="323"/>
      <c r="C1716" s="417"/>
      <c r="M1716" s="347"/>
      <c r="N1716" s="298"/>
      <c r="O1716" s="347"/>
      <c r="Q1716" s="442"/>
    </row>
    <row r="1717" spans="2:17" ht="31.5" customHeight="1" x14ac:dyDescent="0.45">
      <c r="B1717" s="323">
        <f>MAX(B$559:B1716)+1</f>
        <v>19</v>
      </c>
      <c r="C1717" s="417" t="s">
        <v>493</v>
      </c>
      <c r="M1717" s="347"/>
      <c r="N1717" s="298"/>
      <c r="O1717" s="347"/>
      <c r="Q1717" s="442"/>
    </row>
    <row r="1718" spans="2:17" ht="31.5" customHeight="1" x14ac:dyDescent="0.45">
      <c r="B1718" s="323"/>
      <c r="C1718" s="417"/>
      <c r="D1718" s="400" t="s">
        <v>1017</v>
      </c>
      <c r="K1718" s="292"/>
      <c r="M1718" s="325"/>
      <c r="N1718" s="400"/>
      <c r="O1718" s="325"/>
      <c r="Q1718" s="442"/>
    </row>
    <row r="1719" spans="2:17" ht="31.5" customHeight="1" x14ac:dyDescent="0.45">
      <c r="B1719" s="323"/>
      <c r="D1719" s="400" t="str">
        <f>Criteria!G109</f>
        <v>1000 Ordinary shares of R1 each</v>
      </c>
      <c r="H1719" s="317"/>
      <c r="J1719" s="317"/>
      <c r="K1719" s="317"/>
      <c r="M1719" s="350">
        <f>Criteria!E109*Criteria!E110</f>
        <v>1000</v>
      </c>
      <c r="N1719" s="302"/>
      <c r="O1719" s="350">
        <f>Criteria!F109*Criteria!F110</f>
        <v>1000</v>
      </c>
      <c r="Q1719" s="442"/>
    </row>
    <row r="1720" spans="2:17" ht="9" customHeight="1" thickBot="1" x14ac:dyDescent="0.5">
      <c r="B1720" s="323"/>
      <c r="H1720" s="472"/>
      <c r="J1720" s="472"/>
      <c r="K1720" s="472"/>
      <c r="M1720" s="360"/>
      <c r="N1720" s="312"/>
      <c r="O1720" s="360"/>
      <c r="Q1720" s="442"/>
    </row>
    <row r="1721" spans="2:17" ht="31.5" customHeight="1" thickTop="1" x14ac:dyDescent="0.45">
      <c r="B1721" s="323"/>
      <c r="C1721" s="417"/>
      <c r="M1721" s="347"/>
      <c r="N1721" s="298"/>
      <c r="O1721" s="347"/>
      <c r="Q1721" s="442"/>
    </row>
    <row r="1722" spans="2:17" ht="31.5" customHeight="1" x14ac:dyDescent="0.45">
      <c r="B1722" s="323"/>
      <c r="D1722" s="400" t="s">
        <v>757</v>
      </c>
      <c r="M1722" s="421"/>
      <c r="N1722" s="405"/>
      <c r="O1722" s="421"/>
      <c r="Q1722" s="442"/>
    </row>
    <row r="1723" spans="2:17" ht="31.5" customHeight="1" x14ac:dyDescent="0.45">
      <c r="B1723" s="323"/>
      <c r="D1723" s="400" t="str">
        <f>Criteria!G112</f>
        <v>100 Ordinary shares of R1 each</v>
      </c>
      <c r="H1723" s="406"/>
      <c r="J1723" s="472"/>
      <c r="K1723" s="472"/>
      <c r="L1723" s="472"/>
      <c r="M1723" s="434">
        <f>-TrialBalance!L169-TrialBalance!L170</f>
        <v>0</v>
      </c>
      <c r="N1723" s="477"/>
      <c r="O1723" s="347">
        <f>-TrialBalance!N169-TrialBalance!N170</f>
        <v>0</v>
      </c>
      <c r="P1723" s="406"/>
      <c r="Q1723" s="442"/>
    </row>
    <row r="1724" spans="2:17" ht="9" customHeight="1" thickBot="1" x14ac:dyDescent="0.5">
      <c r="B1724" s="323"/>
      <c r="C1724" s="417"/>
      <c r="J1724" s="472"/>
      <c r="K1724" s="472"/>
      <c r="L1724" s="472"/>
      <c r="M1724" s="360"/>
      <c r="N1724" s="312"/>
      <c r="O1724" s="360"/>
      <c r="P1724" s="406"/>
      <c r="Q1724" s="442"/>
    </row>
    <row r="1725" spans="2:17" ht="31.5" customHeight="1" thickTop="1" x14ac:dyDescent="0.45">
      <c r="B1725" s="323"/>
      <c r="C1725" s="417"/>
      <c r="H1725" s="406"/>
      <c r="J1725" s="472"/>
      <c r="K1725" s="472"/>
      <c r="L1725" s="472"/>
      <c r="M1725" s="347"/>
      <c r="N1725" s="298"/>
      <c r="O1725" s="347"/>
      <c r="P1725" s="406"/>
      <c r="Q1725" s="442"/>
    </row>
    <row r="1726" spans="2:17" ht="31.5" customHeight="1" x14ac:dyDescent="0.45">
      <c r="B1726" s="323"/>
      <c r="C1726" s="417"/>
      <c r="H1726" s="406"/>
      <c r="J1726" s="472"/>
      <c r="K1726" s="472"/>
      <c r="L1726" s="472"/>
      <c r="M1726" s="347"/>
      <c r="N1726" s="298"/>
      <c r="O1726" s="347"/>
      <c r="P1726" s="406"/>
      <c r="Q1726" s="442"/>
    </row>
    <row r="1727" spans="2:17" ht="31.5" customHeight="1" x14ac:dyDescent="0.45">
      <c r="B1727" s="324"/>
      <c r="C1727" s="465"/>
      <c r="D1727" s="429"/>
      <c r="E1727" s="429"/>
      <c r="F1727" s="429"/>
      <c r="G1727" s="429"/>
      <c r="H1727" s="461"/>
      <c r="I1727" s="429"/>
      <c r="J1727" s="476"/>
      <c r="K1727" s="476"/>
      <c r="L1727" s="476"/>
      <c r="M1727" s="349"/>
      <c r="N1727" s="300"/>
      <c r="O1727" s="349"/>
      <c r="P1727" s="461"/>
      <c r="Q1727" s="446"/>
    </row>
    <row r="1728" spans="2:17" ht="31.5" customHeight="1" x14ac:dyDescent="0.45">
      <c r="B1728" s="325"/>
      <c r="C1728" s="417"/>
      <c r="M1728" s="347"/>
      <c r="N1728" s="298"/>
      <c r="O1728" s="347"/>
    </row>
    <row r="1729" spans="2:18" ht="31.5" customHeight="1" x14ac:dyDescent="0.45">
      <c r="B1729" s="325"/>
      <c r="C1729" s="417"/>
      <c r="M1729" s="347"/>
      <c r="N1729" s="298"/>
      <c r="O1729" s="347"/>
      <c r="R1729" s="403" t="str">
        <f>R$1745</f>
        <v>DELETE</v>
      </c>
    </row>
    <row r="1730" spans="2:18" ht="31.5" customHeight="1" x14ac:dyDescent="0.45">
      <c r="B1730" s="422"/>
      <c r="D1730" s="417" t="str">
        <f>Criteria!E9</f>
        <v>HOLDING COMPANY 268 (PROPRIETARY) LIMITED</v>
      </c>
      <c r="M1730" s="426"/>
      <c r="N1730" s="406"/>
      <c r="O1730" s="347" t="s">
        <v>96</v>
      </c>
      <c r="Q1730" s="292">
        <f>MAX($Q$114:Q1729)+1</f>
        <v>42</v>
      </c>
      <c r="R1730" s="403" t="str">
        <f t="shared" ref="R1730:R1739" si="92">R$1745</f>
        <v>DELETE</v>
      </c>
    </row>
    <row r="1731" spans="2:18" ht="31.5" customHeight="1" x14ac:dyDescent="0.45">
      <c r="B1731" s="422"/>
      <c r="D1731" s="417" t="str">
        <f>Criteria!E10</f>
        <v>CONSOLIDATED FINANCIAL STATEMENTS</v>
      </c>
      <c r="M1731" s="426"/>
      <c r="N1731" s="406"/>
      <c r="O1731" s="426"/>
      <c r="R1731" s="403" t="str">
        <f>IF(R$1745="DELETE","DELETE",IF(D1731=0,"DELETE"," "))</f>
        <v>DELETE</v>
      </c>
    </row>
    <row r="1732" spans="2:18" ht="31.5" customHeight="1" x14ac:dyDescent="0.45">
      <c r="B1732" s="422"/>
      <c r="M1732" s="426"/>
      <c r="N1732" s="406"/>
      <c r="O1732" s="426"/>
      <c r="R1732" s="403" t="str">
        <f t="shared" si="92"/>
        <v>DELETE</v>
      </c>
    </row>
    <row r="1733" spans="2:18" ht="31.5" customHeight="1" x14ac:dyDescent="0.45">
      <c r="B1733" s="422"/>
      <c r="D1733" s="417" t="s">
        <v>377</v>
      </c>
      <c r="M1733" s="426"/>
      <c r="N1733" s="406"/>
      <c r="O1733" s="426"/>
      <c r="R1733" s="403" t="str">
        <f t="shared" si="92"/>
        <v>DELETE</v>
      </c>
    </row>
    <row r="1734" spans="2:18" ht="31.5" customHeight="1" x14ac:dyDescent="0.45">
      <c r="B1734" s="422"/>
      <c r="D1734" s="417" t="str">
        <f>Criteria!E20</f>
        <v>29 FEBRUARY 2024</v>
      </c>
      <c r="J1734" s="400" t="s">
        <v>247</v>
      </c>
      <c r="M1734" s="426"/>
      <c r="N1734" s="406"/>
      <c r="O1734" s="426"/>
      <c r="R1734" s="403" t="str">
        <f t="shared" si="92"/>
        <v>DELETE</v>
      </c>
    </row>
    <row r="1735" spans="2:18" ht="31.5" customHeight="1" x14ac:dyDescent="0.45">
      <c r="B1735" s="422"/>
      <c r="D1735" s="417"/>
      <c r="M1735" s="426"/>
      <c r="N1735" s="406"/>
      <c r="O1735" s="426"/>
      <c r="R1735" s="403" t="str">
        <f t="shared" si="92"/>
        <v>DELETE</v>
      </c>
    </row>
    <row r="1736" spans="2:18" ht="31.5" customHeight="1" x14ac:dyDescent="0.45">
      <c r="B1736" s="326"/>
      <c r="C1736" s="458"/>
      <c r="D1736" s="439"/>
      <c r="E1736" s="439"/>
      <c r="F1736" s="439"/>
      <c r="G1736" s="439"/>
      <c r="H1736" s="470"/>
      <c r="I1736" s="439"/>
      <c r="J1736" s="478"/>
      <c r="K1736" s="478"/>
      <c r="L1736" s="478"/>
      <c r="M1736" s="362"/>
      <c r="N1736" s="299"/>
      <c r="O1736" s="362"/>
      <c r="P1736" s="470"/>
      <c r="Q1736" s="440"/>
      <c r="R1736" s="403" t="str">
        <f t="shared" si="92"/>
        <v>DELETE</v>
      </c>
    </row>
    <row r="1737" spans="2:18" ht="31.5" customHeight="1" x14ac:dyDescent="0.45">
      <c r="B1737" s="323"/>
      <c r="C1737" s="417"/>
      <c r="H1737" s="406"/>
      <c r="J1737" s="472"/>
      <c r="K1737" s="472"/>
      <c r="L1737" s="472"/>
      <c r="M1737" s="344">
        <f>Criteria!E22</f>
        <v>2024</v>
      </c>
      <c r="N1737" s="294"/>
      <c r="O1737" s="344">
        <f>Criteria!E27</f>
        <v>2023</v>
      </c>
      <c r="P1737" s="406"/>
      <c r="Q1737" s="442"/>
      <c r="R1737" s="403" t="str">
        <f t="shared" si="92"/>
        <v>DELETE</v>
      </c>
    </row>
    <row r="1738" spans="2:18" ht="31.5" customHeight="1" x14ac:dyDescent="0.45">
      <c r="B1738" s="323"/>
      <c r="C1738" s="417"/>
      <c r="H1738" s="406"/>
      <c r="J1738" s="472"/>
      <c r="K1738" s="472"/>
      <c r="L1738" s="472"/>
      <c r="M1738" s="347"/>
      <c r="N1738" s="298"/>
      <c r="O1738" s="347"/>
      <c r="P1738" s="406"/>
      <c r="Q1738" s="442"/>
      <c r="R1738" s="403" t="str">
        <f t="shared" si="92"/>
        <v>DELETE</v>
      </c>
    </row>
    <row r="1739" spans="2:18" ht="31.5" customHeight="1" x14ac:dyDescent="0.45">
      <c r="B1739" s="323">
        <f>MAX(B$559:B1738)+1</f>
        <v>20</v>
      </c>
      <c r="C1739" s="417" t="s">
        <v>498</v>
      </c>
      <c r="H1739" s="406"/>
      <c r="J1739" s="472"/>
      <c r="K1739" s="472"/>
      <c r="L1739" s="472"/>
      <c r="M1739" s="347"/>
      <c r="N1739" s="298"/>
      <c r="O1739" s="347"/>
      <c r="P1739" s="406"/>
      <c r="Q1739" s="442"/>
      <c r="R1739" s="403" t="str">
        <f t="shared" si="92"/>
        <v>DELETE</v>
      </c>
    </row>
    <row r="1740" spans="2:18" ht="31.5" customHeight="1" x14ac:dyDescent="0.45">
      <c r="B1740" s="323"/>
      <c r="C1740" s="417"/>
      <c r="D1740" s="400" t="s">
        <v>118</v>
      </c>
      <c r="H1740" s="406"/>
      <c r="J1740" s="472"/>
      <c r="K1740" s="472"/>
      <c r="L1740" s="472"/>
      <c r="M1740" s="347">
        <f>-TrialBalance!L172</f>
        <v>0</v>
      </c>
      <c r="N1740" s="298"/>
      <c r="O1740" s="347">
        <f>-TrialBalance!N172</f>
        <v>0</v>
      </c>
      <c r="P1740" s="406"/>
      <c r="Q1740" s="442"/>
      <c r="R1740" s="403" t="str">
        <f>R1745</f>
        <v>DELETE</v>
      </c>
    </row>
    <row r="1741" spans="2:18" ht="31.5" customHeight="1" x14ac:dyDescent="0.45">
      <c r="B1741" s="323"/>
      <c r="C1741" s="417"/>
      <c r="D1741" s="400" t="s">
        <v>500</v>
      </c>
      <c r="H1741" s="406"/>
      <c r="J1741" s="472"/>
      <c r="K1741" s="472"/>
      <c r="L1741" s="472"/>
      <c r="M1741" s="347">
        <f>-TrialBalance!L173</f>
        <v>0</v>
      </c>
      <c r="N1741" s="298"/>
      <c r="O1741" s="347">
        <f>-TrialBalance!N173</f>
        <v>0</v>
      </c>
      <c r="P1741" s="406"/>
      <c r="Q1741" s="442"/>
      <c r="R1741" s="403" t="str">
        <f t="shared" ref="R1741:R1742" si="93">IF(M1741+O1741=0,"DELETE"," ")</f>
        <v>DELETE</v>
      </c>
    </row>
    <row r="1742" spans="2:18" ht="31.5" customHeight="1" x14ac:dyDescent="0.45">
      <c r="B1742" s="323"/>
      <c r="C1742" s="417"/>
      <c r="D1742" s="400" t="s">
        <v>501</v>
      </c>
      <c r="H1742" s="406"/>
      <c r="J1742" s="472"/>
      <c r="K1742" s="472"/>
      <c r="L1742" s="472"/>
      <c r="M1742" s="347">
        <f>-TrialBalance!L174</f>
        <v>0</v>
      </c>
      <c r="N1742" s="298"/>
      <c r="O1742" s="347">
        <f>-TrialBalance!N174</f>
        <v>0</v>
      </c>
      <c r="P1742" s="406"/>
      <c r="Q1742" s="442"/>
      <c r="R1742" s="403" t="str">
        <f t="shared" si="93"/>
        <v>DELETE</v>
      </c>
    </row>
    <row r="1743" spans="2:18" ht="9" customHeight="1" x14ac:dyDescent="0.45">
      <c r="B1743" s="323"/>
      <c r="C1743" s="417"/>
      <c r="H1743" s="406"/>
      <c r="J1743" s="472"/>
      <c r="K1743" s="472"/>
      <c r="L1743" s="472"/>
      <c r="M1743" s="349"/>
      <c r="N1743" s="300"/>
      <c r="O1743" s="349"/>
      <c r="P1743" s="406"/>
      <c r="Q1743" s="442"/>
      <c r="R1743" s="403" t="str">
        <f t="shared" ref="R1743:R1751" si="94">R$1745</f>
        <v>DELETE</v>
      </c>
    </row>
    <row r="1744" spans="2:18" ht="9" customHeight="1" x14ac:dyDescent="0.45">
      <c r="B1744" s="323"/>
      <c r="C1744" s="417"/>
      <c r="H1744" s="406"/>
      <c r="J1744" s="472"/>
      <c r="K1744" s="472"/>
      <c r="L1744" s="472"/>
      <c r="M1744" s="347"/>
      <c r="N1744" s="298"/>
      <c r="O1744" s="347"/>
      <c r="P1744" s="406"/>
      <c r="Q1744" s="442"/>
      <c r="R1744" s="403" t="str">
        <f t="shared" si="94"/>
        <v>DELETE</v>
      </c>
    </row>
    <row r="1745" spans="2:18" ht="31.5" customHeight="1" x14ac:dyDescent="0.45">
      <c r="B1745" s="323"/>
      <c r="C1745" s="417"/>
      <c r="H1745" s="406"/>
      <c r="J1745" s="472"/>
      <c r="K1745" s="472"/>
      <c r="L1745" s="472"/>
      <c r="M1745" s="347">
        <f>SUM(M1740:M1744)</f>
        <v>0</v>
      </c>
      <c r="N1745" s="298"/>
      <c r="O1745" s="347">
        <f>SUM(O1740:O1744)</f>
        <v>0</v>
      </c>
      <c r="P1745" s="406"/>
      <c r="Q1745" s="442"/>
      <c r="R1745" s="403" t="str">
        <f>IF(COUNTIF(O1740:O1742,"&gt;0")&gt;0," ",IF(COUNTIF(M1740:M1742,"&gt;0")&gt;0," ","DELETE"))</f>
        <v>DELETE</v>
      </c>
    </row>
    <row r="1746" spans="2:18" ht="9" customHeight="1" thickBot="1" x14ac:dyDescent="0.5">
      <c r="B1746" s="323"/>
      <c r="C1746" s="417"/>
      <c r="H1746" s="406"/>
      <c r="J1746" s="472"/>
      <c r="K1746" s="472"/>
      <c r="L1746" s="472"/>
      <c r="M1746" s="351"/>
      <c r="N1746" s="301"/>
      <c r="O1746" s="351"/>
      <c r="P1746" s="406"/>
      <c r="Q1746" s="442"/>
      <c r="R1746" s="403" t="str">
        <f t="shared" si="94"/>
        <v>DELETE</v>
      </c>
    </row>
    <row r="1747" spans="2:18" ht="9" customHeight="1" thickTop="1" x14ac:dyDescent="0.45">
      <c r="B1747" s="323"/>
      <c r="C1747" s="417"/>
      <c r="H1747" s="406"/>
      <c r="J1747" s="472"/>
      <c r="K1747" s="472"/>
      <c r="L1747" s="472"/>
      <c r="M1747" s="363"/>
      <c r="N1747" s="314"/>
      <c r="O1747" s="363"/>
      <c r="P1747" s="406"/>
      <c r="Q1747" s="442"/>
      <c r="R1747" s="403" t="str">
        <f t="shared" si="94"/>
        <v>DELETE</v>
      </c>
    </row>
    <row r="1748" spans="2:18" ht="31.5" customHeight="1" x14ac:dyDescent="0.45">
      <c r="B1748" s="323"/>
      <c r="C1748" s="417"/>
      <c r="J1748" s="472"/>
      <c r="K1748" s="472"/>
      <c r="L1748" s="472"/>
      <c r="M1748" s="347"/>
      <c r="N1748" s="298"/>
      <c r="O1748" s="347"/>
      <c r="P1748" s="406"/>
      <c r="Q1748" s="442"/>
      <c r="R1748" s="403" t="str">
        <f t="shared" si="94"/>
        <v>DELETE</v>
      </c>
    </row>
    <row r="1749" spans="2:18" ht="31.5" customHeight="1" x14ac:dyDescent="0.45">
      <c r="B1749" s="323"/>
      <c r="C1749" s="417"/>
      <c r="J1749" s="472"/>
      <c r="K1749" s="472"/>
      <c r="L1749" s="472"/>
      <c r="M1749" s="347"/>
      <c r="N1749" s="298"/>
      <c r="O1749" s="347"/>
      <c r="P1749" s="406"/>
      <c r="Q1749" s="442"/>
      <c r="R1749" s="403" t="str">
        <f t="shared" si="94"/>
        <v>DELETE</v>
      </c>
    </row>
    <row r="1750" spans="2:18" ht="31.5" customHeight="1" x14ac:dyDescent="0.45">
      <c r="B1750" s="324"/>
      <c r="C1750" s="465"/>
      <c r="D1750" s="429"/>
      <c r="E1750" s="429"/>
      <c r="F1750" s="429"/>
      <c r="G1750" s="429"/>
      <c r="H1750" s="429"/>
      <c r="I1750" s="429"/>
      <c r="J1750" s="476"/>
      <c r="K1750" s="476"/>
      <c r="L1750" s="476"/>
      <c r="M1750" s="349"/>
      <c r="N1750" s="300"/>
      <c r="O1750" s="349"/>
      <c r="P1750" s="461"/>
      <c r="Q1750" s="446"/>
      <c r="R1750" s="403" t="str">
        <f t="shared" si="94"/>
        <v>DELETE</v>
      </c>
    </row>
    <row r="1751" spans="2:18" ht="31.5" customHeight="1" x14ac:dyDescent="0.45">
      <c r="B1751" s="325"/>
      <c r="C1751" s="417"/>
      <c r="M1751" s="347"/>
      <c r="N1751" s="298"/>
      <c r="O1751" s="347"/>
      <c r="R1751" s="403" t="str">
        <f t="shared" si="94"/>
        <v>DELETE</v>
      </c>
    </row>
    <row r="1752" spans="2:18" ht="31.5" customHeight="1" x14ac:dyDescent="0.45">
      <c r="B1752" s="325"/>
      <c r="C1752" s="417"/>
      <c r="M1752" s="347"/>
      <c r="N1752" s="298"/>
      <c r="O1752" s="347"/>
      <c r="R1752" s="403" t="str">
        <f>R$1780</f>
        <v>DELETE</v>
      </c>
    </row>
    <row r="1753" spans="2:18" ht="31.5" customHeight="1" x14ac:dyDescent="0.45">
      <c r="B1753" s="422"/>
      <c r="D1753" s="417" t="str">
        <f>Criteria!E9</f>
        <v>HOLDING COMPANY 268 (PROPRIETARY) LIMITED</v>
      </c>
      <c r="M1753" s="426"/>
      <c r="N1753" s="406"/>
      <c r="O1753" s="347" t="s">
        <v>96</v>
      </c>
      <c r="Q1753" s="292">
        <f>MAX($Q$114:Q1752)+1</f>
        <v>43</v>
      </c>
      <c r="R1753" s="403" t="str">
        <f t="shared" ref="R1753:R1762" si="95">R$1780</f>
        <v>DELETE</v>
      </c>
    </row>
    <row r="1754" spans="2:18" ht="31.5" customHeight="1" x14ac:dyDescent="0.45">
      <c r="B1754" s="422"/>
      <c r="D1754" s="417" t="str">
        <f>Criteria!E10</f>
        <v>CONSOLIDATED FINANCIAL STATEMENTS</v>
      </c>
      <c r="M1754" s="426"/>
      <c r="N1754" s="406"/>
      <c r="O1754" s="426"/>
      <c r="R1754" s="403" t="str">
        <f>IF(R$1780="DELETE","DELETE",IF(D1754=0,"DELETE"," "))</f>
        <v>DELETE</v>
      </c>
    </row>
    <row r="1755" spans="2:18" ht="31.5" customHeight="1" x14ac:dyDescent="0.45">
      <c r="B1755" s="422"/>
      <c r="M1755" s="426"/>
      <c r="N1755" s="406"/>
      <c r="O1755" s="426"/>
      <c r="R1755" s="403" t="str">
        <f t="shared" si="95"/>
        <v>DELETE</v>
      </c>
    </row>
    <row r="1756" spans="2:18" ht="31.5" customHeight="1" x14ac:dyDescent="0.45">
      <c r="B1756" s="422"/>
      <c r="D1756" s="417" t="s">
        <v>377</v>
      </c>
      <c r="M1756" s="426"/>
      <c r="N1756" s="406"/>
      <c r="O1756" s="426"/>
      <c r="R1756" s="403" t="str">
        <f t="shared" si="95"/>
        <v>DELETE</v>
      </c>
    </row>
    <row r="1757" spans="2:18" ht="31.5" customHeight="1" x14ac:dyDescent="0.45">
      <c r="B1757" s="422"/>
      <c r="D1757" s="417" t="str">
        <f>Criteria!E20</f>
        <v>29 FEBRUARY 2024</v>
      </c>
      <c r="J1757" s="400" t="s">
        <v>247</v>
      </c>
      <c r="M1757" s="426"/>
      <c r="N1757" s="406"/>
      <c r="O1757" s="426"/>
      <c r="R1757" s="403" t="str">
        <f t="shared" si="95"/>
        <v>DELETE</v>
      </c>
    </row>
    <row r="1758" spans="2:18" ht="31.5" customHeight="1" x14ac:dyDescent="0.45">
      <c r="B1758" s="422"/>
      <c r="D1758" s="417"/>
      <c r="M1758" s="426"/>
      <c r="N1758" s="406"/>
      <c r="O1758" s="426"/>
      <c r="R1758" s="403" t="str">
        <f t="shared" si="95"/>
        <v>DELETE</v>
      </c>
    </row>
    <row r="1759" spans="2:18" ht="31.5" customHeight="1" x14ac:dyDescent="0.45">
      <c r="B1759" s="326"/>
      <c r="C1759" s="458"/>
      <c r="D1759" s="439"/>
      <c r="E1759" s="439"/>
      <c r="F1759" s="439"/>
      <c r="G1759" s="439"/>
      <c r="H1759" s="439"/>
      <c r="I1759" s="439"/>
      <c r="J1759" s="478"/>
      <c r="K1759" s="478"/>
      <c r="L1759" s="478"/>
      <c r="M1759" s="362"/>
      <c r="N1759" s="299"/>
      <c r="O1759" s="362"/>
      <c r="P1759" s="470"/>
      <c r="Q1759" s="440"/>
      <c r="R1759" s="403" t="str">
        <f t="shared" si="95"/>
        <v>DELETE</v>
      </c>
    </row>
    <row r="1760" spans="2:18" ht="31.5" customHeight="1" x14ac:dyDescent="0.45">
      <c r="B1760" s="323"/>
      <c r="C1760" s="417"/>
      <c r="J1760" s="472"/>
      <c r="K1760" s="472"/>
      <c r="L1760" s="472"/>
      <c r="M1760" s="344">
        <f>Criteria!E22</f>
        <v>2024</v>
      </c>
      <c r="N1760" s="294"/>
      <c r="O1760" s="344">
        <f>Criteria!E27</f>
        <v>2023</v>
      </c>
      <c r="P1760" s="406"/>
      <c r="Q1760" s="442"/>
      <c r="R1760" s="403" t="str">
        <f t="shared" si="95"/>
        <v>DELETE</v>
      </c>
    </row>
    <row r="1761" spans="2:24" ht="31.5" customHeight="1" x14ac:dyDescent="0.45">
      <c r="B1761" s="323"/>
      <c r="C1761" s="417"/>
      <c r="J1761" s="472"/>
      <c r="K1761" s="472"/>
      <c r="L1761" s="472"/>
      <c r="M1761" s="347"/>
      <c r="N1761" s="298"/>
      <c r="O1761" s="347"/>
      <c r="P1761" s="406"/>
      <c r="Q1761" s="442"/>
      <c r="R1761" s="403" t="str">
        <f t="shared" si="95"/>
        <v>DELETE</v>
      </c>
    </row>
    <row r="1762" spans="2:24" ht="31.5" customHeight="1" x14ac:dyDescent="0.45">
      <c r="B1762" s="323">
        <f>MAX(B$559:B1761)+1</f>
        <v>21</v>
      </c>
      <c r="C1762" s="417" t="s">
        <v>117</v>
      </c>
      <c r="M1762" s="347"/>
      <c r="N1762" s="298"/>
      <c r="O1762" s="347"/>
      <c r="Q1762" s="442"/>
      <c r="R1762" s="403" t="str">
        <f t="shared" si="95"/>
        <v>DELETE</v>
      </c>
    </row>
    <row r="1763" spans="2:24" ht="31.5" customHeight="1" x14ac:dyDescent="0.45">
      <c r="B1763" s="323"/>
      <c r="C1763" s="417"/>
      <c r="D1763" s="400" t="s">
        <v>923</v>
      </c>
      <c r="M1763" s="347">
        <f>SUM(M1766:M1768)</f>
        <v>0</v>
      </c>
      <c r="N1763" s="298"/>
      <c r="O1763" s="347">
        <f>SUM(O1766:O1768)</f>
        <v>0</v>
      </c>
      <c r="Q1763" s="442"/>
      <c r="R1763" s="403" t="str">
        <f>IF(COUNTIF(O1766:O1768,"&gt;0")&gt;0," ",IF(COUNTIF(M1766:M1768,"&gt;0")&gt;0," ","DELETE"))</f>
        <v>DELETE</v>
      </c>
      <c r="S1763" s="380">
        <f>M1763</f>
        <v>0</v>
      </c>
      <c r="T1763" s="380"/>
      <c r="U1763" s="380">
        <f>O1763</f>
        <v>0</v>
      </c>
      <c r="V1763" s="380"/>
      <c r="W1763" s="380"/>
      <c r="X1763" s="380"/>
    </row>
    <row r="1764" spans="2:24" ht="9" customHeight="1" x14ac:dyDescent="0.45">
      <c r="B1764" s="323"/>
      <c r="C1764" s="417"/>
      <c r="M1764" s="347"/>
      <c r="N1764" s="298"/>
      <c r="O1764" s="347"/>
      <c r="Q1764" s="442"/>
      <c r="R1764" s="403" t="str">
        <f t="shared" ref="R1764" si="96">R1763</f>
        <v>DELETE</v>
      </c>
    </row>
    <row r="1765" spans="2:24" ht="9" customHeight="1" x14ac:dyDescent="0.45">
      <c r="B1765" s="323"/>
      <c r="C1765" s="417"/>
      <c r="M1765" s="353"/>
      <c r="N1765" s="299"/>
      <c r="O1765" s="366"/>
      <c r="Q1765" s="442"/>
      <c r="R1765" s="403" t="str">
        <f>R1763</f>
        <v>DELETE</v>
      </c>
    </row>
    <row r="1766" spans="2:24" ht="31.5" customHeight="1" x14ac:dyDescent="0.45">
      <c r="B1766" s="323"/>
      <c r="C1766" s="417"/>
      <c r="D1766" s="400" t="s">
        <v>118</v>
      </c>
      <c r="M1766" s="354">
        <f>-TrialBalance!L176</f>
        <v>0</v>
      </c>
      <c r="N1766" s="298"/>
      <c r="O1766" s="367">
        <f>-TrialBalance!N176</f>
        <v>0</v>
      </c>
      <c r="Q1766" s="442"/>
      <c r="R1766" s="403" t="str">
        <f>R1763</f>
        <v>DELETE</v>
      </c>
      <c r="V1766" s="378" t="b">
        <f>M1766=O1763</f>
        <v>1</v>
      </c>
    </row>
    <row r="1767" spans="2:24" ht="31.5" customHeight="1" x14ac:dyDescent="0.45">
      <c r="B1767" s="323"/>
      <c r="C1767" s="417"/>
      <c r="D1767" s="400" t="s">
        <v>1102</v>
      </c>
      <c r="M1767" s="354">
        <f>-TrialBalance!L177</f>
        <v>0</v>
      </c>
      <c r="N1767" s="298"/>
      <c r="O1767" s="367">
        <f>-TrialBalance!N177</f>
        <v>0</v>
      </c>
      <c r="Q1767" s="442"/>
      <c r="R1767" s="403" t="str">
        <f t="shared" ref="R1767:R1768" si="97">IF(M1767+O1767=0,"DELETE"," ")</f>
        <v>DELETE</v>
      </c>
    </row>
    <row r="1768" spans="2:24" ht="31.5" customHeight="1" x14ac:dyDescent="0.45">
      <c r="B1768" s="323"/>
      <c r="C1768" s="417"/>
      <c r="D1768" s="400" t="s">
        <v>1103</v>
      </c>
      <c r="M1768" s="354">
        <f>-TrialBalance!L178</f>
        <v>0</v>
      </c>
      <c r="N1768" s="298"/>
      <c r="O1768" s="367">
        <f>-TrialBalance!N178</f>
        <v>0</v>
      </c>
      <c r="Q1768" s="442"/>
      <c r="R1768" s="403" t="str">
        <f t="shared" si="97"/>
        <v>DELETE</v>
      </c>
    </row>
    <row r="1769" spans="2:24" ht="9" customHeight="1" x14ac:dyDescent="0.45">
      <c r="B1769" s="323"/>
      <c r="C1769" s="417"/>
      <c r="M1769" s="355"/>
      <c r="N1769" s="300"/>
      <c r="O1769" s="368"/>
      <c r="Q1769" s="442"/>
      <c r="R1769" s="403" t="str">
        <f>R1763</f>
        <v>DELETE</v>
      </c>
    </row>
    <row r="1770" spans="2:24" ht="9" customHeight="1" x14ac:dyDescent="0.45">
      <c r="B1770" s="323"/>
      <c r="C1770" s="417"/>
      <c r="M1770" s="347"/>
      <c r="N1770" s="298"/>
      <c r="O1770" s="347"/>
      <c r="Q1770" s="442"/>
      <c r="R1770" s="403" t="str">
        <f>R1763</f>
        <v>DELETE</v>
      </c>
    </row>
    <row r="1771" spans="2:24" ht="31.5" customHeight="1" x14ac:dyDescent="0.45">
      <c r="B1771" s="323"/>
      <c r="C1771" s="417"/>
      <c r="D1771" s="400" t="s">
        <v>248</v>
      </c>
      <c r="M1771" s="347">
        <f>SUM(M1774:M1776)</f>
        <v>0</v>
      </c>
      <c r="N1771" s="298"/>
      <c r="O1771" s="347">
        <f>SUM(O1774:O1776)</f>
        <v>0</v>
      </c>
      <c r="Q1771" s="442"/>
      <c r="R1771" s="403" t="str">
        <f>IF(COUNTIF(O1774:O1776,"&gt;0")&gt;0," ",IF(COUNTIF(M1774:M1776,"&gt;0")&gt;0," ","DELETE"))</f>
        <v>DELETE</v>
      </c>
      <c r="S1771" s="380">
        <f>M1771</f>
        <v>0</v>
      </c>
      <c r="T1771" s="380"/>
      <c r="U1771" s="380">
        <f>O1771</f>
        <v>0</v>
      </c>
      <c r="V1771" s="380"/>
      <c r="W1771" s="380"/>
      <c r="X1771" s="380"/>
    </row>
    <row r="1772" spans="2:24" ht="9" customHeight="1" x14ac:dyDescent="0.45">
      <c r="B1772" s="323"/>
      <c r="C1772" s="417"/>
      <c r="M1772" s="347"/>
      <c r="N1772" s="298"/>
      <c r="O1772" s="347"/>
      <c r="Q1772" s="442"/>
      <c r="R1772" s="403" t="str">
        <f>R1771</f>
        <v>DELETE</v>
      </c>
    </row>
    <row r="1773" spans="2:24" ht="9" customHeight="1" x14ac:dyDescent="0.45">
      <c r="B1773" s="323"/>
      <c r="C1773" s="417"/>
      <c r="M1773" s="353"/>
      <c r="N1773" s="299"/>
      <c r="O1773" s="366"/>
      <c r="Q1773" s="442"/>
      <c r="R1773" s="403" t="str">
        <f>R1771</f>
        <v>DELETE</v>
      </c>
    </row>
    <row r="1774" spans="2:24" ht="31.5" customHeight="1" x14ac:dyDescent="0.45">
      <c r="B1774" s="323"/>
      <c r="C1774" s="417"/>
      <c r="D1774" s="400" t="s">
        <v>118</v>
      </c>
      <c r="M1774" s="354">
        <f>-TrialBalance!L180</f>
        <v>0</v>
      </c>
      <c r="N1774" s="298"/>
      <c r="O1774" s="367">
        <f>-TrialBalance!N180</f>
        <v>0</v>
      </c>
      <c r="Q1774" s="442"/>
      <c r="R1774" s="403" t="str">
        <f>R1771</f>
        <v>DELETE</v>
      </c>
      <c r="V1774" s="378" t="b">
        <f>M1774=O1771</f>
        <v>1</v>
      </c>
    </row>
    <row r="1775" spans="2:24" ht="31.5" customHeight="1" x14ac:dyDescent="0.45">
      <c r="B1775" s="323"/>
      <c r="C1775" s="417"/>
      <c r="D1775" s="400" t="s">
        <v>1104</v>
      </c>
      <c r="M1775" s="354">
        <f>-TrialBalance!L181</f>
        <v>0</v>
      </c>
      <c r="N1775" s="298"/>
      <c r="O1775" s="367">
        <f>-TrialBalance!N181</f>
        <v>0</v>
      </c>
      <c r="Q1775" s="442"/>
      <c r="R1775" s="403" t="str">
        <f t="shared" ref="R1775:R1776" si="98">IF(M1775+O1775=0,"DELETE"," ")</f>
        <v>DELETE</v>
      </c>
    </row>
    <row r="1776" spans="2:24" ht="31.5" customHeight="1" x14ac:dyDescent="0.45">
      <c r="B1776" s="323"/>
      <c r="C1776" s="417"/>
      <c r="D1776" s="400" t="s">
        <v>1105</v>
      </c>
      <c r="M1776" s="354">
        <f>-TrialBalance!L182</f>
        <v>0</v>
      </c>
      <c r="N1776" s="298"/>
      <c r="O1776" s="367">
        <f>-TrialBalance!N182</f>
        <v>0</v>
      </c>
      <c r="Q1776" s="442"/>
      <c r="R1776" s="403" t="str">
        <f t="shared" si="98"/>
        <v>DELETE</v>
      </c>
    </row>
    <row r="1777" spans="2:18" ht="9" customHeight="1" x14ac:dyDescent="0.45">
      <c r="B1777" s="323"/>
      <c r="C1777" s="417"/>
      <c r="M1777" s="355"/>
      <c r="N1777" s="300"/>
      <c r="O1777" s="368"/>
      <c r="Q1777" s="442"/>
      <c r="R1777" s="403" t="str">
        <f>R1771</f>
        <v>DELETE</v>
      </c>
    </row>
    <row r="1778" spans="2:18" ht="9" customHeight="1" x14ac:dyDescent="0.45">
      <c r="B1778" s="323"/>
      <c r="C1778" s="417"/>
      <c r="M1778" s="349"/>
      <c r="N1778" s="300"/>
      <c r="O1778" s="349"/>
      <c r="Q1778" s="442"/>
      <c r="R1778" s="403" t="str">
        <f>R1780</f>
        <v>DELETE</v>
      </c>
    </row>
    <row r="1779" spans="2:18" ht="9" customHeight="1" x14ac:dyDescent="0.45">
      <c r="B1779" s="323"/>
      <c r="C1779" s="417"/>
      <c r="M1779" s="347"/>
      <c r="N1779" s="298"/>
      <c r="O1779" s="347"/>
      <c r="Q1779" s="442"/>
      <c r="R1779" s="403" t="str">
        <f>R1780</f>
        <v>DELETE</v>
      </c>
    </row>
    <row r="1780" spans="2:18" ht="31.5" customHeight="1" x14ac:dyDescent="0.45">
      <c r="B1780" s="323"/>
      <c r="C1780" s="417"/>
      <c r="M1780" s="347">
        <f>SUM(S1763:S1778)</f>
        <v>0</v>
      </c>
      <c r="N1780" s="298"/>
      <c r="O1780" s="347">
        <f>SUM(U1763:U1778)</f>
        <v>0</v>
      </c>
      <c r="Q1780" s="442"/>
      <c r="R1780" s="403" t="str">
        <f>IF(R1763=" "," ",IF(R1771=" "," ","DELETE"))</f>
        <v>DELETE</v>
      </c>
    </row>
    <row r="1781" spans="2:18" ht="9" customHeight="1" thickBot="1" x14ac:dyDescent="0.5">
      <c r="B1781" s="323"/>
      <c r="C1781" s="417"/>
      <c r="M1781" s="351"/>
      <c r="N1781" s="301"/>
      <c r="O1781" s="351"/>
      <c r="Q1781" s="442"/>
      <c r="R1781" s="403" t="str">
        <f>R1780</f>
        <v>DELETE</v>
      </c>
    </row>
    <row r="1782" spans="2:18" ht="9" customHeight="1" thickTop="1" x14ac:dyDescent="0.45">
      <c r="B1782" s="323"/>
      <c r="C1782" s="417"/>
      <c r="M1782" s="347"/>
      <c r="N1782" s="298"/>
      <c r="O1782" s="347"/>
      <c r="Q1782" s="442"/>
      <c r="R1782" s="403" t="str">
        <f>R1780</f>
        <v>DELETE</v>
      </c>
    </row>
    <row r="1783" spans="2:18" ht="31.5" customHeight="1" x14ac:dyDescent="0.45">
      <c r="B1783" s="323"/>
      <c r="C1783" s="417"/>
      <c r="M1783" s="347"/>
      <c r="N1783" s="298"/>
      <c r="O1783" s="347"/>
      <c r="Q1783" s="442"/>
      <c r="R1783" s="403" t="str">
        <f>R$1780</f>
        <v>DELETE</v>
      </c>
    </row>
    <row r="1784" spans="2:18" ht="31.5" customHeight="1" x14ac:dyDescent="0.45">
      <c r="B1784" s="323"/>
      <c r="C1784" s="417"/>
      <c r="M1784" s="347"/>
      <c r="N1784" s="298"/>
      <c r="O1784" s="347"/>
      <c r="Q1784" s="442"/>
      <c r="R1784" s="403" t="str">
        <f>R$1780</f>
        <v>DELETE</v>
      </c>
    </row>
    <row r="1785" spans="2:18" ht="31.5" customHeight="1" x14ac:dyDescent="0.45">
      <c r="B1785" s="455"/>
      <c r="C1785" s="429"/>
      <c r="D1785" s="429"/>
      <c r="E1785" s="429"/>
      <c r="F1785" s="429"/>
      <c r="G1785" s="429"/>
      <c r="H1785" s="429"/>
      <c r="I1785" s="429"/>
      <c r="J1785" s="429"/>
      <c r="K1785" s="429"/>
      <c r="L1785" s="429"/>
      <c r="M1785" s="437"/>
      <c r="N1785" s="461"/>
      <c r="O1785" s="437"/>
      <c r="P1785" s="433"/>
      <c r="Q1785" s="446"/>
      <c r="R1785" s="403" t="str">
        <f>R$1780</f>
        <v>DELETE</v>
      </c>
    </row>
    <row r="1786" spans="2:18" ht="31.5" customHeight="1" x14ac:dyDescent="0.45">
      <c r="B1786" s="422"/>
      <c r="M1786" s="426"/>
      <c r="N1786" s="406"/>
      <c r="O1786" s="426"/>
      <c r="R1786" s="403" t="str">
        <f>R$1780</f>
        <v>DELETE</v>
      </c>
    </row>
    <row r="1787" spans="2:18" ht="31.5" customHeight="1" x14ac:dyDescent="0.45">
      <c r="B1787" s="422"/>
      <c r="M1787" s="426"/>
      <c r="N1787" s="406"/>
      <c r="O1787" s="426"/>
      <c r="R1787" s="403" t="str">
        <f>R$1819</f>
        <v>DELETE</v>
      </c>
    </row>
    <row r="1788" spans="2:18" ht="31.5" customHeight="1" x14ac:dyDescent="0.45">
      <c r="B1788" s="422"/>
      <c r="D1788" s="417" t="str">
        <f>Criteria!E9</f>
        <v>HOLDING COMPANY 268 (PROPRIETARY) LIMITED</v>
      </c>
      <c r="M1788" s="426"/>
      <c r="N1788" s="406"/>
      <c r="O1788" s="347" t="s">
        <v>96</v>
      </c>
      <c r="Q1788" s="292">
        <f>MAX($Q$114:Q1787)+1</f>
        <v>44</v>
      </c>
      <c r="R1788" s="403" t="str">
        <f>R$1819</f>
        <v>DELETE</v>
      </c>
    </row>
    <row r="1789" spans="2:18" ht="31.5" customHeight="1" x14ac:dyDescent="0.45">
      <c r="B1789" s="422"/>
      <c r="D1789" s="417" t="str">
        <f>Criteria!E10</f>
        <v>CONSOLIDATED FINANCIAL STATEMENTS</v>
      </c>
      <c r="M1789" s="426"/>
      <c r="N1789" s="406"/>
      <c r="O1789" s="426"/>
      <c r="R1789" s="403" t="str">
        <f>IF(R$1819="DELETE","DELETE",IF(D1789=0,"DELETE"," "))</f>
        <v>DELETE</v>
      </c>
    </row>
    <row r="1790" spans="2:18" ht="31.5" customHeight="1" x14ac:dyDescent="0.45">
      <c r="B1790" s="422"/>
      <c r="M1790" s="426"/>
      <c r="N1790" s="406"/>
      <c r="O1790" s="426"/>
      <c r="R1790" s="403" t="str">
        <f t="shared" ref="R1790:R1797" si="99">R$1819</f>
        <v>DELETE</v>
      </c>
    </row>
    <row r="1791" spans="2:18" ht="31.5" customHeight="1" x14ac:dyDescent="0.45">
      <c r="B1791" s="422"/>
      <c r="D1791" s="417" t="s">
        <v>377</v>
      </c>
      <c r="M1791" s="426"/>
      <c r="N1791" s="406"/>
      <c r="O1791" s="426"/>
      <c r="R1791" s="403" t="str">
        <f t="shared" si="99"/>
        <v>DELETE</v>
      </c>
    </row>
    <row r="1792" spans="2:18" ht="31.5" customHeight="1" x14ac:dyDescent="0.45">
      <c r="B1792" s="422"/>
      <c r="D1792" s="417" t="str">
        <f>Criteria!E20</f>
        <v>29 FEBRUARY 2024</v>
      </c>
      <c r="J1792" s="400" t="s">
        <v>247</v>
      </c>
      <c r="M1792" s="426"/>
      <c r="N1792" s="406"/>
      <c r="O1792" s="426"/>
      <c r="R1792" s="403" t="str">
        <f t="shared" si="99"/>
        <v>DELETE</v>
      </c>
    </row>
    <row r="1793" spans="2:21" ht="31.5" customHeight="1" x14ac:dyDescent="0.45">
      <c r="B1793" s="422"/>
      <c r="M1793" s="437"/>
      <c r="N1793" s="461"/>
      <c r="O1793" s="437"/>
      <c r="R1793" s="403" t="str">
        <f t="shared" si="99"/>
        <v>DELETE</v>
      </c>
    </row>
    <row r="1794" spans="2:21" ht="31.5" customHeight="1" x14ac:dyDescent="0.45">
      <c r="B1794" s="457"/>
      <c r="C1794" s="439"/>
      <c r="D1794" s="439"/>
      <c r="E1794" s="439"/>
      <c r="F1794" s="439"/>
      <c r="G1794" s="439"/>
      <c r="H1794" s="439"/>
      <c r="I1794" s="439"/>
      <c r="J1794" s="439"/>
      <c r="K1794" s="439"/>
      <c r="L1794" s="439"/>
      <c r="M1794" s="469"/>
      <c r="N1794" s="470"/>
      <c r="O1794" s="469"/>
      <c r="P1794" s="448"/>
      <c r="Q1794" s="440"/>
      <c r="R1794" s="403" t="str">
        <f t="shared" si="99"/>
        <v>DELETE</v>
      </c>
    </row>
    <row r="1795" spans="2:21" ht="31.5" customHeight="1" x14ac:dyDescent="0.45">
      <c r="B1795" s="459"/>
      <c r="M1795" s="344">
        <f>Criteria!E22</f>
        <v>2024</v>
      </c>
      <c r="N1795" s="294"/>
      <c r="O1795" s="344">
        <f>Criteria!E27</f>
        <v>2023</v>
      </c>
      <c r="Q1795" s="442"/>
      <c r="R1795" s="403" t="str">
        <f t="shared" si="99"/>
        <v>DELETE</v>
      </c>
    </row>
    <row r="1796" spans="2:21" ht="31.5" customHeight="1" x14ac:dyDescent="0.45">
      <c r="B1796" s="323"/>
      <c r="C1796" s="417"/>
      <c r="M1796" s="347"/>
      <c r="N1796" s="298"/>
      <c r="O1796" s="347"/>
      <c r="Q1796" s="442"/>
      <c r="R1796" s="403" t="str">
        <f t="shared" si="99"/>
        <v>DELETE</v>
      </c>
    </row>
    <row r="1797" spans="2:21" ht="31.5" customHeight="1" x14ac:dyDescent="0.45">
      <c r="B1797" s="323">
        <f>MAX(B$559:B1796)+1</f>
        <v>22</v>
      </c>
      <c r="C1797" s="417" t="str">
        <f>IF(COUNTIF(TrialBalance!N185:N199,"&lt;0")&gt;1,"INTEREST BEARING BORROWINGS",IF(COUNTIF(TrialBalance!L185:L199,"&lt;0")&gt;1,"INTEREST BEARING BORROWINGS","INTEREST BEARING BORROWING"))</f>
        <v>INTEREST BEARING BORROWING</v>
      </c>
      <c r="M1797" s="347"/>
      <c r="N1797" s="298"/>
      <c r="O1797" s="347"/>
      <c r="Q1797" s="442"/>
      <c r="R1797" s="403" t="str">
        <f t="shared" si="99"/>
        <v>DELETE</v>
      </c>
      <c r="S1797" s="380">
        <f>SUM(M1798:M1813)</f>
        <v>0</v>
      </c>
      <c r="T1797" s="380"/>
      <c r="U1797" s="380">
        <f>SUM(O1798:O1813)</f>
        <v>0</v>
      </c>
    </row>
    <row r="1798" spans="2:21" ht="31.5" customHeight="1" x14ac:dyDescent="0.45">
      <c r="B1798" s="323"/>
      <c r="C1798" s="417"/>
      <c r="D1798" s="400">
        <f>TrialBalance!C185</f>
        <v>0</v>
      </c>
      <c r="M1798" s="347">
        <f>-TrialBalance!L185</f>
        <v>0</v>
      </c>
      <c r="N1798" s="298"/>
      <c r="O1798" s="347">
        <f>-TrialBalance!N185</f>
        <v>0</v>
      </c>
      <c r="Q1798" s="442"/>
      <c r="R1798" s="403" t="str">
        <f>IF(M1798+O1798=0,"DELETE"," ")</f>
        <v>DELETE</v>
      </c>
    </row>
    <row r="1799" spans="2:21" ht="31.5" customHeight="1" x14ac:dyDescent="0.45">
      <c r="B1799" s="323"/>
      <c r="C1799" s="417"/>
      <c r="D1799" s="400">
        <f>TrialBalance!C186</f>
        <v>0</v>
      </c>
      <c r="M1799" s="347">
        <f>-TrialBalance!L186</f>
        <v>0</v>
      </c>
      <c r="N1799" s="298"/>
      <c r="O1799" s="347">
        <f>-TrialBalance!N186</f>
        <v>0</v>
      </c>
      <c r="Q1799" s="442"/>
      <c r="R1799" s="403" t="str">
        <f t="shared" ref="R1799:R1812" si="100">IF(M1799+O1799=0,"DELETE"," ")</f>
        <v>DELETE</v>
      </c>
    </row>
    <row r="1800" spans="2:21" ht="31.5" customHeight="1" x14ac:dyDescent="0.45">
      <c r="B1800" s="323"/>
      <c r="C1800" s="417"/>
      <c r="D1800" s="400">
        <f>TrialBalance!C187</f>
        <v>0</v>
      </c>
      <c r="M1800" s="347">
        <f>-TrialBalance!L187</f>
        <v>0</v>
      </c>
      <c r="N1800" s="298"/>
      <c r="O1800" s="347">
        <f>-TrialBalance!N187</f>
        <v>0</v>
      </c>
      <c r="Q1800" s="442"/>
      <c r="R1800" s="403" t="str">
        <f t="shared" si="100"/>
        <v>DELETE</v>
      </c>
    </row>
    <row r="1801" spans="2:21" ht="31.5" customHeight="1" x14ac:dyDescent="0.45">
      <c r="B1801" s="323"/>
      <c r="C1801" s="417"/>
      <c r="D1801" s="400">
        <f>TrialBalance!C188</f>
        <v>0</v>
      </c>
      <c r="M1801" s="347">
        <f>-TrialBalance!L188</f>
        <v>0</v>
      </c>
      <c r="N1801" s="298"/>
      <c r="O1801" s="347">
        <f>-TrialBalance!N188</f>
        <v>0</v>
      </c>
      <c r="Q1801" s="442"/>
      <c r="R1801" s="403" t="str">
        <f t="shared" si="100"/>
        <v>DELETE</v>
      </c>
    </row>
    <row r="1802" spans="2:21" ht="31.5" customHeight="1" x14ac:dyDescent="0.45">
      <c r="B1802" s="323"/>
      <c r="C1802" s="417"/>
      <c r="D1802" s="400">
        <f>TrialBalance!C189</f>
        <v>0</v>
      </c>
      <c r="M1802" s="347">
        <f>-TrialBalance!L189</f>
        <v>0</v>
      </c>
      <c r="N1802" s="298"/>
      <c r="O1802" s="347">
        <f>-TrialBalance!N189</f>
        <v>0</v>
      </c>
      <c r="Q1802" s="442"/>
      <c r="R1802" s="403" t="str">
        <f t="shared" si="100"/>
        <v>DELETE</v>
      </c>
    </row>
    <row r="1803" spans="2:21" ht="31.5" customHeight="1" x14ac:dyDescent="0.45">
      <c r="B1803" s="323"/>
      <c r="C1803" s="417"/>
      <c r="D1803" s="400">
        <f>TrialBalance!C190</f>
        <v>0</v>
      </c>
      <c r="M1803" s="347">
        <f>-TrialBalance!L190</f>
        <v>0</v>
      </c>
      <c r="N1803" s="298"/>
      <c r="O1803" s="347">
        <f>-TrialBalance!N190</f>
        <v>0</v>
      </c>
      <c r="Q1803" s="442"/>
      <c r="R1803" s="403" t="str">
        <f t="shared" si="100"/>
        <v>DELETE</v>
      </c>
    </row>
    <row r="1804" spans="2:21" ht="31.5" customHeight="1" x14ac:dyDescent="0.45">
      <c r="B1804" s="323"/>
      <c r="C1804" s="417"/>
      <c r="D1804" s="400">
        <f>TrialBalance!C191</f>
        <v>0</v>
      </c>
      <c r="M1804" s="347">
        <f>-TrialBalance!L191</f>
        <v>0</v>
      </c>
      <c r="N1804" s="298"/>
      <c r="O1804" s="347">
        <f>-TrialBalance!N191</f>
        <v>0</v>
      </c>
      <c r="Q1804" s="442"/>
      <c r="R1804" s="403" t="str">
        <f t="shared" si="100"/>
        <v>DELETE</v>
      </c>
    </row>
    <row r="1805" spans="2:21" ht="31.5" customHeight="1" x14ac:dyDescent="0.45">
      <c r="B1805" s="323"/>
      <c r="C1805" s="417"/>
      <c r="D1805" s="400">
        <f>TrialBalance!C192</f>
        <v>0</v>
      </c>
      <c r="M1805" s="347">
        <f>-TrialBalance!L192</f>
        <v>0</v>
      </c>
      <c r="N1805" s="298"/>
      <c r="O1805" s="347">
        <f>-TrialBalance!N192</f>
        <v>0</v>
      </c>
      <c r="Q1805" s="442"/>
      <c r="R1805" s="403" t="str">
        <f t="shared" si="100"/>
        <v>DELETE</v>
      </c>
    </row>
    <row r="1806" spans="2:21" ht="31.5" customHeight="1" x14ac:dyDescent="0.45">
      <c r="B1806" s="323"/>
      <c r="C1806" s="417"/>
      <c r="D1806" s="400">
        <f>TrialBalance!C193</f>
        <v>0</v>
      </c>
      <c r="M1806" s="347">
        <f>-TrialBalance!L193</f>
        <v>0</v>
      </c>
      <c r="N1806" s="298"/>
      <c r="O1806" s="347">
        <f>-TrialBalance!N193</f>
        <v>0</v>
      </c>
      <c r="Q1806" s="442"/>
      <c r="R1806" s="403" t="str">
        <f t="shared" si="100"/>
        <v>DELETE</v>
      </c>
    </row>
    <row r="1807" spans="2:21" ht="31.5" customHeight="1" x14ac:dyDescent="0.45">
      <c r="B1807" s="323"/>
      <c r="C1807" s="417"/>
      <c r="D1807" s="400">
        <f>TrialBalance!C194</f>
        <v>0</v>
      </c>
      <c r="M1807" s="347">
        <f>-TrialBalance!L194</f>
        <v>0</v>
      </c>
      <c r="N1807" s="298"/>
      <c r="O1807" s="347">
        <f>-TrialBalance!N194</f>
        <v>0</v>
      </c>
      <c r="Q1807" s="442"/>
      <c r="R1807" s="403" t="str">
        <f t="shared" si="100"/>
        <v>DELETE</v>
      </c>
    </row>
    <row r="1808" spans="2:21" ht="31.5" customHeight="1" x14ac:dyDescent="0.45">
      <c r="B1808" s="323"/>
      <c r="C1808" s="417"/>
      <c r="D1808" s="400">
        <f>TrialBalance!C195</f>
        <v>0</v>
      </c>
      <c r="M1808" s="347">
        <f>-TrialBalance!L195</f>
        <v>0</v>
      </c>
      <c r="N1808" s="298"/>
      <c r="O1808" s="347">
        <f>-TrialBalance!N195</f>
        <v>0</v>
      </c>
      <c r="Q1808" s="442"/>
      <c r="R1808" s="403" t="str">
        <f t="shared" si="100"/>
        <v>DELETE</v>
      </c>
    </row>
    <row r="1809" spans="2:24" ht="31.5" customHeight="1" x14ac:dyDescent="0.45">
      <c r="B1809" s="323"/>
      <c r="C1809" s="417"/>
      <c r="D1809" s="400">
        <f>TrialBalance!C196</f>
        <v>0</v>
      </c>
      <c r="M1809" s="347">
        <f>-TrialBalance!L196</f>
        <v>0</v>
      </c>
      <c r="N1809" s="298"/>
      <c r="O1809" s="347">
        <f>-TrialBalance!N196</f>
        <v>0</v>
      </c>
      <c r="Q1809" s="442"/>
      <c r="R1809" s="403" t="str">
        <f t="shared" ref="R1809:R1810" si="101">IF(M1809+O1809=0,"DELETE"," ")</f>
        <v>DELETE</v>
      </c>
    </row>
    <row r="1810" spans="2:24" ht="31.5" customHeight="1" x14ac:dyDescent="0.45">
      <c r="B1810" s="323"/>
      <c r="C1810" s="417"/>
      <c r="D1810" s="400">
        <f>TrialBalance!C197</f>
        <v>0</v>
      </c>
      <c r="M1810" s="347">
        <f>-TrialBalance!L197</f>
        <v>0</v>
      </c>
      <c r="N1810" s="298"/>
      <c r="O1810" s="347">
        <f>-TrialBalance!N197</f>
        <v>0</v>
      </c>
      <c r="Q1810" s="442"/>
      <c r="R1810" s="403" t="str">
        <f t="shared" si="101"/>
        <v>DELETE</v>
      </c>
    </row>
    <row r="1811" spans="2:24" ht="31.5" customHeight="1" x14ac:dyDescent="0.45">
      <c r="B1811" s="323"/>
      <c r="C1811" s="417"/>
      <c r="D1811" s="400">
        <f>TrialBalance!C198</f>
        <v>0</v>
      </c>
      <c r="M1811" s="347">
        <f>-TrialBalance!L198</f>
        <v>0</v>
      </c>
      <c r="N1811" s="298"/>
      <c r="O1811" s="347">
        <f>-TrialBalance!N198</f>
        <v>0</v>
      </c>
      <c r="Q1811" s="442"/>
      <c r="R1811" s="403" t="str">
        <f t="shared" si="100"/>
        <v>DELETE</v>
      </c>
    </row>
    <row r="1812" spans="2:24" ht="31.5" customHeight="1" x14ac:dyDescent="0.45">
      <c r="B1812" s="323"/>
      <c r="C1812" s="417"/>
      <c r="D1812" s="400">
        <f>TrialBalance!C199</f>
        <v>0</v>
      </c>
      <c r="M1812" s="347">
        <f>-TrialBalance!L199</f>
        <v>0</v>
      </c>
      <c r="N1812" s="298"/>
      <c r="O1812" s="347">
        <f>-TrialBalance!N199</f>
        <v>0</v>
      </c>
      <c r="Q1812" s="442"/>
      <c r="R1812" s="403" t="str">
        <f t="shared" si="100"/>
        <v>DELETE</v>
      </c>
    </row>
    <row r="1813" spans="2:24" ht="9" customHeight="1" x14ac:dyDescent="0.45">
      <c r="B1813" s="323"/>
      <c r="C1813" s="417"/>
      <c r="M1813" s="349"/>
      <c r="N1813" s="300"/>
      <c r="O1813" s="349"/>
      <c r="Q1813" s="442"/>
      <c r="R1813" s="403" t="str">
        <f>R1816</f>
        <v>DELETE</v>
      </c>
    </row>
    <row r="1814" spans="2:24" ht="9" customHeight="1" x14ac:dyDescent="0.45">
      <c r="B1814" s="323"/>
      <c r="C1814" s="417"/>
      <c r="M1814" s="347"/>
      <c r="N1814" s="298"/>
      <c r="O1814" s="347"/>
      <c r="Q1814" s="442"/>
      <c r="R1814" s="403" t="str">
        <f>R1816</f>
        <v>DELETE</v>
      </c>
    </row>
    <row r="1815" spans="2:24" ht="31.5" customHeight="1" x14ac:dyDescent="0.45">
      <c r="B1815" s="323"/>
      <c r="C1815" s="417"/>
      <c r="M1815" s="347">
        <f>SUM(M1798:M1813)</f>
        <v>0</v>
      </c>
      <c r="N1815" s="298"/>
      <c r="O1815" s="347">
        <f>SUM(O1798:O1813)</f>
        <v>0</v>
      </c>
      <c r="Q1815" s="442"/>
      <c r="R1815" s="403" t="str">
        <f>R1816</f>
        <v>DELETE</v>
      </c>
      <c r="S1815" s="383"/>
      <c r="T1815" s="383"/>
      <c r="U1815" s="383"/>
      <c r="V1815" s="383"/>
      <c r="W1815" s="383"/>
      <c r="X1815" s="383"/>
    </row>
    <row r="1816" spans="2:24" ht="31.5" customHeight="1" x14ac:dyDescent="0.45">
      <c r="B1816" s="323"/>
      <c r="C1816" s="417"/>
      <c r="D1816" s="479" t="s">
        <v>735</v>
      </c>
      <c r="M1816" s="347">
        <f>TrialBalance!L200</f>
        <v>0</v>
      </c>
      <c r="N1816" s="298"/>
      <c r="O1816" s="347">
        <f>TrialBalance!N200</f>
        <v>0</v>
      </c>
      <c r="Q1816" s="442"/>
      <c r="R1816" s="403" t="str">
        <f t="shared" ref="R1816" si="102">IF(M1816+O1816=0,"DELETE"," ")</f>
        <v>DELETE</v>
      </c>
      <c r="S1816" s="383">
        <f>-M1816</f>
        <v>0</v>
      </c>
      <c r="T1816" s="383"/>
      <c r="U1816" s="383">
        <f>-O1816</f>
        <v>0</v>
      </c>
      <c r="V1816" s="383"/>
      <c r="W1816" s="383"/>
      <c r="X1816" s="383"/>
    </row>
    <row r="1817" spans="2:24" ht="9" customHeight="1" x14ac:dyDescent="0.45">
      <c r="B1817" s="323"/>
      <c r="C1817" s="417"/>
      <c r="M1817" s="349"/>
      <c r="N1817" s="300"/>
      <c r="O1817" s="349"/>
      <c r="Q1817" s="442"/>
      <c r="R1817" s="403" t="str">
        <f>R$1819</f>
        <v>DELETE</v>
      </c>
    </row>
    <row r="1818" spans="2:24" ht="9" customHeight="1" x14ac:dyDescent="0.45">
      <c r="B1818" s="323"/>
      <c r="C1818" s="417"/>
      <c r="M1818" s="347"/>
      <c r="N1818" s="298"/>
      <c r="O1818" s="347"/>
      <c r="Q1818" s="442"/>
      <c r="R1818" s="403" t="str">
        <f>R$1819</f>
        <v>DELETE</v>
      </c>
    </row>
    <row r="1819" spans="2:24" ht="31.5" customHeight="1" x14ac:dyDescent="0.45">
      <c r="B1819" s="323"/>
      <c r="C1819" s="417"/>
      <c r="M1819" s="347">
        <f>SUM(S1797:S1817)</f>
        <v>0</v>
      </c>
      <c r="N1819" s="298"/>
      <c r="O1819" s="347">
        <f>SUM(U1797:U1817)</f>
        <v>0</v>
      </c>
      <c r="Q1819" s="442"/>
      <c r="R1819" s="403" t="str">
        <f>IF(SUM(M1798:M1812)+SUM(O1798:O1812)&gt;0," ","DELETE")</f>
        <v>DELETE</v>
      </c>
    </row>
    <row r="1820" spans="2:24" ht="9" customHeight="1" thickBot="1" x14ac:dyDescent="0.5">
      <c r="B1820" s="323"/>
      <c r="C1820" s="417"/>
      <c r="M1820" s="351"/>
      <c r="N1820" s="301"/>
      <c r="O1820" s="351"/>
      <c r="Q1820" s="442"/>
      <c r="R1820" s="403" t="str">
        <f t="shared" ref="R1820:R1825" si="103">R$1819</f>
        <v>DELETE</v>
      </c>
    </row>
    <row r="1821" spans="2:24" ht="9" customHeight="1" thickTop="1" x14ac:dyDescent="0.45">
      <c r="B1821" s="323"/>
      <c r="C1821" s="417"/>
      <c r="M1821" s="363"/>
      <c r="N1821" s="314"/>
      <c r="O1821" s="363"/>
      <c r="Q1821" s="442"/>
      <c r="R1821" s="403" t="str">
        <f t="shared" si="103"/>
        <v>DELETE</v>
      </c>
    </row>
    <row r="1822" spans="2:24" ht="31.5" customHeight="1" x14ac:dyDescent="0.45">
      <c r="B1822" s="323"/>
      <c r="C1822" s="417"/>
      <c r="M1822" s="347"/>
      <c r="N1822" s="298"/>
      <c r="O1822" s="347"/>
      <c r="Q1822" s="442"/>
      <c r="R1822" s="403" t="str">
        <f t="shared" si="103"/>
        <v>DELETE</v>
      </c>
    </row>
    <row r="1823" spans="2:24" ht="31.5" customHeight="1" x14ac:dyDescent="0.45">
      <c r="B1823" s="323"/>
      <c r="C1823" s="417"/>
      <c r="M1823" s="347"/>
      <c r="N1823" s="298"/>
      <c r="O1823" s="347"/>
      <c r="Q1823" s="442"/>
      <c r="R1823" s="403" t="str">
        <f t="shared" si="103"/>
        <v>DELETE</v>
      </c>
    </row>
    <row r="1824" spans="2:24" ht="31.5" customHeight="1" x14ac:dyDescent="0.45">
      <c r="B1824" s="324"/>
      <c r="C1824" s="465"/>
      <c r="D1824" s="429"/>
      <c r="E1824" s="429"/>
      <c r="F1824" s="429"/>
      <c r="G1824" s="429"/>
      <c r="H1824" s="429"/>
      <c r="I1824" s="429"/>
      <c r="J1824" s="429"/>
      <c r="K1824" s="429"/>
      <c r="L1824" s="429"/>
      <c r="M1824" s="349"/>
      <c r="N1824" s="300"/>
      <c r="O1824" s="349"/>
      <c r="P1824" s="433"/>
      <c r="Q1824" s="446"/>
      <c r="R1824" s="403" t="str">
        <f t="shared" si="103"/>
        <v>DELETE</v>
      </c>
    </row>
    <row r="1825" spans="2:18" ht="31.5" customHeight="1" x14ac:dyDescent="0.45">
      <c r="B1825" s="325"/>
      <c r="C1825" s="417"/>
      <c r="M1825" s="347"/>
      <c r="N1825" s="298"/>
      <c r="O1825" s="347"/>
      <c r="R1825" s="403" t="str">
        <f t="shared" si="103"/>
        <v>DELETE</v>
      </c>
    </row>
    <row r="1826" spans="2:18" ht="31.5" customHeight="1" x14ac:dyDescent="0.45">
      <c r="B1826" s="325"/>
      <c r="C1826" s="417"/>
      <c r="M1826" s="347"/>
      <c r="N1826" s="298"/>
      <c r="O1826" s="347"/>
      <c r="R1826" s="403" t="str">
        <f>R$1856</f>
        <v>DELETE</v>
      </c>
    </row>
    <row r="1827" spans="2:18" ht="31.5" customHeight="1" x14ac:dyDescent="0.45">
      <c r="B1827" s="422"/>
      <c r="D1827" s="417" t="str">
        <f>Criteria!E9</f>
        <v>HOLDING COMPANY 268 (PROPRIETARY) LIMITED</v>
      </c>
      <c r="M1827" s="426"/>
      <c r="N1827" s="406"/>
      <c r="O1827" s="347" t="s">
        <v>96</v>
      </c>
      <c r="Q1827" s="292">
        <f>MAX($Q$114:Q1826)+1</f>
        <v>45</v>
      </c>
      <c r="R1827" s="403" t="str">
        <f t="shared" ref="R1827:R1836" si="104">R$1856</f>
        <v>DELETE</v>
      </c>
    </row>
    <row r="1828" spans="2:18" ht="31.5" customHeight="1" x14ac:dyDescent="0.45">
      <c r="B1828" s="422"/>
      <c r="D1828" s="417" t="str">
        <f>Criteria!E10</f>
        <v>CONSOLIDATED FINANCIAL STATEMENTS</v>
      </c>
      <c r="M1828" s="426"/>
      <c r="N1828" s="406"/>
      <c r="O1828" s="426"/>
      <c r="R1828" s="403" t="str">
        <f>IF(R$1856="DELETE","DELETE",IF(D1828=0,"DELETE"," "))</f>
        <v>DELETE</v>
      </c>
    </row>
    <row r="1829" spans="2:18" ht="31.5" customHeight="1" x14ac:dyDescent="0.45">
      <c r="B1829" s="422"/>
      <c r="M1829" s="426"/>
      <c r="N1829" s="406"/>
      <c r="O1829" s="426"/>
      <c r="R1829" s="403" t="str">
        <f t="shared" si="104"/>
        <v>DELETE</v>
      </c>
    </row>
    <row r="1830" spans="2:18" ht="31.5" customHeight="1" x14ac:dyDescent="0.45">
      <c r="B1830" s="422"/>
      <c r="D1830" s="417" t="s">
        <v>377</v>
      </c>
      <c r="M1830" s="426"/>
      <c r="N1830" s="406"/>
      <c r="O1830" s="426"/>
      <c r="R1830" s="403" t="str">
        <f t="shared" si="104"/>
        <v>DELETE</v>
      </c>
    </row>
    <row r="1831" spans="2:18" ht="31.5" customHeight="1" x14ac:dyDescent="0.45">
      <c r="B1831" s="422"/>
      <c r="D1831" s="417" t="str">
        <f>Criteria!E20</f>
        <v>29 FEBRUARY 2024</v>
      </c>
      <c r="J1831" s="400" t="s">
        <v>247</v>
      </c>
      <c r="M1831" s="426"/>
      <c r="N1831" s="406"/>
      <c r="O1831" s="426"/>
      <c r="R1831" s="403" t="str">
        <f t="shared" si="104"/>
        <v>DELETE</v>
      </c>
    </row>
    <row r="1832" spans="2:18" ht="31.5" customHeight="1" x14ac:dyDescent="0.45">
      <c r="B1832" s="422"/>
      <c r="M1832" s="437"/>
      <c r="N1832" s="461"/>
      <c r="O1832" s="437"/>
      <c r="R1832" s="403" t="str">
        <f t="shared" si="104"/>
        <v>DELETE</v>
      </c>
    </row>
    <row r="1833" spans="2:18" ht="31.5" customHeight="1" x14ac:dyDescent="0.45">
      <c r="B1833" s="457"/>
      <c r="C1833" s="439"/>
      <c r="D1833" s="439"/>
      <c r="E1833" s="439"/>
      <c r="F1833" s="439"/>
      <c r="G1833" s="439"/>
      <c r="H1833" s="439"/>
      <c r="I1833" s="439"/>
      <c r="J1833" s="439"/>
      <c r="K1833" s="439"/>
      <c r="L1833" s="439"/>
      <c r="M1833" s="469"/>
      <c r="N1833" s="470"/>
      <c r="O1833" s="469"/>
      <c r="P1833" s="448"/>
      <c r="Q1833" s="440"/>
      <c r="R1833" s="403" t="str">
        <f t="shared" si="104"/>
        <v>DELETE</v>
      </c>
    </row>
    <row r="1834" spans="2:18" ht="31.5" customHeight="1" x14ac:dyDescent="0.45">
      <c r="B1834" s="459"/>
      <c r="M1834" s="344">
        <f>Criteria!E22</f>
        <v>2024</v>
      </c>
      <c r="N1834" s="294"/>
      <c r="O1834" s="344">
        <f>Criteria!E27</f>
        <v>2023</v>
      </c>
      <c r="Q1834" s="442"/>
      <c r="R1834" s="403" t="str">
        <f t="shared" si="104"/>
        <v>DELETE</v>
      </c>
    </row>
    <row r="1835" spans="2:18" ht="31.5" customHeight="1" x14ac:dyDescent="0.45">
      <c r="B1835" s="323"/>
      <c r="C1835" s="417"/>
      <c r="M1835" s="347"/>
      <c r="N1835" s="298"/>
      <c r="O1835" s="347"/>
      <c r="Q1835" s="442"/>
      <c r="R1835" s="403" t="str">
        <f t="shared" si="104"/>
        <v>DELETE</v>
      </c>
    </row>
    <row r="1836" spans="2:18" ht="31.5" customHeight="1" x14ac:dyDescent="0.45">
      <c r="B1836" s="323">
        <f>MAX(B$559:B1835)+1</f>
        <v>23</v>
      </c>
      <c r="C1836" s="417" t="str">
        <f>IF(COUNTIF(TrialBalance!N202:N218,"&lt;0")&gt;1,"INTEREST FREE BORROWINGS",IF(COUNTIF(TrialBalance!L202:L218,"&lt;0")&gt;1,"INTEREST FREE BORROWINGS","INTEREST FREE BORROWING"))</f>
        <v>INTEREST FREE BORROWING</v>
      </c>
      <c r="M1836" s="347"/>
      <c r="N1836" s="298"/>
      <c r="O1836" s="347"/>
      <c r="Q1836" s="442"/>
      <c r="R1836" s="403" t="str">
        <f t="shared" si="104"/>
        <v>DELETE</v>
      </c>
    </row>
    <row r="1837" spans="2:18" ht="31.5" customHeight="1" x14ac:dyDescent="0.45">
      <c r="B1837" s="323"/>
      <c r="C1837" s="417"/>
      <c r="D1837" s="400">
        <f>TrialBalance!C202</f>
        <v>0</v>
      </c>
      <c r="M1837" s="347">
        <f>-TrialBalance!L202</f>
        <v>0</v>
      </c>
      <c r="N1837" s="298"/>
      <c r="O1837" s="347">
        <f>-TrialBalance!N202</f>
        <v>0</v>
      </c>
      <c r="Q1837" s="442"/>
      <c r="R1837" s="403" t="str">
        <f t="shared" ref="R1837" si="105">IF(M1837+O1837=0,"DELETE"," ")</f>
        <v>DELETE</v>
      </c>
    </row>
    <row r="1838" spans="2:18" ht="31.5" customHeight="1" x14ac:dyDescent="0.45">
      <c r="B1838" s="323"/>
      <c r="C1838" s="417"/>
      <c r="D1838" s="400">
        <f>TrialBalance!C203</f>
        <v>0</v>
      </c>
      <c r="M1838" s="347">
        <f>-TrialBalance!L203</f>
        <v>0</v>
      </c>
      <c r="N1838" s="298"/>
      <c r="O1838" s="347">
        <f>-TrialBalance!N203</f>
        <v>0</v>
      </c>
      <c r="Q1838" s="442"/>
      <c r="R1838" s="403" t="str">
        <f t="shared" ref="R1838:R1853" si="106">IF(M1838+O1838=0,"DELETE"," ")</f>
        <v>DELETE</v>
      </c>
    </row>
    <row r="1839" spans="2:18" ht="31.5" customHeight="1" x14ac:dyDescent="0.45">
      <c r="B1839" s="323"/>
      <c r="C1839" s="417"/>
      <c r="D1839" s="400">
        <f>TrialBalance!C204</f>
        <v>0</v>
      </c>
      <c r="M1839" s="347">
        <f>-TrialBalance!L204</f>
        <v>0</v>
      </c>
      <c r="N1839" s="298"/>
      <c r="O1839" s="347">
        <f>-TrialBalance!N204</f>
        <v>0</v>
      </c>
      <c r="Q1839" s="442"/>
      <c r="R1839" s="403" t="str">
        <f t="shared" si="106"/>
        <v>DELETE</v>
      </c>
    </row>
    <row r="1840" spans="2:18" ht="31.5" customHeight="1" x14ac:dyDescent="0.45">
      <c r="B1840" s="323"/>
      <c r="C1840" s="417"/>
      <c r="D1840" s="400">
        <f>TrialBalance!C205</f>
        <v>0</v>
      </c>
      <c r="M1840" s="347">
        <f>-TrialBalance!L205</f>
        <v>0</v>
      </c>
      <c r="N1840" s="298"/>
      <c r="O1840" s="347">
        <f>-TrialBalance!N205</f>
        <v>0</v>
      </c>
      <c r="Q1840" s="442"/>
      <c r="R1840" s="403" t="str">
        <f t="shared" si="106"/>
        <v>DELETE</v>
      </c>
    </row>
    <row r="1841" spans="2:18" ht="31.5" customHeight="1" x14ac:dyDescent="0.45">
      <c r="B1841" s="323"/>
      <c r="C1841" s="417"/>
      <c r="D1841" s="400">
        <f>TrialBalance!C206</f>
        <v>0</v>
      </c>
      <c r="M1841" s="347">
        <f>-TrialBalance!L206</f>
        <v>0</v>
      </c>
      <c r="N1841" s="298"/>
      <c r="O1841" s="347">
        <f>-TrialBalance!N206</f>
        <v>0</v>
      </c>
      <c r="Q1841" s="442"/>
      <c r="R1841" s="403" t="str">
        <f t="shared" si="106"/>
        <v>DELETE</v>
      </c>
    </row>
    <row r="1842" spans="2:18" ht="31.5" customHeight="1" x14ac:dyDescent="0.45">
      <c r="B1842" s="323"/>
      <c r="C1842" s="417"/>
      <c r="D1842" s="400">
        <f>TrialBalance!C207</f>
        <v>0</v>
      </c>
      <c r="M1842" s="347">
        <f>-TrialBalance!L207</f>
        <v>0</v>
      </c>
      <c r="N1842" s="298"/>
      <c r="O1842" s="347">
        <f>-TrialBalance!N207</f>
        <v>0</v>
      </c>
      <c r="Q1842" s="442"/>
      <c r="R1842" s="403" t="str">
        <f t="shared" si="106"/>
        <v>DELETE</v>
      </c>
    </row>
    <row r="1843" spans="2:18" ht="31.5" customHeight="1" x14ac:dyDescent="0.45">
      <c r="B1843" s="323"/>
      <c r="C1843" s="417"/>
      <c r="D1843" s="400">
        <f>TrialBalance!C208</f>
        <v>0</v>
      </c>
      <c r="M1843" s="347">
        <f>-TrialBalance!L208</f>
        <v>0</v>
      </c>
      <c r="N1843" s="298"/>
      <c r="O1843" s="347">
        <f>-TrialBalance!N208</f>
        <v>0</v>
      </c>
      <c r="Q1843" s="442"/>
      <c r="R1843" s="403" t="str">
        <f t="shared" si="106"/>
        <v>DELETE</v>
      </c>
    </row>
    <row r="1844" spans="2:18" ht="31.5" customHeight="1" x14ac:dyDescent="0.45">
      <c r="B1844" s="323"/>
      <c r="C1844" s="417"/>
      <c r="D1844" s="400">
        <f>TrialBalance!C209</f>
        <v>0</v>
      </c>
      <c r="M1844" s="347">
        <f>-TrialBalance!L209</f>
        <v>0</v>
      </c>
      <c r="N1844" s="298"/>
      <c r="O1844" s="347">
        <f>-TrialBalance!N209</f>
        <v>0</v>
      </c>
      <c r="Q1844" s="442"/>
      <c r="R1844" s="403" t="str">
        <f t="shared" si="106"/>
        <v>DELETE</v>
      </c>
    </row>
    <row r="1845" spans="2:18" ht="31.5" customHeight="1" x14ac:dyDescent="0.45">
      <c r="B1845" s="323"/>
      <c r="C1845" s="417"/>
      <c r="D1845" s="400">
        <f>TrialBalance!C210</f>
        <v>0</v>
      </c>
      <c r="M1845" s="347">
        <f>-TrialBalance!L210</f>
        <v>0</v>
      </c>
      <c r="N1845" s="298"/>
      <c r="O1845" s="347">
        <f>-TrialBalance!N210</f>
        <v>0</v>
      </c>
      <c r="Q1845" s="442"/>
      <c r="R1845" s="403" t="str">
        <f t="shared" si="106"/>
        <v>DELETE</v>
      </c>
    </row>
    <row r="1846" spans="2:18" ht="31.5" customHeight="1" x14ac:dyDescent="0.45">
      <c r="B1846" s="323"/>
      <c r="C1846" s="417"/>
      <c r="D1846" s="400">
        <f>TrialBalance!C211</f>
        <v>0</v>
      </c>
      <c r="M1846" s="347">
        <f>-TrialBalance!L211</f>
        <v>0</v>
      </c>
      <c r="N1846" s="298"/>
      <c r="O1846" s="347">
        <f>-TrialBalance!N211</f>
        <v>0</v>
      </c>
      <c r="Q1846" s="442"/>
      <c r="R1846" s="403" t="str">
        <f t="shared" si="106"/>
        <v>DELETE</v>
      </c>
    </row>
    <row r="1847" spans="2:18" ht="31.5" customHeight="1" x14ac:dyDescent="0.45">
      <c r="B1847" s="323"/>
      <c r="C1847" s="417"/>
      <c r="D1847" s="400">
        <f>TrialBalance!C212</f>
        <v>0</v>
      </c>
      <c r="M1847" s="347">
        <f>-TrialBalance!L212</f>
        <v>0</v>
      </c>
      <c r="N1847" s="298"/>
      <c r="O1847" s="347">
        <f>-TrialBalance!N212</f>
        <v>0</v>
      </c>
      <c r="Q1847" s="442"/>
      <c r="R1847" s="403" t="str">
        <f t="shared" si="106"/>
        <v>DELETE</v>
      </c>
    </row>
    <row r="1848" spans="2:18" ht="31.5" customHeight="1" x14ac:dyDescent="0.45">
      <c r="B1848" s="323"/>
      <c r="C1848" s="417"/>
      <c r="D1848" s="400">
        <f>TrialBalance!C213</f>
        <v>0</v>
      </c>
      <c r="M1848" s="347">
        <f>-TrialBalance!L213</f>
        <v>0</v>
      </c>
      <c r="N1848" s="298"/>
      <c r="O1848" s="347">
        <f>-TrialBalance!N213</f>
        <v>0</v>
      </c>
      <c r="Q1848" s="442"/>
      <c r="R1848" s="403" t="str">
        <f t="shared" si="106"/>
        <v>DELETE</v>
      </c>
    </row>
    <row r="1849" spans="2:18" ht="31.5" customHeight="1" x14ac:dyDescent="0.45">
      <c r="B1849" s="323"/>
      <c r="C1849" s="417"/>
      <c r="D1849" s="400">
        <f>TrialBalance!C214</f>
        <v>0</v>
      </c>
      <c r="M1849" s="347">
        <f>-TrialBalance!L214</f>
        <v>0</v>
      </c>
      <c r="N1849" s="298"/>
      <c r="O1849" s="347">
        <f>-TrialBalance!N214</f>
        <v>0</v>
      </c>
      <c r="Q1849" s="442"/>
      <c r="R1849" s="403" t="str">
        <f t="shared" si="106"/>
        <v>DELETE</v>
      </c>
    </row>
    <row r="1850" spans="2:18" ht="31.5" customHeight="1" x14ac:dyDescent="0.45">
      <c r="B1850" s="323"/>
      <c r="C1850" s="417"/>
      <c r="D1850" s="400">
        <f>TrialBalance!C215</f>
        <v>0</v>
      </c>
      <c r="M1850" s="347">
        <f>-TrialBalance!L215</f>
        <v>0</v>
      </c>
      <c r="N1850" s="298"/>
      <c r="O1850" s="347">
        <f>-TrialBalance!N215</f>
        <v>0</v>
      </c>
      <c r="Q1850" s="442"/>
      <c r="R1850" s="403" t="str">
        <f t="shared" si="106"/>
        <v>DELETE</v>
      </c>
    </row>
    <row r="1851" spans="2:18" ht="31.5" customHeight="1" x14ac:dyDescent="0.45">
      <c r="B1851" s="323"/>
      <c r="C1851" s="417"/>
      <c r="D1851" s="400">
        <f>TrialBalance!C216</f>
        <v>0</v>
      </c>
      <c r="M1851" s="347">
        <f>-TrialBalance!L216</f>
        <v>0</v>
      </c>
      <c r="N1851" s="298"/>
      <c r="O1851" s="347">
        <f>-TrialBalance!N216</f>
        <v>0</v>
      </c>
      <c r="Q1851" s="442"/>
      <c r="R1851" s="403" t="str">
        <f t="shared" si="106"/>
        <v>DELETE</v>
      </c>
    </row>
    <row r="1852" spans="2:18" ht="31.5" customHeight="1" x14ac:dyDescent="0.45">
      <c r="B1852" s="323"/>
      <c r="C1852" s="417"/>
      <c r="D1852" s="400">
        <f>TrialBalance!C217</f>
        <v>0</v>
      </c>
      <c r="M1852" s="347">
        <f>-TrialBalance!L217</f>
        <v>0</v>
      </c>
      <c r="N1852" s="298"/>
      <c r="O1852" s="347">
        <f>-TrialBalance!N217</f>
        <v>0</v>
      </c>
      <c r="Q1852" s="442"/>
      <c r="R1852" s="403" t="str">
        <f t="shared" si="106"/>
        <v>DELETE</v>
      </c>
    </row>
    <row r="1853" spans="2:18" ht="31.5" customHeight="1" x14ac:dyDescent="0.45">
      <c r="B1853" s="323"/>
      <c r="C1853" s="417"/>
      <c r="D1853" s="400">
        <f>TrialBalance!C218</f>
        <v>0</v>
      </c>
      <c r="M1853" s="347">
        <f>-TrialBalance!L218</f>
        <v>0</v>
      </c>
      <c r="N1853" s="298"/>
      <c r="O1853" s="347">
        <f>-TrialBalance!N218</f>
        <v>0</v>
      </c>
      <c r="Q1853" s="442"/>
      <c r="R1853" s="403" t="str">
        <f t="shared" si="106"/>
        <v>DELETE</v>
      </c>
    </row>
    <row r="1854" spans="2:18" ht="9" customHeight="1" x14ac:dyDescent="0.45">
      <c r="B1854" s="323"/>
      <c r="C1854" s="417"/>
      <c r="M1854" s="349"/>
      <c r="N1854" s="300"/>
      <c r="O1854" s="349"/>
      <c r="Q1854" s="442"/>
      <c r="R1854" s="403" t="str">
        <f t="shared" ref="R1854:R1863" si="107">R$1856</f>
        <v>DELETE</v>
      </c>
    </row>
    <row r="1855" spans="2:18" ht="9" customHeight="1" x14ac:dyDescent="0.45">
      <c r="B1855" s="323"/>
      <c r="C1855" s="417"/>
      <c r="M1855" s="347"/>
      <c r="N1855" s="298"/>
      <c r="O1855" s="347"/>
      <c r="Q1855" s="442"/>
      <c r="R1855" s="403" t="str">
        <f t="shared" si="107"/>
        <v>DELETE</v>
      </c>
    </row>
    <row r="1856" spans="2:18" ht="31.5" customHeight="1" x14ac:dyDescent="0.45">
      <c r="B1856" s="323"/>
      <c r="C1856" s="417"/>
      <c r="M1856" s="347">
        <f>SUM(M1837:M1855)</f>
        <v>0</v>
      </c>
      <c r="N1856" s="298"/>
      <c r="O1856" s="347">
        <f>SUM(O1837:O1855)</f>
        <v>0</v>
      </c>
      <c r="Q1856" s="442"/>
      <c r="R1856" s="403" t="str">
        <f>IF(M1856+O1856=0,"DELETE"," ")</f>
        <v>DELETE</v>
      </c>
    </row>
    <row r="1857" spans="2:18" ht="9" customHeight="1" thickBot="1" x14ac:dyDescent="0.5">
      <c r="B1857" s="323"/>
      <c r="C1857" s="417"/>
      <c r="M1857" s="351"/>
      <c r="N1857" s="301"/>
      <c r="O1857" s="351"/>
      <c r="Q1857" s="442"/>
      <c r="R1857" s="403" t="str">
        <f t="shared" si="107"/>
        <v>DELETE</v>
      </c>
    </row>
    <row r="1858" spans="2:18" ht="9" customHeight="1" thickTop="1" x14ac:dyDescent="0.45">
      <c r="B1858" s="323"/>
      <c r="C1858" s="417"/>
      <c r="M1858" s="363"/>
      <c r="N1858" s="314"/>
      <c r="O1858" s="363"/>
      <c r="Q1858" s="442"/>
      <c r="R1858" s="403" t="str">
        <f t="shared" si="107"/>
        <v>DELETE</v>
      </c>
    </row>
    <row r="1859" spans="2:18" ht="31.5" customHeight="1" x14ac:dyDescent="0.45">
      <c r="B1859" s="323"/>
      <c r="C1859" s="417"/>
      <c r="D1859" s="400" t="str">
        <f>IF(COUNTIF(TrialBalance!L202:L218,"&lt;0")=0," ",IF(COUNTIF(TrialBalance!L202:L218,"&lt;0")&gt;1,"Unsecured interest free loans with no fixed repayment terms","Unsecured interest free loan with no fixed repayment terms"))</f>
        <v xml:space="preserve"> </v>
      </c>
      <c r="M1859" s="347"/>
      <c r="N1859" s="298"/>
      <c r="O1859" s="347"/>
      <c r="Q1859" s="442"/>
      <c r="R1859" s="403" t="str">
        <f t="shared" si="107"/>
        <v>DELETE</v>
      </c>
    </row>
    <row r="1860" spans="2:18" ht="31.5" customHeight="1" x14ac:dyDescent="0.45">
      <c r="B1860" s="323"/>
      <c r="C1860" s="417"/>
      <c r="M1860" s="347"/>
      <c r="N1860" s="298"/>
      <c r="O1860" s="347"/>
      <c r="Q1860" s="442"/>
      <c r="R1860" s="403" t="str">
        <f t="shared" si="107"/>
        <v>DELETE</v>
      </c>
    </row>
    <row r="1861" spans="2:18" ht="31.5" customHeight="1" x14ac:dyDescent="0.45">
      <c r="B1861" s="323"/>
      <c r="C1861" s="417"/>
      <c r="M1861" s="347"/>
      <c r="N1861" s="298"/>
      <c r="O1861" s="347"/>
      <c r="Q1861" s="442"/>
      <c r="R1861" s="403" t="str">
        <f t="shared" si="107"/>
        <v>DELETE</v>
      </c>
    </row>
    <row r="1862" spans="2:18" ht="31.5" customHeight="1" x14ac:dyDescent="0.45">
      <c r="B1862" s="324"/>
      <c r="C1862" s="465"/>
      <c r="D1862" s="429"/>
      <c r="E1862" s="429"/>
      <c r="F1862" s="429"/>
      <c r="G1862" s="429"/>
      <c r="H1862" s="429"/>
      <c r="I1862" s="429"/>
      <c r="J1862" s="429"/>
      <c r="K1862" s="429"/>
      <c r="L1862" s="429"/>
      <c r="M1862" s="349"/>
      <c r="N1862" s="300"/>
      <c r="O1862" s="349"/>
      <c r="P1862" s="433"/>
      <c r="Q1862" s="446"/>
      <c r="R1862" s="403" t="str">
        <f t="shared" si="107"/>
        <v>DELETE</v>
      </c>
    </row>
    <row r="1863" spans="2:18" ht="31.5" customHeight="1" x14ac:dyDescent="0.45">
      <c r="B1863" s="325"/>
      <c r="C1863" s="417"/>
      <c r="M1863" s="347"/>
      <c r="N1863" s="298"/>
      <c r="O1863" s="347"/>
      <c r="R1863" s="403" t="str">
        <f t="shared" si="107"/>
        <v>DELETE</v>
      </c>
    </row>
    <row r="1864" spans="2:18" ht="31.5" customHeight="1" x14ac:dyDescent="0.45">
      <c r="B1864" s="422"/>
      <c r="M1864" s="426"/>
      <c r="N1864" s="406"/>
      <c r="O1864" s="426"/>
      <c r="R1864" s="403" t="str">
        <f t="shared" ref="R1864:R1876" si="108">R$1882</f>
        <v>DELETE</v>
      </c>
    </row>
    <row r="1865" spans="2:18" ht="31.5" customHeight="1" x14ac:dyDescent="0.45">
      <c r="B1865" s="422"/>
      <c r="D1865" s="417" t="str">
        <f>Criteria!E9</f>
        <v>HOLDING COMPANY 268 (PROPRIETARY) LIMITED</v>
      </c>
      <c r="M1865" s="426"/>
      <c r="N1865" s="406"/>
      <c r="O1865" s="347" t="s">
        <v>96</v>
      </c>
      <c r="Q1865" s="292">
        <f>MAX($Q$114:Q1864)+1</f>
        <v>46</v>
      </c>
      <c r="R1865" s="403" t="str">
        <f t="shared" si="108"/>
        <v>DELETE</v>
      </c>
    </row>
    <row r="1866" spans="2:18" ht="31.5" customHeight="1" x14ac:dyDescent="0.45">
      <c r="B1866" s="422"/>
      <c r="D1866" s="417" t="str">
        <f>Criteria!E10</f>
        <v>CONSOLIDATED FINANCIAL STATEMENTS</v>
      </c>
      <c r="M1866" s="426"/>
      <c r="N1866" s="406"/>
      <c r="O1866" s="426"/>
      <c r="R1866" s="403" t="str">
        <f>IF(R$1882="DELETE","DELETE",IF(D1866=0,"DELETE"," "))</f>
        <v>DELETE</v>
      </c>
    </row>
    <row r="1867" spans="2:18" ht="31.5" customHeight="1" x14ac:dyDescent="0.45">
      <c r="B1867" s="422"/>
      <c r="M1867" s="426"/>
      <c r="N1867" s="406"/>
      <c r="O1867" s="426"/>
      <c r="R1867" s="403" t="str">
        <f t="shared" si="108"/>
        <v>DELETE</v>
      </c>
    </row>
    <row r="1868" spans="2:18" ht="31.5" customHeight="1" x14ac:dyDescent="0.45">
      <c r="B1868" s="422"/>
      <c r="D1868" s="417" t="s">
        <v>377</v>
      </c>
      <c r="M1868" s="426"/>
      <c r="N1868" s="406"/>
      <c r="O1868" s="426"/>
      <c r="R1868" s="403" t="str">
        <f t="shared" si="108"/>
        <v>DELETE</v>
      </c>
    </row>
    <row r="1869" spans="2:18" ht="31.5" customHeight="1" x14ac:dyDescent="0.45">
      <c r="B1869" s="422"/>
      <c r="D1869" s="417" t="str">
        <f>Criteria!E20</f>
        <v>29 FEBRUARY 2024</v>
      </c>
      <c r="J1869" s="400" t="s">
        <v>247</v>
      </c>
      <c r="M1869" s="426"/>
      <c r="N1869" s="406"/>
      <c r="O1869" s="426"/>
      <c r="R1869" s="403" t="str">
        <f t="shared" si="108"/>
        <v>DELETE</v>
      </c>
    </row>
    <row r="1870" spans="2:18" ht="31.5" customHeight="1" x14ac:dyDescent="0.45">
      <c r="B1870" s="422"/>
      <c r="D1870" s="417"/>
      <c r="M1870" s="426"/>
      <c r="N1870" s="406"/>
      <c r="O1870" s="426"/>
      <c r="R1870" s="403" t="str">
        <f t="shared" si="108"/>
        <v>DELETE</v>
      </c>
    </row>
    <row r="1871" spans="2:18" ht="31.5" customHeight="1" x14ac:dyDescent="0.45">
      <c r="B1871" s="326"/>
      <c r="C1871" s="458"/>
      <c r="D1871" s="439"/>
      <c r="E1871" s="439"/>
      <c r="F1871" s="439"/>
      <c r="G1871" s="439"/>
      <c r="H1871" s="439"/>
      <c r="I1871" s="439"/>
      <c r="J1871" s="439"/>
      <c r="K1871" s="439"/>
      <c r="L1871" s="439"/>
      <c r="M1871" s="362"/>
      <c r="N1871" s="299"/>
      <c r="O1871" s="362"/>
      <c r="P1871" s="448"/>
      <c r="Q1871" s="440"/>
      <c r="R1871" s="403" t="str">
        <f t="shared" si="108"/>
        <v>DELETE</v>
      </c>
    </row>
    <row r="1872" spans="2:18" ht="31.5" customHeight="1" x14ac:dyDescent="0.45">
      <c r="B1872" s="323"/>
      <c r="C1872" s="417"/>
      <c r="M1872" s="344">
        <f>Criteria!E22</f>
        <v>2024</v>
      </c>
      <c r="N1872" s="294"/>
      <c r="O1872" s="344">
        <f>Criteria!E27</f>
        <v>2023</v>
      </c>
      <c r="Q1872" s="442"/>
      <c r="R1872" s="403" t="str">
        <f t="shared" si="108"/>
        <v>DELETE</v>
      </c>
    </row>
    <row r="1873" spans="2:26" ht="31.5" customHeight="1" x14ac:dyDescent="0.45">
      <c r="B1873" s="323"/>
      <c r="C1873" s="417"/>
      <c r="M1873" s="347"/>
      <c r="N1873" s="298"/>
      <c r="O1873" s="347"/>
      <c r="Q1873" s="442"/>
      <c r="R1873" s="403" t="str">
        <f t="shared" si="108"/>
        <v>DELETE</v>
      </c>
    </row>
    <row r="1874" spans="2:26" ht="31.5" customHeight="1" x14ac:dyDescent="0.45">
      <c r="B1874" s="323">
        <f>MAX(B$559:B1873)+1</f>
        <v>24</v>
      </c>
      <c r="C1874" s="417" t="s">
        <v>251</v>
      </c>
      <c r="M1874" s="347"/>
      <c r="N1874" s="298"/>
      <c r="O1874" s="347"/>
      <c r="Q1874" s="442"/>
      <c r="R1874" s="403" t="str">
        <f t="shared" si="108"/>
        <v>DELETE</v>
      </c>
    </row>
    <row r="1875" spans="2:26" ht="31.5" customHeight="1" x14ac:dyDescent="0.45">
      <c r="B1875" s="323"/>
      <c r="C1875" s="417"/>
      <c r="D1875" s="400" t="s">
        <v>1190</v>
      </c>
      <c r="M1875" s="347"/>
      <c r="N1875" s="298"/>
      <c r="O1875" s="347"/>
      <c r="Q1875" s="442"/>
      <c r="R1875" s="403" t="str">
        <f t="shared" si="108"/>
        <v>DELETE</v>
      </c>
    </row>
    <row r="1876" spans="2:26" ht="31.5" customHeight="1" x14ac:dyDescent="0.45">
      <c r="B1876" s="323"/>
      <c r="C1876" s="417"/>
      <c r="M1876" s="347"/>
      <c r="N1876" s="298"/>
      <c r="O1876" s="347"/>
      <c r="Q1876" s="442"/>
      <c r="R1876" s="403" t="str">
        <f t="shared" si="108"/>
        <v>DELETE</v>
      </c>
    </row>
    <row r="1877" spans="2:26" ht="31.5" customHeight="1" x14ac:dyDescent="0.45">
      <c r="B1877" s="323"/>
      <c r="C1877" s="417"/>
      <c r="D1877" s="400" t="s">
        <v>1191</v>
      </c>
      <c r="M1877" s="347"/>
      <c r="N1877" s="298"/>
      <c r="O1877" s="347"/>
      <c r="Q1877" s="442"/>
      <c r="R1877" s="403" t="str">
        <f>R1878</f>
        <v>DELETE</v>
      </c>
    </row>
    <row r="1878" spans="2:26" ht="31.5" customHeight="1" x14ac:dyDescent="0.45">
      <c r="B1878" s="323"/>
      <c r="C1878" s="417"/>
      <c r="D1878" s="400" t="s">
        <v>1192</v>
      </c>
      <c r="M1878" s="347">
        <f>-TrialBalance!L220-TrialBalance!L222-TrialBalance!L224-TrialBalance!L226</f>
        <v>0</v>
      </c>
      <c r="N1878" s="298"/>
      <c r="O1878" s="347">
        <f>-TrialBalance!N220-TrialBalance!N222-TrialBalance!N224-TrialBalance!N226</f>
        <v>0</v>
      </c>
      <c r="Q1878" s="442"/>
      <c r="R1878" s="403" t="str">
        <f>IF(SUM(Y1878:Z1878)&gt;0," ","DELETE")</f>
        <v>DELETE</v>
      </c>
      <c r="Y1878" s="378">
        <f>IF(TrialBalance!L220=0,IF(TrialBalance!L224=0,IF(TrialBalance!L226=0,0,1),1),1)</f>
        <v>0</v>
      </c>
      <c r="Z1878" s="378">
        <f>IF(TrialBalance!N220=0,IF(TrialBalance!N224=0,IF(TrialBalance!N226=0,0,1),1),1)</f>
        <v>0</v>
      </c>
    </row>
    <row r="1879" spans="2:26" ht="31.5" customHeight="1" x14ac:dyDescent="0.45">
      <c r="B1879" s="323"/>
      <c r="C1879" s="417"/>
      <c r="D1879" s="400" t="s">
        <v>752</v>
      </c>
      <c r="M1879" s="347">
        <f>-TrialBalance!L221-TrialBalance!L223-TrialBalance!L225-TrialBalance!L227</f>
        <v>0</v>
      </c>
      <c r="N1879" s="298"/>
      <c r="O1879" s="347">
        <f>-TrialBalance!N221-TrialBalance!N223-TrialBalance!N225-TrialBalance!N227</f>
        <v>0</v>
      </c>
      <c r="Q1879" s="442"/>
      <c r="R1879" s="403" t="str">
        <f>IF(SUM(Y1879:Z1879)&gt;0," ","DELETE")</f>
        <v>DELETE</v>
      </c>
      <c r="Y1879" s="378">
        <f>IF(TrialBalance!L221=0,IF(TrialBalance!L225=0,IF(TrialBalance!L227=0,0,1),1),1)</f>
        <v>0</v>
      </c>
      <c r="Z1879" s="378">
        <f>IF(TrialBalance!N221=0,IF(TrialBalance!N225=0,IF(TrialBalance!N227=0,0,1),1),1)</f>
        <v>0</v>
      </c>
    </row>
    <row r="1880" spans="2:26" ht="9" customHeight="1" x14ac:dyDescent="0.45">
      <c r="B1880" s="323"/>
      <c r="C1880" s="417"/>
      <c r="M1880" s="349"/>
      <c r="N1880" s="300"/>
      <c r="O1880" s="349"/>
      <c r="Q1880" s="442"/>
      <c r="R1880" s="403" t="str">
        <f t="shared" ref="R1880:R1887" si="109">R$1882</f>
        <v>DELETE</v>
      </c>
    </row>
    <row r="1881" spans="2:26" ht="9" customHeight="1" x14ac:dyDescent="0.45">
      <c r="B1881" s="323"/>
      <c r="C1881" s="417"/>
      <c r="M1881" s="347"/>
      <c r="N1881" s="298"/>
      <c r="O1881" s="347"/>
      <c r="Q1881" s="442"/>
      <c r="R1881" s="403" t="str">
        <f t="shared" si="109"/>
        <v>DELETE</v>
      </c>
    </row>
    <row r="1882" spans="2:26" ht="31.5" customHeight="1" x14ac:dyDescent="0.45">
      <c r="B1882" s="323"/>
      <c r="C1882" s="417"/>
      <c r="M1882" s="347">
        <f>SUM(M1878:M1880)</f>
        <v>0</v>
      </c>
      <c r="N1882" s="298"/>
      <c r="O1882" s="347">
        <f>SUM(O1878:O1880)</f>
        <v>0</v>
      </c>
      <c r="Q1882" s="442"/>
      <c r="R1882" s="403" t="str">
        <f>IF(R1878=" "," ",IF(R1879=" "," ","DELETE"))</f>
        <v>DELETE</v>
      </c>
      <c r="V1882" s="378" t="b">
        <f>M1882=M1916</f>
        <v>1</v>
      </c>
      <c r="X1882" s="378" t="b">
        <f>O1882=O1916</f>
        <v>1</v>
      </c>
    </row>
    <row r="1883" spans="2:26" ht="9" customHeight="1" thickBot="1" x14ac:dyDescent="0.5">
      <c r="B1883" s="323"/>
      <c r="C1883" s="417"/>
      <c r="M1883" s="351"/>
      <c r="N1883" s="301"/>
      <c r="O1883" s="351"/>
      <c r="Q1883" s="442"/>
      <c r="R1883" s="403" t="str">
        <f t="shared" si="109"/>
        <v>DELETE</v>
      </c>
    </row>
    <row r="1884" spans="2:26" ht="9" customHeight="1" thickTop="1" x14ac:dyDescent="0.45">
      <c r="B1884" s="323"/>
      <c r="C1884" s="417"/>
      <c r="M1884" s="363"/>
      <c r="N1884" s="314"/>
      <c r="O1884" s="363"/>
      <c r="Q1884" s="442"/>
      <c r="R1884" s="403" t="str">
        <f t="shared" si="109"/>
        <v>DELETE</v>
      </c>
    </row>
    <row r="1885" spans="2:26" ht="31.5" customHeight="1" x14ac:dyDescent="0.45">
      <c r="B1885" s="323"/>
      <c r="C1885" s="417"/>
      <c r="M1885" s="347"/>
      <c r="N1885" s="298"/>
      <c r="O1885" s="347"/>
      <c r="Q1885" s="442"/>
      <c r="R1885" s="403" t="str">
        <f t="shared" si="109"/>
        <v>DELETE</v>
      </c>
    </row>
    <row r="1886" spans="2:26" ht="31.5" customHeight="1" x14ac:dyDescent="0.45">
      <c r="B1886" s="323"/>
      <c r="C1886" s="417"/>
      <c r="D1886" s="400" t="s">
        <v>420</v>
      </c>
      <c r="M1886" s="347"/>
      <c r="N1886" s="298"/>
      <c r="O1886" s="347"/>
      <c r="Q1886" s="442"/>
      <c r="R1886" s="403" t="str">
        <f t="shared" si="109"/>
        <v>DELETE</v>
      </c>
    </row>
    <row r="1887" spans="2:26" ht="31.5" customHeight="1" x14ac:dyDescent="0.45">
      <c r="B1887" s="323"/>
      <c r="C1887" s="417"/>
      <c r="D1887" s="297" t="str">
        <f>IF((Y1887+Z1887)=3,"Deferred tax liability/(asset) at the beginning of the year",(IF((Y1887+Z1887=4),"Deferred tax liability at the beginning of the year","Deferred tax asset at the beginning of the year")))</f>
        <v>Deferred tax liability at the beginning of the year</v>
      </c>
      <c r="M1887" s="347">
        <f>SUM(S1889:S1892)</f>
        <v>0</v>
      </c>
      <c r="N1887" s="298"/>
      <c r="O1887" s="347">
        <f>SUM(U1889:U1892)</f>
        <v>0</v>
      </c>
      <c r="Q1887" s="442"/>
      <c r="R1887" s="403" t="str">
        <f t="shared" si="109"/>
        <v>DELETE</v>
      </c>
      <c r="V1887" s="378" t="b">
        <f>M1887=O1916</f>
        <v>1</v>
      </c>
      <c r="Y1887" s="378">
        <f>IF(M1887&lt;0,1,IF(M1887=0,IF(O1887&lt;0,1,2),2))</f>
        <v>2</v>
      </c>
      <c r="Z1887" s="378">
        <f>IF(O1887&lt;0,1,IF(O1887=0,IF(M1887&lt;0,1,2),2))</f>
        <v>2</v>
      </c>
    </row>
    <row r="1888" spans="2:26" ht="9" customHeight="1" x14ac:dyDescent="0.45">
      <c r="B1888" s="323"/>
      <c r="C1888" s="417"/>
      <c r="D1888" s="297"/>
      <c r="M1888" s="347"/>
      <c r="N1888" s="298"/>
      <c r="O1888" s="347"/>
      <c r="Q1888" s="442"/>
      <c r="R1888" s="403" t="str">
        <f>R$1887</f>
        <v>DELETE</v>
      </c>
    </row>
    <row r="1889" spans="2:21" ht="9" customHeight="1" x14ac:dyDescent="0.45">
      <c r="B1889" s="323"/>
      <c r="C1889" s="417"/>
      <c r="D1889" s="297"/>
      <c r="M1889" s="353"/>
      <c r="N1889" s="299"/>
      <c r="O1889" s="366"/>
      <c r="Q1889" s="442"/>
      <c r="R1889" s="403" t="str">
        <f>R$1887</f>
        <v>DELETE</v>
      </c>
    </row>
    <row r="1890" spans="2:21" ht="31.5" customHeight="1" x14ac:dyDescent="0.45">
      <c r="B1890" s="323"/>
      <c r="C1890" s="417"/>
      <c r="D1890" s="297"/>
      <c r="E1890" s="400" t="s">
        <v>1193</v>
      </c>
      <c r="M1890" s="354">
        <f>-TrialBalance!L220</f>
        <v>0</v>
      </c>
      <c r="N1890" s="314"/>
      <c r="O1890" s="367">
        <f>-TrialBalance!N220</f>
        <v>0</v>
      </c>
      <c r="Q1890" s="442"/>
      <c r="R1890" s="403" t="str">
        <f>IF(R1882="DELETE","DELETE",IF(R1891="DELETE"," ",IF(M1890=0,IF(O1890=0,"DELETE"," ")," ")))</f>
        <v>DELETE</v>
      </c>
      <c r="S1890" s="380">
        <f>M1890</f>
        <v>0</v>
      </c>
      <c r="U1890" s="380">
        <f>O1890</f>
        <v>0</v>
      </c>
    </row>
    <row r="1891" spans="2:21" ht="31.5" customHeight="1" x14ac:dyDescent="0.45">
      <c r="B1891" s="323"/>
      <c r="C1891" s="417"/>
      <c r="D1891" s="297"/>
      <c r="E1891" s="400" t="s">
        <v>752</v>
      </c>
      <c r="M1891" s="354">
        <f>-TrialBalance!L221</f>
        <v>0</v>
      </c>
      <c r="N1891" s="314"/>
      <c r="O1891" s="367">
        <f>-TrialBalance!N221</f>
        <v>0</v>
      </c>
      <c r="Q1891" s="442"/>
      <c r="R1891" s="403" t="str">
        <f>IF(R1882="DELETE","DELETE",IF(M1891=0,IF(O1891=0,"DELETE"," ")," "))</f>
        <v>DELETE</v>
      </c>
      <c r="S1891" s="380">
        <f>M1891</f>
        <v>0</v>
      </c>
      <c r="U1891" s="380">
        <f>O1891</f>
        <v>0</v>
      </c>
    </row>
    <row r="1892" spans="2:21" ht="9" customHeight="1" x14ac:dyDescent="0.45">
      <c r="B1892" s="323"/>
      <c r="C1892" s="417"/>
      <c r="D1892" s="297"/>
      <c r="M1892" s="355"/>
      <c r="N1892" s="300"/>
      <c r="O1892" s="368"/>
      <c r="Q1892" s="442"/>
      <c r="R1892" s="403" t="str">
        <f t="shared" ref="R1892:R1893" si="110">R$1887</f>
        <v>DELETE</v>
      </c>
    </row>
    <row r="1893" spans="2:21" ht="10.5" customHeight="1" x14ac:dyDescent="0.45">
      <c r="B1893" s="323"/>
      <c r="C1893" s="417"/>
      <c r="D1893" s="297"/>
      <c r="M1893" s="347"/>
      <c r="N1893" s="298"/>
      <c r="O1893" s="347"/>
      <c r="Q1893" s="442"/>
      <c r="R1893" s="403" t="str">
        <f t="shared" si="110"/>
        <v>DELETE</v>
      </c>
    </row>
    <row r="1894" spans="2:21" ht="31.5" customHeight="1" x14ac:dyDescent="0.45">
      <c r="B1894" s="323"/>
      <c r="C1894" s="417"/>
      <c r="D1894" s="297" t="s">
        <v>1109</v>
      </c>
      <c r="M1894" s="347">
        <f>SUM(S1896:S1899)</f>
        <v>0</v>
      </c>
      <c r="N1894" s="298"/>
      <c r="O1894" s="347">
        <f>SUM(U1896:U1899)</f>
        <v>0</v>
      </c>
      <c r="Q1894" s="442"/>
      <c r="R1894" s="403" t="str">
        <f>IF(M1894=0,IF(O1894=0,"DELETE"," ")," ")</f>
        <v>DELETE</v>
      </c>
    </row>
    <row r="1895" spans="2:21" ht="9" customHeight="1" x14ac:dyDescent="0.45">
      <c r="B1895" s="323"/>
      <c r="C1895" s="417"/>
      <c r="D1895" s="297"/>
      <c r="M1895" s="347"/>
      <c r="N1895" s="298"/>
      <c r="O1895" s="347"/>
      <c r="Q1895" s="442"/>
      <c r="R1895" s="403" t="str">
        <f>R$1894</f>
        <v>DELETE</v>
      </c>
    </row>
    <row r="1896" spans="2:21" ht="9" customHeight="1" x14ac:dyDescent="0.45">
      <c r="B1896" s="323"/>
      <c r="C1896" s="417"/>
      <c r="D1896" s="297"/>
      <c r="M1896" s="353"/>
      <c r="N1896" s="299"/>
      <c r="O1896" s="366"/>
      <c r="Q1896" s="442"/>
      <c r="R1896" s="403" t="str">
        <f>R$1894</f>
        <v>DELETE</v>
      </c>
    </row>
    <row r="1897" spans="2:21" ht="31.5" customHeight="1" x14ac:dyDescent="0.45">
      <c r="B1897" s="323"/>
      <c r="C1897" s="417"/>
      <c r="D1897" s="297"/>
      <c r="E1897" s="400" t="s">
        <v>1193</v>
      </c>
      <c r="M1897" s="354">
        <f>-TrialBalance!L222</f>
        <v>0</v>
      </c>
      <c r="N1897" s="314"/>
      <c r="O1897" s="367">
        <f>-TrialBalance!N222</f>
        <v>0</v>
      </c>
      <c r="Q1897" s="442"/>
      <c r="R1897" s="403" t="str">
        <f t="shared" ref="R1897:R1898" si="111">IF(M1897=0,IF(O1897=0,"DELETE"," ")," ")</f>
        <v>DELETE</v>
      </c>
      <c r="S1897" s="380">
        <f>M1897</f>
        <v>0</v>
      </c>
      <c r="U1897" s="380">
        <f>O1897</f>
        <v>0</v>
      </c>
    </row>
    <row r="1898" spans="2:21" ht="31.5" customHeight="1" x14ac:dyDescent="0.45">
      <c r="B1898" s="323"/>
      <c r="C1898" s="417"/>
      <c r="D1898" s="297"/>
      <c r="E1898" s="400" t="s">
        <v>752</v>
      </c>
      <c r="M1898" s="354">
        <f>-TrialBalance!L223</f>
        <v>0</v>
      </c>
      <c r="N1898" s="314"/>
      <c r="O1898" s="367">
        <f>-TrialBalance!N223</f>
        <v>0</v>
      </c>
      <c r="Q1898" s="442"/>
      <c r="R1898" s="403" t="str">
        <f t="shared" si="111"/>
        <v>DELETE</v>
      </c>
      <c r="S1898" s="380">
        <f>M1898</f>
        <v>0</v>
      </c>
      <c r="U1898" s="380">
        <f>O1898</f>
        <v>0</v>
      </c>
    </row>
    <row r="1899" spans="2:21" ht="9" customHeight="1" x14ac:dyDescent="0.45">
      <c r="B1899" s="323"/>
      <c r="C1899" s="417"/>
      <c r="D1899" s="297"/>
      <c r="M1899" s="355"/>
      <c r="N1899" s="300"/>
      <c r="O1899" s="368"/>
      <c r="Q1899" s="442"/>
      <c r="R1899" s="403" t="str">
        <f t="shared" ref="R1899:R1900" si="112">R$1894</f>
        <v>DELETE</v>
      </c>
    </row>
    <row r="1900" spans="2:21" ht="9" customHeight="1" x14ac:dyDescent="0.45">
      <c r="B1900" s="323"/>
      <c r="C1900" s="417"/>
      <c r="D1900" s="297"/>
      <c r="M1900" s="347"/>
      <c r="N1900" s="298"/>
      <c r="O1900" s="347"/>
      <c r="Q1900" s="442"/>
      <c r="R1900" s="403" t="str">
        <f t="shared" si="112"/>
        <v>DELETE</v>
      </c>
    </row>
    <row r="1901" spans="2:21" ht="31.5" customHeight="1" x14ac:dyDescent="0.45">
      <c r="B1901" s="323"/>
      <c r="C1901" s="417"/>
      <c r="D1901" s="297" t="s">
        <v>838</v>
      </c>
      <c r="M1901" s="347">
        <f>SUM(S1903:S1906)</f>
        <v>0</v>
      </c>
      <c r="N1901" s="298"/>
      <c r="O1901" s="347">
        <f>SUM(U1903:U1906)</f>
        <v>0</v>
      </c>
      <c r="Q1901" s="442"/>
      <c r="R1901" s="403" t="str">
        <f t="shared" ref="R1901" si="113">IF(M1901=0,IF(O1901=0,"DELETE"," ")," ")</f>
        <v>DELETE</v>
      </c>
    </row>
    <row r="1902" spans="2:21" ht="9" customHeight="1" x14ac:dyDescent="0.45">
      <c r="B1902" s="323"/>
      <c r="C1902" s="417"/>
      <c r="D1902" s="297"/>
      <c r="M1902" s="350"/>
      <c r="N1902" s="302"/>
      <c r="O1902" s="350"/>
      <c r="Q1902" s="442"/>
      <c r="R1902" s="403" t="str">
        <f>R$1901</f>
        <v>DELETE</v>
      </c>
    </row>
    <row r="1903" spans="2:21" ht="9" customHeight="1" x14ac:dyDescent="0.45">
      <c r="B1903" s="323"/>
      <c r="C1903" s="417"/>
      <c r="D1903" s="297"/>
      <c r="M1903" s="491"/>
      <c r="N1903" s="492"/>
      <c r="O1903" s="493"/>
      <c r="Q1903" s="442"/>
      <c r="R1903" s="403" t="str">
        <f>R$1901</f>
        <v>DELETE</v>
      </c>
    </row>
    <row r="1904" spans="2:21" ht="31.5" customHeight="1" x14ac:dyDescent="0.45">
      <c r="B1904" s="323"/>
      <c r="C1904" s="417"/>
      <c r="D1904" s="297"/>
      <c r="E1904" s="400" t="s">
        <v>1193</v>
      </c>
      <c r="M1904" s="356">
        <f>-TrialBalance!L224</f>
        <v>0</v>
      </c>
      <c r="N1904" s="494"/>
      <c r="O1904" s="369">
        <f>-TrialBalance!N224</f>
        <v>0</v>
      </c>
      <c r="Q1904" s="442"/>
      <c r="R1904" s="403" t="str">
        <f t="shared" ref="R1904:R1905" si="114">IF(M1904=0,IF(O1904=0,"DELETE"," ")," ")</f>
        <v>DELETE</v>
      </c>
      <c r="S1904" s="380">
        <f>M1904</f>
        <v>0</v>
      </c>
      <c r="U1904" s="380">
        <f>O1904</f>
        <v>0</v>
      </c>
    </row>
    <row r="1905" spans="2:26" ht="31.5" customHeight="1" x14ac:dyDescent="0.45">
      <c r="B1905" s="323"/>
      <c r="C1905" s="417"/>
      <c r="D1905" s="297"/>
      <c r="E1905" s="400" t="s">
        <v>752</v>
      </c>
      <c r="M1905" s="356">
        <f>-TrialBalance!L225</f>
        <v>0</v>
      </c>
      <c r="N1905" s="494"/>
      <c r="O1905" s="369">
        <f>-TrialBalance!N225</f>
        <v>0</v>
      </c>
      <c r="Q1905" s="442"/>
      <c r="R1905" s="403" t="str">
        <f t="shared" si="114"/>
        <v>DELETE</v>
      </c>
      <c r="S1905" s="380">
        <f>M1905</f>
        <v>0</v>
      </c>
      <c r="U1905" s="380">
        <f>O1905</f>
        <v>0</v>
      </c>
    </row>
    <row r="1906" spans="2:26" ht="9" customHeight="1" x14ac:dyDescent="0.45">
      <c r="B1906" s="323"/>
      <c r="C1906" s="417"/>
      <c r="D1906" s="297"/>
      <c r="M1906" s="495"/>
      <c r="N1906" s="496"/>
      <c r="O1906" s="497"/>
      <c r="Q1906" s="442"/>
      <c r="R1906" s="403" t="str">
        <f t="shared" ref="R1906:R1907" si="115">R$1901</f>
        <v>DELETE</v>
      </c>
    </row>
    <row r="1907" spans="2:26" ht="9" customHeight="1" x14ac:dyDescent="0.45">
      <c r="B1907" s="323"/>
      <c r="C1907" s="417"/>
      <c r="D1907" s="297"/>
      <c r="M1907" s="350"/>
      <c r="N1907" s="302"/>
      <c r="O1907" s="350"/>
      <c r="Q1907" s="442"/>
      <c r="R1907" s="403" t="str">
        <f t="shared" si="115"/>
        <v>DELETE</v>
      </c>
    </row>
    <row r="1908" spans="2:26" ht="31.5" customHeight="1" x14ac:dyDescent="0.45">
      <c r="B1908" s="323"/>
      <c r="C1908" s="417"/>
      <c r="D1908" s="297" t="s">
        <v>839</v>
      </c>
      <c r="M1908" s="347">
        <f>SUM(S1910:S1913)</f>
        <v>0</v>
      </c>
      <c r="N1908" s="298"/>
      <c r="O1908" s="347">
        <f>SUM(U1910:U1913)</f>
        <v>0</v>
      </c>
      <c r="Q1908" s="442"/>
      <c r="R1908" s="403" t="str">
        <f>IF(M1908=0,IF(O1908=0,"DELETE"," ")," ")</f>
        <v>DELETE</v>
      </c>
    </row>
    <row r="1909" spans="2:26" ht="9" customHeight="1" x14ac:dyDescent="0.45">
      <c r="B1909" s="323"/>
      <c r="C1909" s="417"/>
      <c r="D1909" s="297"/>
      <c r="M1909" s="350"/>
      <c r="N1909" s="302"/>
      <c r="O1909" s="350"/>
      <c r="Q1909" s="442"/>
      <c r="R1909" s="403" t="str">
        <f>R$1908</f>
        <v>DELETE</v>
      </c>
    </row>
    <row r="1910" spans="2:26" ht="9" customHeight="1" x14ac:dyDescent="0.45">
      <c r="B1910" s="323"/>
      <c r="C1910" s="417"/>
      <c r="D1910" s="297"/>
      <c r="M1910" s="491"/>
      <c r="N1910" s="492"/>
      <c r="O1910" s="493"/>
      <c r="Q1910" s="442"/>
      <c r="R1910" s="403" t="str">
        <f>R$1908</f>
        <v>DELETE</v>
      </c>
    </row>
    <row r="1911" spans="2:26" ht="31.5" customHeight="1" x14ac:dyDescent="0.45">
      <c r="B1911" s="323"/>
      <c r="C1911" s="417"/>
      <c r="D1911" s="297"/>
      <c r="E1911" s="400" t="s">
        <v>1193</v>
      </c>
      <c r="M1911" s="356">
        <f>-TrialBalance!L226</f>
        <v>0</v>
      </c>
      <c r="N1911" s="494"/>
      <c r="O1911" s="369">
        <f>-TrialBalance!N226</f>
        <v>0</v>
      </c>
      <c r="Q1911" s="442"/>
      <c r="R1911" s="403" t="str">
        <f t="shared" ref="R1911:R1912" si="116">IF(M1911=0,IF(O1911=0,"DELETE"," ")," ")</f>
        <v>DELETE</v>
      </c>
      <c r="S1911" s="380">
        <f>M1911</f>
        <v>0</v>
      </c>
      <c r="U1911" s="380">
        <f>O1911</f>
        <v>0</v>
      </c>
    </row>
    <row r="1912" spans="2:26" ht="31.5" customHeight="1" x14ac:dyDescent="0.45">
      <c r="B1912" s="323"/>
      <c r="C1912" s="417"/>
      <c r="D1912" s="297"/>
      <c r="E1912" s="400" t="s">
        <v>752</v>
      </c>
      <c r="M1912" s="356">
        <f>-TrialBalance!L227</f>
        <v>0</v>
      </c>
      <c r="N1912" s="494"/>
      <c r="O1912" s="369">
        <f>-TrialBalance!N227</f>
        <v>0</v>
      </c>
      <c r="Q1912" s="442"/>
      <c r="R1912" s="403" t="str">
        <f t="shared" si="116"/>
        <v>DELETE</v>
      </c>
      <c r="S1912" s="380">
        <f>M1912</f>
        <v>0</v>
      </c>
      <c r="U1912" s="380">
        <f>O1912</f>
        <v>0</v>
      </c>
    </row>
    <row r="1913" spans="2:26" ht="9" customHeight="1" x14ac:dyDescent="0.45">
      <c r="B1913" s="323"/>
      <c r="C1913" s="417"/>
      <c r="D1913" s="297"/>
      <c r="M1913" s="495"/>
      <c r="N1913" s="496"/>
      <c r="O1913" s="497"/>
      <c r="Q1913" s="442"/>
      <c r="R1913" s="403" t="str">
        <f>R$1908</f>
        <v>DELETE</v>
      </c>
    </row>
    <row r="1914" spans="2:26" ht="9" customHeight="1" x14ac:dyDescent="0.45">
      <c r="B1914" s="323"/>
      <c r="C1914" s="417"/>
      <c r="M1914" s="349"/>
      <c r="N1914" s="300"/>
      <c r="O1914" s="349"/>
      <c r="Q1914" s="442"/>
      <c r="R1914" s="403" t="str">
        <f t="shared" ref="R1914:R1919" si="117">R$1882</f>
        <v>DELETE</v>
      </c>
    </row>
    <row r="1915" spans="2:26" ht="9" customHeight="1" x14ac:dyDescent="0.45">
      <c r="B1915" s="323"/>
      <c r="C1915" s="417"/>
      <c r="M1915" s="347"/>
      <c r="N1915" s="298"/>
      <c r="O1915" s="347"/>
      <c r="Q1915" s="442"/>
      <c r="R1915" s="403" t="str">
        <f t="shared" si="117"/>
        <v>DELETE</v>
      </c>
    </row>
    <row r="1916" spans="2:26" ht="31.5" customHeight="1" x14ac:dyDescent="0.45">
      <c r="B1916" s="323"/>
      <c r="C1916" s="417"/>
      <c r="D1916" s="297" t="str">
        <f>IF((Y1916+Z1916)=3,"Deferred tax liability/(asset) at the end of the year",(IF((Y1916+Z1916=4),"Deferred tax liability at the end of the year","Deferred tax asset at the end of the year")))</f>
        <v>Deferred tax liability at the end of the year</v>
      </c>
      <c r="M1916" s="347">
        <f>SUM(S1889:S1913)</f>
        <v>0</v>
      </c>
      <c r="N1916" s="298"/>
      <c r="O1916" s="347">
        <f>SUM(U1889:U1913)</f>
        <v>0</v>
      </c>
      <c r="Q1916" s="442"/>
      <c r="R1916" s="403" t="str">
        <f t="shared" si="117"/>
        <v>DELETE</v>
      </c>
      <c r="V1916" s="378" t="b">
        <f>M1916=SUM(M1919:M1922)</f>
        <v>1</v>
      </c>
      <c r="X1916" s="378" t="b">
        <f>O1916=SUM(O1919:O1922)</f>
        <v>1</v>
      </c>
      <c r="Y1916" s="378">
        <f>IF(M1916&lt;0,1,IF(M1916=0,IF(O1916&lt;0,1,2),2))</f>
        <v>2</v>
      </c>
      <c r="Z1916" s="378">
        <f>IF(O1916&lt;0,1,IF(O1916=0,IF(M1916&lt;0,1,2),2))</f>
        <v>2</v>
      </c>
    </row>
    <row r="1917" spans="2:26" ht="9" customHeight="1" thickBot="1" x14ac:dyDescent="0.5">
      <c r="B1917" s="323"/>
      <c r="C1917" s="417"/>
      <c r="M1917" s="351"/>
      <c r="N1917" s="301"/>
      <c r="O1917" s="351"/>
      <c r="Q1917" s="442"/>
      <c r="R1917" s="403" t="str">
        <f t="shared" si="117"/>
        <v>DELETE</v>
      </c>
    </row>
    <row r="1918" spans="2:26" ht="9" customHeight="1" thickTop="1" x14ac:dyDescent="0.45">
      <c r="B1918" s="323"/>
      <c r="C1918" s="417"/>
      <c r="M1918" s="347"/>
      <c r="N1918" s="298"/>
      <c r="O1918" s="347" t="s">
        <v>649</v>
      </c>
      <c r="Q1918" s="442"/>
      <c r="R1918" s="403" t="str">
        <f t="shared" si="117"/>
        <v>DELETE</v>
      </c>
    </row>
    <row r="1919" spans="2:26" ht="9" customHeight="1" x14ac:dyDescent="0.45">
      <c r="B1919" s="323"/>
      <c r="C1919" s="417"/>
      <c r="M1919" s="353"/>
      <c r="N1919" s="299"/>
      <c r="O1919" s="366"/>
      <c r="Q1919" s="442"/>
      <c r="R1919" s="403" t="str">
        <f t="shared" si="117"/>
        <v>DELETE</v>
      </c>
    </row>
    <row r="1920" spans="2:26" ht="31.5" customHeight="1" x14ac:dyDescent="0.45">
      <c r="B1920" s="323"/>
      <c r="C1920" s="417"/>
      <c r="E1920" s="400" t="s">
        <v>1193</v>
      </c>
      <c r="M1920" s="354">
        <f>-TrialBalance!L220-TrialBalance!L222-TrialBalance!L224-TrialBalance!L226</f>
        <v>0</v>
      </c>
      <c r="N1920" s="314"/>
      <c r="O1920" s="367">
        <f>-TrialBalance!N220-TrialBalance!N222-TrialBalance!N224-TrialBalance!N226</f>
        <v>0</v>
      </c>
      <c r="Q1920" s="442"/>
      <c r="R1920" s="403" t="str">
        <f>IF(R1882="DELETE","DELETE",IF(R1921="DELETE"," ",IF(M1920=0,IF(O1920=0,"DELETE"," ")," ")))</f>
        <v>DELETE</v>
      </c>
      <c r="S1920" s="380">
        <f>M1920</f>
        <v>0</v>
      </c>
      <c r="U1920" s="380">
        <f>O1920</f>
        <v>0</v>
      </c>
    </row>
    <row r="1921" spans="2:21" ht="31.5" customHeight="1" x14ac:dyDescent="0.45">
      <c r="B1921" s="323"/>
      <c r="C1921" s="417"/>
      <c r="E1921" s="400" t="s">
        <v>752</v>
      </c>
      <c r="M1921" s="354">
        <f>-TrialBalance!L221-TrialBalance!L223-TrialBalance!L225-TrialBalance!L227</f>
        <v>0</v>
      </c>
      <c r="N1921" s="314"/>
      <c r="O1921" s="367">
        <f>-TrialBalance!N221-TrialBalance!N223-TrialBalance!N225-TrialBalance!N227</f>
        <v>0</v>
      </c>
      <c r="Q1921" s="442"/>
      <c r="R1921" s="403" t="str">
        <f>IF(R1882="DELETE","DELETE",IF(M1921=0,IF(O1921=0,"DELETE"," ")," "))</f>
        <v>DELETE</v>
      </c>
      <c r="S1921" s="380">
        <f>M1921</f>
        <v>0</v>
      </c>
      <c r="U1921" s="380">
        <f>O1921</f>
        <v>0</v>
      </c>
    </row>
    <row r="1922" spans="2:21" ht="9" customHeight="1" x14ac:dyDescent="0.45">
      <c r="B1922" s="323"/>
      <c r="C1922" s="417"/>
      <c r="M1922" s="355"/>
      <c r="N1922" s="300"/>
      <c r="O1922" s="368"/>
      <c r="Q1922" s="442"/>
      <c r="R1922" s="403" t="str">
        <f t="shared" ref="R1922:R1927" si="118">R$1882</f>
        <v>DELETE</v>
      </c>
    </row>
    <row r="1923" spans="2:21" ht="9" customHeight="1" x14ac:dyDescent="0.45">
      <c r="B1923" s="323"/>
      <c r="C1923" s="417"/>
      <c r="M1923" s="347"/>
      <c r="N1923" s="298"/>
      <c r="O1923" s="347"/>
      <c r="Q1923" s="442"/>
      <c r="R1923" s="403" t="str">
        <f t="shared" si="118"/>
        <v>DELETE</v>
      </c>
    </row>
    <row r="1924" spans="2:21" ht="31.5" customHeight="1" x14ac:dyDescent="0.45">
      <c r="B1924" s="323"/>
      <c r="C1924" s="417"/>
      <c r="M1924" s="347"/>
      <c r="N1924" s="298"/>
      <c r="O1924" s="347"/>
      <c r="Q1924" s="442"/>
      <c r="R1924" s="403" t="str">
        <f t="shared" si="118"/>
        <v>DELETE</v>
      </c>
    </row>
    <row r="1925" spans="2:21" ht="31.5" customHeight="1" x14ac:dyDescent="0.45">
      <c r="B1925" s="323"/>
      <c r="C1925" s="417"/>
      <c r="M1925" s="347"/>
      <c r="N1925" s="298"/>
      <c r="O1925" s="347"/>
      <c r="Q1925" s="442"/>
      <c r="R1925" s="403" t="str">
        <f t="shared" si="118"/>
        <v>DELETE</v>
      </c>
    </row>
    <row r="1926" spans="2:21" ht="31.5" customHeight="1" x14ac:dyDescent="0.45">
      <c r="B1926" s="324"/>
      <c r="C1926" s="465"/>
      <c r="D1926" s="429"/>
      <c r="E1926" s="429"/>
      <c r="F1926" s="429"/>
      <c r="G1926" s="429"/>
      <c r="H1926" s="429"/>
      <c r="I1926" s="429"/>
      <c r="J1926" s="429"/>
      <c r="K1926" s="429"/>
      <c r="L1926" s="429"/>
      <c r="M1926" s="349"/>
      <c r="N1926" s="300"/>
      <c r="O1926" s="349"/>
      <c r="P1926" s="433"/>
      <c r="Q1926" s="446"/>
      <c r="R1926" s="403" t="str">
        <f t="shared" si="118"/>
        <v>DELETE</v>
      </c>
    </row>
    <row r="1927" spans="2:21" ht="31.5" customHeight="1" x14ac:dyDescent="0.45">
      <c r="B1927" s="422"/>
      <c r="M1927" s="426"/>
      <c r="N1927" s="406"/>
      <c r="O1927" s="426"/>
      <c r="R1927" s="403" t="str">
        <f t="shared" si="118"/>
        <v>DELETE</v>
      </c>
    </row>
    <row r="1928" spans="2:21" ht="31.5" customHeight="1" x14ac:dyDescent="0.45">
      <c r="B1928" s="422"/>
      <c r="M1928" s="426"/>
      <c r="N1928" s="406"/>
      <c r="O1928" s="426"/>
      <c r="R1928" s="403" t="str">
        <f>R$1947</f>
        <v>DELETE</v>
      </c>
    </row>
    <row r="1929" spans="2:21" ht="31.5" customHeight="1" x14ac:dyDescent="0.45">
      <c r="B1929" s="422"/>
      <c r="D1929" s="417" t="str">
        <f>Criteria!E9</f>
        <v>HOLDING COMPANY 268 (PROPRIETARY) LIMITED</v>
      </c>
      <c r="M1929" s="426"/>
      <c r="N1929" s="406"/>
      <c r="O1929" s="347" t="s">
        <v>96</v>
      </c>
      <c r="Q1929" s="292">
        <f>MAX($Q$114:Q1928)+1</f>
        <v>47</v>
      </c>
      <c r="R1929" s="403" t="str">
        <f t="shared" ref="R1929:R1938" si="119">R$1947</f>
        <v>DELETE</v>
      </c>
    </row>
    <row r="1930" spans="2:21" ht="31.5" customHeight="1" x14ac:dyDescent="0.45">
      <c r="B1930" s="422"/>
      <c r="D1930" s="417" t="str">
        <f>Criteria!E10</f>
        <v>CONSOLIDATED FINANCIAL STATEMENTS</v>
      </c>
      <c r="M1930" s="426"/>
      <c r="N1930" s="406"/>
      <c r="O1930" s="426"/>
      <c r="R1930" s="403" t="str">
        <f>IF(R$1947="DELETE","DELETE",IF(D1930=0,"DELETE"," "))</f>
        <v>DELETE</v>
      </c>
    </row>
    <row r="1931" spans="2:21" ht="31.5" customHeight="1" x14ac:dyDescent="0.45">
      <c r="B1931" s="422"/>
      <c r="M1931" s="426"/>
      <c r="N1931" s="406"/>
      <c r="O1931" s="426"/>
      <c r="R1931" s="403" t="str">
        <f t="shared" si="119"/>
        <v>DELETE</v>
      </c>
    </row>
    <row r="1932" spans="2:21" ht="31.5" customHeight="1" x14ac:dyDescent="0.45">
      <c r="B1932" s="422"/>
      <c r="D1932" s="417" t="s">
        <v>377</v>
      </c>
      <c r="M1932" s="426"/>
      <c r="N1932" s="406"/>
      <c r="O1932" s="426"/>
      <c r="R1932" s="403" t="str">
        <f t="shared" si="119"/>
        <v>DELETE</v>
      </c>
    </row>
    <row r="1933" spans="2:21" ht="31.5" customHeight="1" x14ac:dyDescent="0.45">
      <c r="B1933" s="422"/>
      <c r="D1933" s="417" t="str">
        <f>Criteria!E20</f>
        <v>29 FEBRUARY 2024</v>
      </c>
      <c r="J1933" s="400" t="s">
        <v>247</v>
      </c>
      <c r="M1933" s="426"/>
      <c r="N1933" s="406"/>
      <c r="O1933" s="426"/>
      <c r="R1933" s="403" t="str">
        <f t="shared" si="119"/>
        <v>DELETE</v>
      </c>
    </row>
    <row r="1934" spans="2:21" ht="31.5" customHeight="1" x14ac:dyDescent="0.45">
      <c r="B1934" s="422"/>
      <c r="D1934" s="417"/>
      <c r="M1934" s="426"/>
      <c r="N1934" s="406"/>
      <c r="O1934" s="426"/>
      <c r="R1934" s="403" t="str">
        <f t="shared" si="119"/>
        <v>DELETE</v>
      </c>
    </row>
    <row r="1935" spans="2:21" ht="31.5" customHeight="1" x14ac:dyDescent="0.45">
      <c r="B1935" s="326"/>
      <c r="C1935" s="458"/>
      <c r="D1935" s="439"/>
      <c r="E1935" s="439"/>
      <c r="F1935" s="439"/>
      <c r="G1935" s="439"/>
      <c r="H1935" s="439"/>
      <c r="I1935" s="439"/>
      <c r="J1935" s="439"/>
      <c r="K1935" s="439"/>
      <c r="L1935" s="439"/>
      <c r="M1935" s="362"/>
      <c r="N1935" s="299"/>
      <c r="O1935" s="362"/>
      <c r="P1935" s="448"/>
      <c r="Q1935" s="440"/>
      <c r="R1935" s="403" t="str">
        <f t="shared" si="119"/>
        <v>DELETE</v>
      </c>
    </row>
    <row r="1936" spans="2:21" ht="31.5" customHeight="1" x14ac:dyDescent="0.45">
      <c r="B1936" s="323"/>
      <c r="C1936" s="417"/>
      <c r="M1936" s="344">
        <f>Criteria!E22</f>
        <v>2024</v>
      </c>
      <c r="N1936" s="294"/>
      <c r="O1936" s="344">
        <f>Criteria!E27</f>
        <v>2023</v>
      </c>
      <c r="Q1936" s="442"/>
      <c r="R1936" s="403" t="str">
        <f t="shared" si="119"/>
        <v>DELETE</v>
      </c>
    </row>
    <row r="1937" spans="2:18" ht="31.5" customHeight="1" x14ac:dyDescent="0.45">
      <c r="B1937" s="323"/>
      <c r="C1937" s="417"/>
      <c r="M1937" s="347"/>
      <c r="N1937" s="298"/>
      <c r="O1937" s="347"/>
      <c r="Q1937" s="442"/>
      <c r="R1937" s="403" t="str">
        <f t="shared" si="119"/>
        <v>DELETE</v>
      </c>
    </row>
    <row r="1938" spans="2:18" ht="31.5" customHeight="1" x14ac:dyDescent="0.45">
      <c r="B1938" s="323">
        <f>MAX(B$559:B1937)+1</f>
        <v>25</v>
      </c>
      <c r="C1938" s="417" t="s">
        <v>421</v>
      </c>
      <c r="M1938" s="347"/>
      <c r="N1938" s="298"/>
      <c r="O1938" s="347"/>
      <c r="Q1938" s="442"/>
      <c r="R1938" s="403" t="str">
        <f t="shared" si="119"/>
        <v>DELETE</v>
      </c>
    </row>
    <row r="1939" spans="2:18" ht="31.5" customHeight="1" x14ac:dyDescent="0.45">
      <c r="B1939" s="323"/>
      <c r="C1939" s="417"/>
      <c r="D1939" s="400" t="s">
        <v>422</v>
      </c>
      <c r="M1939" s="347">
        <f>-TrialBalance!L379-TrialBalance!L378</f>
        <v>0</v>
      </c>
      <c r="N1939" s="298"/>
      <c r="O1939" s="347">
        <f>-TrialBalance!N379-TrialBalance!N378</f>
        <v>0</v>
      </c>
      <c r="Q1939" s="442"/>
      <c r="R1939" s="403" t="str">
        <f t="shared" ref="R1939:R1944" si="120">IF(M1939+O1939=0,"DELETE"," ")</f>
        <v>DELETE</v>
      </c>
    </row>
    <row r="1940" spans="2:18" ht="31.5" customHeight="1" x14ac:dyDescent="0.45">
      <c r="B1940" s="323"/>
      <c r="C1940" s="417"/>
      <c r="D1940" s="400" t="s">
        <v>579</v>
      </c>
      <c r="M1940" s="347">
        <f>-TrialBalance!L380</f>
        <v>0</v>
      </c>
      <c r="N1940" s="298"/>
      <c r="O1940" s="347">
        <f>-TrialBalance!N380</f>
        <v>0</v>
      </c>
      <c r="Q1940" s="442"/>
      <c r="R1940" s="403" t="str">
        <f t="shared" si="120"/>
        <v>DELETE</v>
      </c>
    </row>
    <row r="1941" spans="2:18" ht="31.5" customHeight="1" x14ac:dyDescent="0.45">
      <c r="B1941" s="323"/>
      <c r="C1941" s="417"/>
      <c r="D1941" s="400" t="s">
        <v>754</v>
      </c>
      <c r="M1941" s="347">
        <f>-TrialBalance!L381</f>
        <v>0</v>
      </c>
      <c r="N1941" s="298"/>
      <c r="O1941" s="347">
        <f>-TrialBalance!N381</f>
        <v>0</v>
      </c>
      <c r="Q1941" s="442"/>
      <c r="R1941" s="403" t="str">
        <f t="shared" si="120"/>
        <v>DELETE</v>
      </c>
    </row>
    <row r="1942" spans="2:18" ht="31.5" customHeight="1" x14ac:dyDescent="0.45">
      <c r="B1942" s="323"/>
      <c r="C1942" s="417"/>
      <c r="D1942" s="400" t="s">
        <v>580</v>
      </c>
      <c r="M1942" s="347">
        <f>-TrialBalance!L382</f>
        <v>0</v>
      </c>
      <c r="N1942" s="298"/>
      <c r="O1942" s="347">
        <f>-TrialBalance!N382</f>
        <v>0</v>
      </c>
      <c r="Q1942" s="442"/>
      <c r="R1942" s="403" t="str">
        <f t="shared" si="120"/>
        <v>DELETE</v>
      </c>
    </row>
    <row r="1943" spans="2:18" ht="31.5" customHeight="1" x14ac:dyDescent="0.45">
      <c r="B1943" s="323"/>
      <c r="C1943" s="417"/>
      <c r="D1943" s="400" t="s">
        <v>749</v>
      </c>
      <c r="M1943" s="347">
        <f>-TrialBalance!L383</f>
        <v>0</v>
      </c>
      <c r="N1943" s="298"/>
      <c r="O1943" s="347">
        <f>-TrialBalance!N383</f>
        <v>0</v>
      </c>
      <c r="Q1943" s="442"/>
      <c r="R1943" s="403" t="str">
        <f t="shared" si="120"/>
        <v>DELETE</v>
      </c>
    </row>
    <row r="1944" spans="2:18" ht="31.5" customHeight="1" x14ac:dyDescent="0.45">
      <c r="B1944" s="323"/>
      <c r="C1944" s="417"/>
      <c r="D1944" s="400" t="s">
        <v>565</v>
      </c>
      <c r="M1944" s="347">
        <f>IF(TrialBalance!L398&lt;0,-TrialBalance!L398,0)</f>
        <v>0</v>
      </c>
      <c r="N1944" s="298"/>
      <c r="O1944" s="347">
        <f>IF(TrialBalance!N398&lt;0,-TrialBalance!N398,0)</f>
        <v>0</v>
      </c>
      <c r="Q1944" s="442"/>
      <c r="R1944" s="403" t="str">
        <f t="shared" si="120"/>
        <v>DELETE</v>
      </c>
    </row>
    <row r="1945" spans="2:18" ht="9" customHeight="1" x14ac:dyDescent="0.45">
      <c r="B1945" s="323"/>
      <c r="C1945" s="417"/>
      <c r="M1945" s="349"/>
      <c r="N1945" s="300"/>
      <c r="O1945" s="349"/>
      <c r="Q1945" s="442"/>
      <c r="R1945" s="403" t="str">
        <f t="shared" ref="R1945:R1953" si="121">R$1947</f>
        <v>DELETE</v>
      </c>
    </row>
    <row r="1946" spans="2:18" ht="9" customHeight="1" x14ac:dyDescent="0.45">
      <c r="B1946" s="323"/>
      <c r="C1946" s="417"/>
      <c r="M1946" s="347"/>
      <c r="N1946" s="298"/>
      <c r="O1946" s="347"/>
      <c r="Q1946" s="442"/>
      <c r="R1946" s="403" t="str">
        <f t="shared" si="121"/>
        <v>DELETE</v>
      </c>
    </row>
    <row r="1947" spans="2:18" ht="31.5" customHeight="1" x14ac:dyDescent="0.45">
      <c r="B1947" s="323"/>
      <c r="C1947" s="417"/>
      <c r="M1947" s="347">
        <f>SUM(M1939:M1946)</f>
        <v>0</v>
      </c>
      <c r="N1947" s="298"/>
      <c r="O1947" s="347">
        <f>SUM(O1939:O1946)</f>
        <v>0</v>
      </c>
      <c r="Q1947" s="442"/>
      <c r="R1947" s="403" t="str">
        <f>IF(M1947+O1947=0,"DELETE"," ")</f>
        <v>DELETE</v>
      </c>
    </row>
    <row r="1948" spans="2:18" ht="9" customHeight="1" thickBot="1" x14ac:dyDescent="0.5">
      <c r="B1948" s="323"/>
      <c r="C1948" s="417"/>
      <c r="M1948" s="351"/>
      <c r="N1948" s="301"/>
      <c r="O1948" s="351"/>
      <c r="Q1948" s="442"/>
      <c r="R1948" s="403" t="str">
        <f t="shared" si="121"/>
        <v>DELETE</v>
      </c>
    </row>
    <row r="1949" spans="2:18" ht="9" customHeight="1" thickTop="1" x14ac:dyDescent="0.45">
      <c r="B1949" s="323"/>
      <c r="C1949" s="417"/>
      <c r="M1949" s="363"/>
      <c r="N1949" s="314"/>
      <c r="O1949" s="363"/>
      <c r="Q1949" s="442"/>
      <c r="R1949" s="403" t="str">
        <f t="shared" si="121"/>
        <v>DELETE</v>
      </c>
    </row>
    <row r="1950" spans="2:18" ht="31.5" customHeight="1" x14ac:dyDescent="0.45">
      <c r="B1950" s="323"/>
      <c r="C1950" s="417"/>
      <c r="M1950" s="347"/>
      <c r="N1950" s="298"/>
      <c r="O1950" s="347"/>
      <c r="Q1950" s="442"/>
      <c r="R1950" s="403" t="str">
        <f t="shared" si="121"/>
        <v>DELETE</v>
      </c>
    </row>
    <row r="1951" spans="2:18" ht="31.5" customHeight="1" x14ac:dyDescent="0.45">
      <c r="B1951" s="323"/>
      <c r="C1951" s="417"/>
      <c r="M1951" s="347"/>
      <c r="N1951" s="298"/>
      <c r="O1951" s="347"/>
      <c r="Q1951" s="442"/>
      <c r="R1951" s="403" t="str">
        <f t="shared" si="121"/>
        <v>DELETE</v>
      </c>
    </row>
    <row r="1952" spans="2:18" ht="31.5" customHeight="1" x14ac:dyDescent="0.45">
      <c r="B1952" s="324"/>
      <c r="C1952" s="465"/>
      <c r="D1952" s="429"/>
      <c r="E1952" s="429"/>
      <c r="F1952" s="429"/>
      <c r="G1952" s="429"/>
      <c r="H1952" s="429"/>
      <c r="I1952" s="429"/>
      <c r="J1952" s="429"/>
      <c r="K1952" s="429"/>
      <c r="L1952" s="429"/>
      <c r="M1952" s="349"/>
      <c r="N1952" s="300"/>
      <c r="O1952" s="349"/>
      <c r="P1952" s="433"/>
      <c r="Q1952" s="446"/>
      <c r="R1952" s="403" t="str">
        <f t="shared" si="121"/>
        <v>DELETE</v>
      </c>
    </row>
    <row r="1953" spans="2:18" ht="31.5" customHeight="1" x14ac:dyDescent="0.45">
      <c r="B1953" s="325"/>
      <c r="C1953" s="417"/>
      <c r="M1953" s="347"/>
      <c r="N1953" s="298"/>
      <c r="O1953" s="347"/>
      <c r="R1953" s="403" t="str">
        <f t="shared" si="121"/>
        <v>DELETE</v>
      </c>
    </row>
    <row r="1954" spans="2:18" ht="31.5" customHeight="1" x14ac:dyDescent="0.45">
      <c r="B1954" s="422"/>
      <c r="M1954" s="426"/>
      <c r="N1954" s="406"/>
      <c r="O1954" s="426"/>
      <c r="R1954" s="403" t="str">
        <f>R$1973</f>
        <v>DELETE</v>
      </c>
    </row>
    <row r="1955" spans="2:18" ht="31.5" customHeight="1" x14ac:dyDescent="0.45">
      <c r="B1955" s="422"/>
      <c r="D1955" s="417" t="str">
        <f>Criteria!E9</f>
        <v>HOLDING COMPANY 268 (PROPRIETARY) LIMITED</v>
      </c>
      <c r="M1955" s="426"/>
      <c r="N1955" s="406"/>
      <c r="O1955" s="347" t="s">
        <v>96</v>
      </c>
      <c r="Q1955" s="292">
        <f>MAX($Q$114:Q1954)+1</f>
        <v>48</v>
      </c>
      <c r="R1955" s="403" t="str">
        <f t="shared" ref="R1955:R1964" si="122">R$1973</f>
        <v>DELETE</v>
      </c>
    </row>
    <row r="1956" spans="2:18" ht="31.5" customHeight="1" x14ac:dyDescent="0.45">
      <c r="B1956" s="422"/>
      <c r="D1956" s="417" t="str">
        <f>Criteria!E10</f>
        <v>CONSOLIDATED FINANCIAL STATEMENTS</v>
      </c>
      <c r="M1956" s="426"/>
      <c r="N1956" s="406"/>
      <c r="O1956" s="426"/>
      <c r="R1956" s="403" t="str">
        <f>IF(R$1973="DELETE","DELETE",IF(D1956=0,"DELETE"," "))</f>
        <v>DELETE</v>
      </c>
    </row>
    <row r="1957" spans="2:18" ht="31.5" customHeight="1" x14ac:dyDescent="0.45">
      <c r="B1957" s="422"/>
      <c r="M1957" s="426"/>
      <c r="N1957" s="406"/>
      <c r="O1957" s="426"/>
      <c r="R1957" s="403" t="str">
        <f t="shared" si="122"/>
        <v>DELETE</v>
      </c>
    </row>
    <row r="1958" spans="2:18" ht="31.5" customHeight="1" x14ac:dyDescent="0.45">
      <c r="B1958" s="422"/>
      <c r="D1958" s="417" t="s">
        <v>377</v>
      </c>
      <c r="M1958" s="426"/>
      <c r="N1958" s="406"/>
      <c r="O1958" s="426"/>
      <c r="R1958" s="403" t="str">
        <f t="shared" si="122"/>
        <v>DELETE</v>
      </c>
    </row>
    <row r="1959" spans="2:18" ht="31.5" customHeight="1" x14ac:dyDescent="0.45">
      <c r="B1959" s="422"/>
      <c r="D1959" s="417" t="str">
        <f>Criteria!E20</f>
        <v>29 FEBRUARY 2024</v>
      </c>
      <c r="J1959" s="400" t="s">
        <v>247</v>
      </c>
      <c r="M1959" s="426"/>
      <c r="N1959" s="406"/>
      <c r="O1959" s="426"/>
      <c r="R1959" s="403" t="str">
        <f t="shared" si="122"/>
        <v>DELETE</v>
      </c>
    </row>
    <row r="1960" spans="2:18" ht="31.5" customHeight="1" x14ac:dyDescent="0.45">
      <c r="B1960" s="422"/>
      <c r="M1960" s="437"/>
      <c r="N1960" s="461"/>
      <c r="O1960" s="437"/>
      <c r="R1960" s="403" t="str">
        <f t="shared" si="122"/>
        <v>DELETE</v>
      </c>
    </row>
    <row r="1961" spans="2:18" ht="31.5" customHeight="1" x14ac:dyDescent="0.45">
      <c r="B1961" s="457"/>
      <c r="C1961" s="439"/>
      <c r="D1961" s="439"/>
      <c r="E1961" s="439"/>
      <c r="F1961" s="439"/>
      <c r="G1961" s="439"/>
      <c r="H1961" s="439"/>
      <c r="I1961" s="439"/>
      <c r="J1961" s="439"/>
      <c r="K1961" s="439"/>
      <c r="L1961" s="439"/>
      <c r="M1961" s="469"/>
      <c r="N1961" s="470"/>
      <c r="O1961" s="469"/>
      <c r="P1961" s="448"/>
      <c r="Q1961" s="440"/>
      <c r="R1961" s="403" t="str">
        <f t="shared" si="122"/>
        <v>DELETE</v>
      </c>
    </row>
    <row r="1962" spans="2:18" ht="31.5" customHeight="1" x14ac:dyDescent="0.45">
      <c r="B1962" s="459"/>
      <c r="M1962" s="344">
        <f>Criteria!E22</f>
        <v>2024</v>
      </c>
      <c r="N1962" s="294"/>
      <c r="O1962" s="344">
        <f>Criteria!E27</f>
        <v>2023</v>
      </c>
      <c r="Q1962" s="442"/>
      <c r="R1962" s="403" t="str">
        <f t="shared" si="122"/>
        <v>DELETE</v>
      </c>
    </row>
    <row r="1963" spans="2:18" ht="31.5" customHeight="1" x14ac:dyDescent="0.45">
      <c r="B1963" s="323"/>
      <c r="C1963" s="417"/>
      <c r="M1963" s="347"/>
      <c r="N1963" s="298"/>
      <c r="O1963" s="347"/>
      <c r="Q1963" s="442"/>
      <c r="R1963" s="403" t="str">
        <f t="shared" si="122"/>
        <v>DELETE</v>
      </c>
    </row>
    <row r="1964" spans="2:18" ht="31.5" customHeight="1" x14ac:dyDescent="0.45">
      <c r="B1964" s="323">
        <f>MAX(B$559:B1963)+1</f>
        <v>26</v>
      </c>
      <c r="C1964" s="417" t="str">
        <f>IF(COUNTIF(TrialBalance!N366:N371,"&lt;0")&gt;1,"BANK OVERDRAFTS",IF(COUNTIF(TrialBalance!L366:L371,"&lt;0")&gt;1,"BANK OVERDRAFTS","BANK OVERDRAFT"))</f>
        <v>BANK OVERDRAFT</v>
      </c>
      <c r="M1964" s="347"/>
      <c r="N1964" s="298"/>
      <c r="O1964" s="347"/>
      <c r="Q1964" s="442"/>
      <c r="R1964" s="403" t="str">
        <f t="shared" si="122"/>
        <v>DELETE</v>
      </c>
    </row>
    <row r="1965" spans="2:18" ht="31.5" customHeight="1" x14ac:dyDescent="0.45">
      <c r="B1965" s="323"/>
      <c r="C1965" s="417"/>
      <c r="D1965" s="400">
        <f>TrialBalance!C366</f>
        <v>0</v>
      </c>
      <c r="M1965" s="347">
        <f>IF(TrialBalance!L366&lt;0,-TrialBalance!L366,0)</f>
        <v>0</v>
      </c>
      <c r="N1965" s="298"/>
      <c r="O1965" s="347">
        <f>IF(TrialBalance!N366&lt;0,-TrialBalance!N366,0)</f>
        <v>0</v>
      </c>
      <c r="Q1965" s="442"/>
      <c r="R1965" s="403" t="str">
        <f>IF(M1965+O1965=0,"DELETE"," ")</f>
        <v>DELETE</v>
      </c>
    </row>
    <row r="1966" spans="2:18" ht="31.5" customHeight="1" x14ac:dyDescent="0.45">
      <c r="B1966" s="323"/>
      <c r="C1966" s="417"/>
      <c r="D1966" s="400">
        <f>TrialBalance!C367</f>
        <v>0</v>
      </c>
      <c r="M1966" s="347">
        <f>IF(TrialBalance!L367&lt;0,-TrialBalance!L367,0)</f>
        <v>0</v>
      </c>
      <c r="N1966" s="298"/>
      <c r="O1966" s="347">
        <f>IF(TrialBalance!N367&lt;0,-TrialBalance!N367,0)</f>
        <v>0</v>
      </c>
      <c r="Q1966" s="442"/>
      <c r="R1966" s="403" t="str">
        <f>IF(M1966+O1966=0,"DELETE"," ")</f>
        <v>DELETE</v>
      </c>
    </row>
    <row r="1967" spans="2:18" ht="31.5" customHeight="1" x14ac:dyDescent="0.45">
      <c r="B1967" s="323"/>
      <c r="C1967" s="417"/>
      <c r="D1967" s="400">
        <f>TrialBalance!C368</f>
        <v>0</v>
      </c>
      <c r="M1967" s="347">
        <f>IF(TrialBalance!L368&lt;0,-TrialBalance!L368,0)</f>
        <v>0</v>
      </c>
      <c r="N1967" s="298"/>
      <c r="O1967" s="347">
        <f>IF(TrialBalance!N368&lt;0,-TrialBalance!N368,0)</f>
        <v>0</v>
      </c>
      <c r="Q1967" s="442"/>
      <c r="R1967" s="403" t="str">
        <f>IF(M1967+O1967=0,"DELETE"," ")</f>
        <v>DELETE</v>
      </c>
    </row>
    <row r="1968" spans="2:18" ht="31.5" customHeight="1" x14ac:dyDescent="0.45">
      <c r="B1968" s="323"/>
      <c r="C1968" s="417"/>
      <c r="D1968" s="400">
        <f>TrialBalance!C369</f>
        <v>0</v>
      </c>
      <c r="M1968" s="347">
        <f>IF(TrialBalance!L369&lt;0,-TrialBalance!L369,0)</f>
        <v>0</v>
      </c>
      <c r="N1968" s="298"/>
      <c r="O1968" s="347">
        <f>IF(TrialBalance!N369&lt;0,-TrialBalance!N369,0)</f>
        <v>0</v>
      </c>
      <c r="Q1968" s="442"/>
      <c r="R1968" s="403" t="str">
        <f>IF(M1968+O1968=0,"DELETE"," ")</f>
        <v>DELETE</v>
      </c>
    </row>
    <row r="1969" spans="2:18" ht="31.5" customHeight="1" x14ac:dyDescent="0.45">
      <c r="B1969" s="323"/>
      <c r="C1969" s="417"/>
      <c r="D1969" s="400">
        <f>TrialBalance!C370</f>
        <v>0</v>
      </c>
      <c r="M1969" s="347">
        <f>IF(TrialBalance!L370&lt;0,-TrialBalance!L370,0)</f>
        <v>0</v>
      </c>
      <c r="N1969" s="298"/>
      <c r="O1969" s="347">
        <f>IF(TrialBalance!N370&lt;0,-TrialBalance!N370,0)</f>
        <v>0</v>
      </c>
      <c r="Q1969" s="442"/>
      <c r="R1969" s="403" t="str">
        <f t="shared" ref="R1969:R1970" si="123">IF(M1969+O1969=0,"DELETE"," ")</f>
        <v>DELETE</v>
      </c>
    </row>
    <row r="1970" spans="2:18" ht="31.5" customHeight="1" x14ac:dyDescent="0.45">
      <c r="B1970" s="323"/>
      <c r="C1970" s="417"/>
      <c r="D1970" s="400">
        <f>TrialBalance!C371</f>
        <v>0</v>
      </c>
      <c r="M1970" s="347">
        <f>IF(TrialBalance!L371&lt;0,-TrialBalance!L371,0)</f>
        <v>0</v>
      </c>
      <c r="N1970" s="298"/>
      <c r="O1970" s="347">
        <f>IF(TrialBalance!N371&lt;0,-TrialBalance!N371,0)</f>
        <v>0</v>
      </c>
      <c r="Q1970" s="442"/>
      <c r="R1970" s="403" t="str">
        <f t="shared" si="123"/>
        <v>DELETE</v>
      </c>
    </row>
    <row r="1971" spans="2:18" ht="9" customHeight="1" x14ac:dyDescent="0.45">
      <c r="B1971" s="323"/>
      <c r="C1971" s="417"/>
      <c r="M1971" s="349"/>
      <c r="N1971" s="300"/>
      <c r="O1971" s="349"/>
      <c r="Q1971" s="442"/>
      <c r="R1971" s="403" t="str">
        <f t="shared" ref="R1971:R1979" si="124">R$1973</f>
        <v>DELETE</v>
      </c>
    </row>
    <row r="1972" spans="2:18" ht="9" customHeight="1" x14ac:dyDescent="0.45">
      <c r="B1972" s="323"/>
      <c r="C1972" s="417"/>
      <c r="M1972" s="347"/>
      <c r="N1972" s="298"/>
      <c r="O1972" s="347"/>
      <c r="Q1972" s="442"/>
      <c r="R1972" s="403" t="str">
        <f t="shared" si="124"/>
        <v>DELETE</v>
      </c>
    </row>
    <row r="1973" spans="2:18" ht="31.5" customHeight="1" x14ac:dyDescent="0.45">
      <c r="B1973" s="323"/>
      <c r="C1973" s="417"/>
      <c r="M1973" s="347">
        <f>SUM(M1965:M1972)</f>
        <v>0</v>
      </c>
      <c r="N1973" s="298"/>
      <c r="O1973" s="347">
        <f>SUM(O1965:O1972)</f>
        <v>0</v>
      </c>
      <c r="Q1973" s="442"/>
      <c r="R1973" s="403" t="str">
        <f>IF(M1973+O1973=0,"DELETE"," ")</f>
        <v>DELETE</v>
      </c>
    </row>
    <row r="1974" spans="2:18" ht="9" customHeight="1" thickBot="1" x14ac:dyDescent="0.5">
      <c r="B1974" s="323"/>
      <c r="C1974" s="417"/>
      <c r="M1974" s="351"/>
      <c r="N1974" s="301"/>
      <c r="O1974" s="351"/>
      <c r="Q1974" s="442"/>
      <c r="R1974" s="403" t="str">
        <f t="shared" si="124"/>
        <v>DELETE</v>
      </c>
    </row>
    <row r="1975" spans="2:18" ht="9" customHeight="1" thickTop="1" x14ac:dyDescent="0.45">
      <c r="B1975" s="323"/>
      <c r="C1975" s="417"/>
      <c r="M1975" s="363"/>
      <c r="N1975" s="314"/>
      <c r="O1975" s="363"/>
      <c r="Q1975" s="442"/>
      <c r="R1975" s="403" t="str">
        <f t="shared" si="124"/>
        <v>DELETE</v>
      </c>
    </row>
    <row r="1976" spans="2:18" ht="31.5" customHeight="1" x14ac:dyDescent="0.45">
      <c r="B1976" s="323"/>
      <c r="C1976" s="417"/>
      <c r="M1976" s="347"/>
      <c r="N1976" s="298"/>
      <c r="O1976" s="347"/>
      <c r="Q1976" s="442"/>
      <c r="R1976" s="403" t="str">
        <f t="shared" si="124"/>
        <v>DELETE</v>
      </c>
    </row>
    <row r="1977" spans="2:18" ht="31.5" customHeight="1" x14ac:dyDescent="0.45">
      <c r="B1977" s="323"/>
      <c r="C1977" s="417"/>
      <c r="M1977" s="347"/>
      <c r="N1977" s="298"/>
      <c r="O1977" s="347"/>
      <c r="Q1977" s="442"/>
      <c r="R1977" s="403" t="str">
        <f t="shared" si="124"/>
        <v>DELETE</v>
      </c>
    </row>
    <row r="1978" spans="2:18" ht="31.5" customHeight="1" x14ac:dyDescent="0.45">
      <c r="B1978" s="324"/>
      <c r="C1978" s="465"/>
      <c r="D1978" s="429"/>
      <c r="E1978" s="429"/>
      <c r="F1978" s="429"/>
      <c r="G1978" s="429"/>
      <c r="H1978" s="429"/>
      <c r="I1978" s="429"/>
      <c r="J1978" s="429"/>
      <c r="K1978" s="429"/>
      <c r="L1978" s="429"/>
      <c r="M1978" s="349"/>
      <c r="N1978" s="300"/>
      <c r="O1978" s="349"/>
      <c r="P1978" s="433"/>
      <c r="Q1978" s="446"/>
      <c r="R1978" s="403" t="str">
        <f t="shared" si="124"/>
        <v>DELETE</v>
      </c>
    </row>
    <row r="1979" spans="2:18" ht="31.5" customHeight="1" x14ac:dyDescent="0.45">
      <c r="B1979" s="422"/>
      <c r="M1979" s="426"/>
      <c r="N1979" s="406"/>
      <c r="O1979" s="426"/>
      <c r="R1979" s="403" t="str">
        <f t="shared" si="124"/>
        <v>DELETE</v>
      </c>
    </row>
    <row r="1980" spans="2:18" ht="31.5" customHeight="1" x14ac:dyDescent="0.45">
      <c r="B1980" s="422"/>
      <c r="M1980" s="426"/>
      <c r="N1980" s="406"/>
      <c r="O1980" s="426"/>
      <c r="R1980" s="403" t="str">
        <f>R$1996</f>
        <v>DELETE</v>
      </c>
    </row>
    <row r="1981" spans="2:18" ht="31.5" customHeight="1" x14ac:dyDescent="0.45">
      <c r="B1981" s="422"/>
      <c r="D1981" s="417" t="str">
        <f>Criteria!E9</f>
        <v>HOLDING COMPANY 268 (PROPRIETARY) LIMITED</v>
      </c>
      <c r="M1981" s="426"/>
      <c r="N1981" s="406"/>
      <c r="O1981" s="347" t="s">
        <v>96</v>
      </c>
      <c r="Q1981" s="292">
        <f>MAX($Q$114:Q1980)+1</f>
        <v>49</v>
      </c>
      <c r="R1981" s="403" t="str">
        <f t="shared" ref="R1981:R1990" si="125">R$1996</f>
        <v>DELETE</v>
      </c>
    </row>
    <row r="1982" spans="2:18" ht="31.5" customHeight="1" x14ac:dyDescent="0.45">
      <c r="B1982" s="422"/>
      <c r="D1982" s="417" t="str">
        <f>Criteria!E10</f>
        <v>CONSOLIDATED FINANCIAL STATEMENTS</v>
      </c>
      <c r="M1982" s="426"/>
      <c r="N1982" s="406"/>
      <c r="O1982" s="426"/>
      <c r="R1982" s="403" t="str">
        <f>IF(R$1996="DELETE","DELETE",IF(D1982=0,"DELETE"," "))</f>
        <v>DELETE</v>
      </c>
    </row>
    <row r="1983" spans="2:18" ht="31.5" customHeight="1" x14ac:dyDescent="0.45">
      <c r="B1983" s="422"/>
      <c r="M1983" s="426"/>
      <c r="N1983" s="406"/>
      <c r="O1983" s="426"/>
      <c r="R1983" s="403" t="str">
        <f t="shared" si="125"/>
        <v>DELETE</v>
      </c>
    </row>
    <row r="1984" spans="2:18" ht="31.5" customHeight="1" x14ac:dyDescent="0.45">
      <c r="B1984" s="422"/>
      <c r="D1984" s="417" t="s">
        <v>377</v>
      </c>
      <c r="M1984" s="426"/>
      <c r="N1984" s="406"/>
      <c r="O1984" s="426"/>
      <c r="R1984" s="403" t="str">
        <f t="shared" si="125"/>
        <v>DELETE</v>
      </c>
    </row>
    <row r="1985" spans="2:23" ht="31.5" customHeight="1" x14ac:dyDescent="0.45">
      <c r="B1985" s="422"/>
      <c r="D1985" s="417" t="str">
        <f>Criteria!E20</f>
        <v>29 FEBRUARY 2024</v>
      </c>
      <c r="J1985" s="400" t="s">
        <v>247</v>
      </c>
      <c r="M1985" s="426"/>
      <c r="N1985" s="406"/>
      <c r="O1985" s="426"/>
      <c r="R1985" s="403" t="str">
        <f t="shared" si="125"/>
        <v>DELETE</v>
      </c>
    </row>
    <row r="1986" spans="2:23" ht="31.5" customHeight="1" x14ac:dyDescent="0.45">
      <c r="B1986" s="422"/>
      <c r="D1986" s="417"/>
      <c r="M1986" s="426"/>
      <c r="N1986" s="406"/>
      <c r="O1986" s="426"/>
      <c r="R1986" s="403" t="str">
        <f t="shared" si="125"/>
        <v>DELETE</v>
      </c>
    </row>
    <row r="1987" spans="2:23" ht="31.5" customHeight="1" x14ac:dyDescent="0.45">
      <c r="B1987" s="326"/>
      <c r="C1987" s="458"/>
      <c r="D1987" s="439"/>
      <c r="E1987" s="439"/>
      <c r="F1987" s="439"/>
      <c r="G1987" s="439"/>
      <c r="H1987" s="439"/>
      <c r="I1987" s="439"/>
      <c r="J1987" s="439"/>
      <c r="K1987" s="439"/>
      <c r="L1987" s="439"/>
      <c r="M1987" s="362"/>
      <c r="N1987" s="299"/>
      <c r="O1987" s="362"/>
      <c r="P1987" s="448"/>
      <c r="Q1987" s="440"/>
      <c r="R1987" s="403" t="str">
        <f t="shared" si="125"/>
        <v>DELETE</v>
      </c>
    </row>
    <row r="1988" spans="2:23" ht="31.5" customHeight="1" x14ac:dyDescent="0.45">
      <c r="B1988" s="323"/>
      <c r="C1988" s="417"/>
      <c r="M1988" s="344">
        <f>Criteria!E22</f>
        <v>2024</v>
      </c>
      <c r="N1988" s="294"/>
      <c r="O1988" s="344">
        <f>Criteria!E27</f>
        <v>2023</v>
      </c>
      <c r="Q1988" s="442"/>
      <c r="R1988" s="403" t="str">
        <f t="shared" si="125"/>
        <v>DELETE</v>
      </c>
    </row>
    <row r="1989" spans="2:23" ht="31.5" customHeight="1" x14ac:dyDescent="0.45">
      <c r="B1989" s="323"/>
      <c r="C1989" s="417"/>
      <c r="M1989" s="347"/>
      <c r="N1989" s="298"/>
      <c r="O1989" s="347"/>
      <c r="Q1989" s="442"/>
      <c r="R1989" s="403" t="str">
        <f t="shared" si="125"/>
        <v>DELETE</v>
      </c>
    </row>
    <row r="1990" spans="2:23" ht="31.5" customHeight="1" x14ac:dyDescent="0.45">
      <c r="B1990" s="323">
        <f>MAX(B$559:B1989)+1</f>
        <v>27</v>
      </c>
      <c r="C1990" s="417" t="str">
        <f>IF(COUNTIF(TrialBalance!N374:N376,"&lt;0")&gt;1,"SHORT TERM LOANS",IF(COUNTIF(TrialBalance!L374:L376,"&lt;0")&gt;1,"SHORT TERM LOANS","SHORT TERM LOAN"))</f>
        <v>SHORT TERM LOAN</v>
      </c>
      <c r="M1990" s="347"/>
      <c r="N1990" s="298"/>
      <c r="O1990" s="347"/>
      <c r="Q1990" s="442"/>
      <c r="R1990" s="403" t="str">
        <f t="shared" si="125"/>
        <v>DELETE</v>
      </c>
    </row>
    <row r="1991" spans="2:23" ht="31.5" customHeight="1" x14ac:dyDescent="0.45">
      <c r="B1991" s="323"/>
      <c r="C1991" s="417"/>
      <c r="D1991" s="400">
        <f>TrialBalance!C374</f>
        <v>0</v>
      </c>
      <c r="M1991" s="347">
        <f>-TrialBalance!L374</f>
        <v>0</v>
      </c>
      <c r="N1991" s="298"/>
      <c r="O1991" s="347">
        <f>-TrialBalance!N374</f>
        <v>0</v>
      </c>
      <c r="Q1991" s="442"/>
      <c r="R1991" s="403" t="str">
        <f>IF(M1991+O1991=0,"DELETE"," ")</f>
        <v>DELETE</v>
      </c>
      <c r="S1991" s="380"/>
      <c r="T1991" s="380"/>
      <c r="U1991" s="380"/>
      <c r="V1991" s="381"/>
      <c r="W1991" s="381"/>
    </row>
    <row r="1992" spans="2:23" ht="31.5" customHeight="1" x14ac:dyDescent="0.45">
      <c r="B1992" s="323"/>
      <c r="C1992" s="417"/>
      <c r="D1992" s="400">
        <f>TrialBalance!C375</f>
        <v>0</v>
      </c>
      <c r="M1992" s="347">
        <f>-TrialBalance!L375</f>
        <v>0</v>
      </c>
      <c r="N1992" s="298"/>
      <c r="O1992" s="347">
        <f>-TrialBalance!N375</f>
        <v>0</v>
      </c>
      <c r="Q1992" s="442"/>
      <c r="R1992" s="403" t="str">
        <f>IF(M1992+O1992=0,"DELETE"," ")</f>
        <v>DELETE</v>
      </c>
      <c r="S1992" s="380"/>
      <c r="T1992" s="380"/>
      <c r="U1992" s="380"/>
      <c r="V1992" s="381"/>
      <c r="W1992" s="381"/>
    </row>
    <row r="1993" spans="2:23" ht="31.5" customHeight="1" x14ac:dyDescent="0.45">
      <c r="B1993" s="323"/>
      <c r="C1993" s="417"/>
      <c r="D1993" s="400">
        <f>TrialBalance!C376</f>
        <v>0</v>
      </c>
      <c r="M1993" s="347">
        <f>-TrialBalance!L376</f>
        <v>0</v>
      </c>
      <c r="N1993" s="298"/>
      <c r="O1993" s="347">
        <f>-TrialBalance!N376</f>
        <v>0</v>
      </c>
      <c r="Q1993" s="442"/>
      <c r="R1993" s="403" t="str">
        <f>IF(M1993+O1993=0,"DELETE"," ")</f>
        <v>DELETE</v>
      </c>
      <c r="S1993" s="380"/>
      <c r="T1993" s="380"/>
      <c r="U1993" s="380"/>
      <c r="V1993" s="381"/>
      <c r="W1993" s="381"/>
    </row>
    <row r="1994" spans="2:23" ht="9" customHeight="1" x14ac:dyDescent="0.45">
      <c r="B1994" s="323"/>
      <c r="C1994" s="417"/>
      <c r="M1994" s="349"/>
      <c r="N1994" s="300"/>
      <c r="O1994" s="349"/>
      <c r="Q1994" s="442"/>
      <c r="R1994" s="403" t="str">
        <f t="shared" ref="R1994:R2002" si="126">R$1996</f>
        <v>DELETE</v>
      </c>
    </row>
    <row r="1995" spans="2:23" ht="9" customHeight="1" x14ac:dyDescent="0.45">
      <c r="B1995" s="323"/>
      <c r="C1995" s="417"/>
      <c r="M1995" s="347"/>
      <c r="N1995" s="298"/>
      <c r="O1995" s="347"/>
      <c r="Q1995" s="442"/>
      <c r="R1995" s="403" t="str">
        <f t="shared" si="126"/>
        <v>DELETE</v>
      </c>
    </row>
    <row r="1996" spans="2:23" ht="31.5" customHeight="1" x14ac:dyDescent="0.45">
      <c r="B1996" s="323"/>
      <c r="C1996" s="417"/>
      <c r="M1996" s="347">
        <f>SUM(M1991:M1995)</f>
        <v>0</v>
      </c>
      <c r="N1996" s="298"/>
      <c r="O1996" s="347">
        <f>SUM(O1991:O1995)</f>
        <v>0</v>
      </c>
      <c r="Q1996" s="442"/>
      <c r="R1996" s="403" t="str">
        <f>IF(M1996+O1996=0,"DELETE"," ")</f>
        <v>DELETE</v>
      </c>
    </row>
    <row r="1997" spans="2:23" ht="9" customHeight="1" thickBot="1" x14ac:dyDescent="0.5">
      <c r="B1997" s="323"/>
      <c r="C1997" s="417"/>
      <c r="M1997" s="351"/>
      <c r="N1997" s="301"/>
      <c r="O1997" s="351"/>
      <c r="Q1997" s="442"/>
      <c r="R1997" s="403" t="str">
        <f t="shared" si="126"/>
        <v>DELETE</v>
      </c>
    </row>
    <row r="1998" spans="2:23" ht="9" customHeight="1" thickTop="1" x14ac:dyDescent="0.45">
      <c r="B1998" s="323"/>
      <c r="C1998" s="417"/>
      <c r="M1998" s="363"/>
      <c r="N1998" s="314"/>
      <c r="O1998" s="363"/>
      <c r="Q1998" s="442"/>
      <c r="R1998" s="403" t="str">
        <f t="shared" si="126"/>
        <v>DELETE</v>
      </c>
    </row>
    <row r="1999" spans="2:23" ht="31.5" customHeight="1" x14ac:dyDescent="0.45">
      <c r="B1999" s="323"/>
      <c r="C1999" s="417"/>
      <c r="M1999" s="347"/>
      <c r="N1999" s="298"/>
      <c r="O1999" s="347"/>
      <c r="Q1999" s="442"/>
      <c r="R1999" s="403" t="str">
        <f t="shared" si="126"/>
        <v>DELETE</v>
      </c>
    </row>
    <row r="2000" spans="2:23" ht="31.5" customHeight="1" x14ac:dyDescent="0.45">
      <c r="B2000" s="323"/>
      <c r="C2000" s="417"/>
      <c r="M2000" s="347"/>
      <c r="N2000" s="298"/>
      <c r="O2000" s="347"/>
      <c r="Q2000" s="442"/>
      <c r="R2000" s="403" t="str">
        <f t="shared" si="126"/>
        <v>DELETE</v>
      </c>
    </row>
    <row r="2001" spans="2:18" ht="31.5" customHeight="1" x14ac:dyDescent="0.45">
      <c r="B2001" s="324"/>
      <c r="C2001" s="465"/>
      <c r="D2001" s="429"/>
      <c r="E2001" s="429"/>
      <c r="F2001" s="429"/>
      <c r="G2001" s="429"/>
      <c r="H2001" s="429"/>
      <c r="I2001" s="429"/>
      <c r="J2001" s="429"/>
      <c r="K2001" s="429"/>
      <c r="L2001" s="429"/>
      <c r="M2001" s="349"/>
      <c r="N2001" s="300"/>
      <c r="O2001" s="349"/>
      <c r="P2001" s="433"/>
      <c r="Q2001" s="446"/>
      <c r="R2001" s="403" t="str">
        <f t="shared" si="126"/>
        <v>DELETE</v>
      </c>
    </row>
    <row r="2002" spans="2:18" ht="31.5" customHeight="1" x14ac:dyDescent="0.45">
      <c r="B2002" s="422"/>
      <c r="M2002" s="426"/>
      <c r="N2002" s="406"/>
      <c r="O2002" s="426"/>
      <c r="R2002" s="403" t="str">
        <f t="shared" si="126"/>
        <v>DELETE</v>
      </c>
    </row>
    <row r="2003" spans="2:18" ht="31.5" customHeight="1" x14ac:dyDescent="0.45">
      <c r="B2003" s="422"/>
      <c r="M2003" s="426"/>
      <c r="N2003" s="406"/>
      <c r="O2003" s="426"/>
      <c r="R2003" s="403" t="str">
        <f>R$2021</f>
        <v>DELETE</v>
      </c>
    </row>
    <row r="2004" spans="2:18" ht="31.5" customHeight="1" x14ac:dyDescent="0.45">
      <c r="B2004" s="422"/>
      <c r="D2004" s="417" t="str">
        <f>Criteria!E9</f>
        <v>HOLDING COMPANY 268 (PROPRIETARY) LIMITED</v>
      </c>
      <c r="M2004" s="426"/>
      <c r="N2004" s="406"/>
      <c r="O2004" s="347" t="s">
        <v>96</v>
      </c>
      <c r="Q2004" s="292">
        <f>MAX($Q$114:Q2003)+1</f>
        <v>50</v>
      </c>
      <c r="R2004" s="403" t="str">
        <f t="shared" ref="R2004:R2013" si="127">R$2021</f>
        <v>DELETE</v>
      </c>
    </row>
    <row r="2005" spans="2:18" ht="31.5" customHeight="1" x14ac:dyDescent="0.45">
      <c r="B2005" s="422"/>
      <c r="D2005" s="417" t="str">
        <f>Criteria!E10</f>
        <v>CONSOLIDATED FINANCIAL STATEMENTS</v>
      </c>
      <c r="M2005" s="426"/>
      <c r="N2005" s="406"/>
      <c r="O2005" s="426"/>
      <c r="R2005" s="403" t="str">
        <f>IF(R$2021="DELETE","DELETE",IF(D2005=0,"DELETE"," "))</f>
        <v>DELETE</v>
      </c>
    </row>
    <row r="2006" spans="2:18" ht="31.5" customHeight="1" x14ac:dyDescent="0.45">
      <c r="B2006" s="422"/>
      <c r="M2006" s="426"/>
      <c r="N2006" s="406"/>
      <c r="O2006" s="426"/>
      <c r="R2006" s="403" t="str">
        <f t="shared" si="127"/>
        <v>DELETE</v>
      </c>
    </row>
    <row r="2007" spans="2:18" ht="31.5" customHeight="1" x14ac:dyDescent="0.45">
      <c r="B2007" s="422"/>
      <c r="D2007" s="417" t="s">
        <v>377</v>
      </c>
      <c r="M2007" s="426"/>
      <c r="N2007" s="406"/>
      <c r="O2007" s="426"/>
      <c r="R2007" s="403" t="str">
        <f t="shared" si="127"/>
        <v>DELETE</v>
      </c>
    </row>
    <row r="2008" spans="2:18" ht="31.5" customHeight="1" x14ac:dyDescent="0.45">
      <c r="B2008" s="422"/>
      <c r="D2008" s="417" t="str">
        <f>Criteria!E20</f>
        <v>29 FEBRUARY 2024</v>
      </c>
      <c r="J2008" s="400" t="s">
        <v>247</v>
      </c>
      <c r="M2008" s="426"/>
      <c r="N2008" s="406"/>
      <c r="O2008" s="426"/>
      <c r="R2008" s="403" t="str">
        <f t="shared" si="127"/>
        <v>DELETE</v>
      </c>
    </row>
    <row r="2009" spans="2:18" ht="31.5" customHeight="1" x14ac:dyDescent="0.45">
      <c r="B2009" s="422"/>
      <c r="D2009" s="417"/>
      <c r="M2009" s="426"/>
      <c r="N2009" s="406"/>
      <c r="O2009" s="426"/>
      <c r="R2009" s="403" t="str">
        <f t="shared" si="127"/>
        <v>DELETE</v>
      </c>
    </row>
    <row r="2010" spans="2:18" ht="31.5" customHeight="1" x14ac:dyDescent="0.45">
      <c r="B2010" s="326"/>
      <c r="C2010" s="458"/>
      <c r="D2010" s="439"/>
      <c r="E2010" s="439"/>
      <c r="F2010" s="439"/>
      <c r="G2010" s="439"/>
      <c r="H2010" s="439"/>
      <c r="I2010" s="439"/>
      <c r="J2010" s="439"/>
      <c r="K2010" s="439"/>
      <c r="L2010" s="439"/>
      <c r="M2010" s="362"/>
      <c r="N2010" s="299"/>
      <c r="O2010" s="362"/>
      <c r="P2010" s="448"/>
      <c r="Q2010" s="440"/>
      <c r="R2010" s="403" t="str">
        <f t="shared" si="127"/>
        <v>DELETE</v>
      </c>
    </row>
    <row r="2011" spans="2:18" ht="31.5" customHeight="1" x14ac:dyDescent="0.45">
      <c r="B2011" s="323"/>
      <c r="C2011" s="417"/>
      <c r="M2011" s="344">
        <f>Criteria!E22</f>
        <v>2024</v>
      </c>
      <c r="N2011" s="294"/>
      <c r="O2011" s="344">
        <f>Criteria!E27</f>
        <v>2023</v>
      </c>
      <c r="Q2011" s="442"/>
      <c r="R2011" s="403" t="str">
        <f t="shared" si="127"/>
        <v>DELETE</v>
      </c>
    </row>
    <row r="2012" spans="2:18" ht="31.5" customHeight="1" x14ac:dyDescent="0.45">
      <c r="B2012" s="323"/>
      <c r="C2012" s="417"/>
      <c r="M2012" s="347"/>
      <c r="N2012" s="298"/>
      <c r="O2012" s="347"/>
      <c r="Q2012" s="442"/>
      <c r="R2012" s="403" t="str">
        <f t="shared" si="127"/>
        <v>DELETE</v>
      </c>
    </row>
    <row r="2013" spans="2:18" ht="31.5" customHeight="1" x14ac:dyDescent="0.45">
      <c r="B2013" s="323">
        <f>MAX(B$559:B2012)+1</f>
        <v>28</v>
      </c>
      <c r="C2013" s="417" t="str">
        <f>IF(COUNTIF(TrialBalance!N392:N396,"&lt;0")&gt;1,"PROVISIONS",IF(COUNTIF(TrialBalance!L392:L396,"&lt;0")&gt;1,"PROVISIONS","PROVISION"))</f>
        <v>PROVISION</v>
      </c>
      <c r="M2013" s="347"/>
      <c r="N2013" s="298"/>
      <c r="O2013" s="347"/>
      <c r="Q2013" s="442"/>
      <c r="R2013" s="403" t="str">
        <f t="shared" si="127"/>
        <v>DELETE</v>
      </c>
    </row>
    <row r="2014" spans="2:18" ht="31.5" customHeight="1" x14ac:dyDescent="0.45">
      <c r="B2014" s="323"/>
      <c r="C2014" s="417"/>
      <c r="D2014" s="400" t="str">
        <f>TrialBalance!C392</f>
        <v>Dividends' tax provision</v>
      </c>
      <c r="M2014" s="347">
        <f>-TrialBalance!L392</f>
        <v>0</v>
      </c>
      <c r="N2014" s="298"/>
      <c r="O2014" s="347">
        <f>-TrialBalance!N392</f>
        <v>0</v>
      </c>
      <c r="Q2014" s="442"/>
      <c r="R2014" s="403" t="str">
        <f>IF(M2014+O2014=0,"DELETE"," ")</f>
        <v>DELETE</v>
      </c>
    </row>
    <row r="2015" spans="2:18" ht="31.5" customHeight="1" x14ac:dyDescent="0.45">
      <c r="B2015" s="323"/>
      <c r="C2015" s="417"/>
      <c r="D2015" s="400" t="str">
        <f>TrialBalance!C393</f>
        <v>Dividends payable</v>
      </c>
      <c r="M2015" s="347">
        <f>-TrialBalance!L393</f>
        <v>0</v>
      </c>
      <c r="N2015" s="298"/>
      <c r="O2015" s="347">
        <f>-TrialBalance!N393</f>
        <v>0</v>
      </c>
      <c r="Q2015" s="442"/>
      <c r="R2015" s="403" t="str">
        <f>IF(M2015+O2015=0,"DELETE"," ")</f>
        <v>DELETE</v>
      </c>
    </row>
    <row r="2016" spans="2:18" ht="31.5" customHeight="1" x14ac:dyDescent="0.45">
      <c r="B2016" s="323"/>
      <c r="C2016" s="417"/>
      <c r="D2016" s="400" t="str">
        <f>TrialBalance!C394</f>
        <v>Provision for future expenses</v>
      </c>
      <c r="M2016" s="347">
        <f>-TrialBalance!L394</f>
        <v>0</v>
      </c>
      <c r="N2016" s="298"/>
      <c r="O2016" s="347">
        <f>-TrialBalance!N394</f>
        <v>0</v>
      </c>
      <c r="Q2016" s="442"/>
      <c r="R2016" s="403" t="str">
        <f>IF(M2016+O2016=0,"DELETE"," ")</f>
        <v>DELETE</v>
      </c>
    </row>
    <row r="2017" spans="2:18" ht="31.5" customHeight="1" x14ac:dyDescent="0.45">
      <c r="B2017" s="323"/>
      <c r="C2017" s="417"/>
      <c r="D2017" s="400" t="str">
        <f>TrialBalance!C395</f>
        <v>Provision for insurance</v>
      </c>
      <c r="M2017" s="347">
        <f>-TrialBalance!L395</f>
        <v>0</v>
      </c>
      <c r="N2017" s="298"/>
      <c r="O2017" s="347">
        <f>-TrialBalance!N395</f>
        <v>0</v>
      </c>
      <c r="Q2017" s="442"/>
      <c r="R2017" s="403" t="str">
        <f>IF(M2017+O2017=0,"DELETE"," ")</f>
        <v>DELETE</v>
      </c>
    </row>
    <row r="2018" spans="2:18" ht="31.5" customHeight="1" x14ac:dyDescent="0.45">
      <c r="B2018" s="323"/>
      <c r="C2018" s="417"/>
      <c r="D2018" s="400" t="str">
        <f>TrialBalance!C396</f>
        <v>Provision for salary bonus</v>
      </c>
      <c r="M2018" s="347">
        <f>-TrialBalance!L396</f>
        <v>0</v>
      </c>
      <c r="N2018" s="298"/>
      <c r="O2018" s="347">
        <f>-TrialBalance!N396</f>
        <v>0</v>
      </c>
      <c r="Q2018" s="442"/>
      <c r="R2018" s="403" t="str">
        <f>IF(M2018+O2018=0,"DELETE"," ")</f>
        <v>DELETE</v>
      </c>
    </row>
    <row r="2019" spans="2:18" ht="9" customHeight="1" x14ac:dyDescent="0.45">
      <c r="B2019" s="323"/>
      <c r="C2019" s="417"/>
      <c r="M2019" s="349"/>
      <c r="N2019" s="300"/>
      <c r="O2019" s="349"/>
      <c r="Q2019" s="442"/>
      <c r="R2019" s="403" t="str">
        <f t="shared" ref="R2019:R2027" si="128">R$2021</f>
        <v>DELETE</v>
      </c>
    </row>
    <row r="2020" spans="2:18" ht="9" customHeight="1" x14ac:dyDescent="0.45">
      <c r="B2020" s="323"/>
      <c r="C2020" s="417"/>
      <c r="M2020" s="347"/>
      <c r="N2020" s="298"/>
      <c r="O2020" s="347"/>
      <c r="Q2020" s="442"/>
      <c r="R2020" s="403" t="str">
        <f t="shared" si="128"/>
        <v>DELETE</v>
      </c>
    </row>
    <row r="2021" spans="2:18" ht="31.5" customHeight="1" x14ac:dyDescent="0.45">
      <c r="B2021" s="323"/>
      <c r="C2021" s="417"/>
      <c r="M2021" s="347">
        <f>SUM(M2014:M2020)</f>
        <v>0</v>
      </c>
      <c r="N2021" s="298"/>
      <c r="O2021" s="347">
        <f>SUM(O2014:O2020)</f>
        <v>0</v>
      </c>
      <c r="Q2021" s="442"/>
      <c r="R2021" s="403" t="str">
        <f>IF(M2021+O2021=0,"DELETE"," ")</f>
        <v>DELETE</v>
      </c>
    </row>
    <row r="2022" spans="2:18" ht="9" customHeight="1" thickBot="1" x14ac:dyDescent="0.5">
      <c r="B2022" s="323"/>
      <c r="C2022" s="417"/>
      <c r="M2022" s="351"/>
      <c r="N2022" s="301"/>
      <c r="O2022" s="351"/>
      <c r="Q2022" s="442"/>
      <c r="R2022" s="403" t="str">
        <f t="shared" si="128"/>
        <v>DELETE</v>
      </c>
    </row>
    <row r="2023" spans="2:18" ht="9" customHeight="1" thickTop="1" x14ac:dyDescent="0.45">
      <c r="B2023" s="323"/>
      <c r="C2023" s="417"/>
      <c r="M2023" s="363"/>
      <c r="N2023" s="314"/>
      <c r="O2023" s="363"/>
      <c r="Q2023" s="442"/>
      <c r="R2023" s="403" t="str">
        <f t="shared" si="128"/>
        <v>DELETE</v>
      </c>
    </row>
    <row r="2024" spans="2:18" ht="31.5" customHeight="1" x14ac:dyDescent="0.45">
      <c r="B2024" s="323"/>
      <c r="C2024" s="417"/>
      <c r="M2024" s="347"/>
      <c r="N2024" s="298"/>
      <c r="O2024" s="347"/>
      <c r="Q2024" s="442"/>
      <c r="R2024" s="403" t="str">
        <f t="shared" si="128"/>
        <v>DELETE</v>
      </c>
    </row>
    <row r="2025" spans="2:18" ht="31.5" customHeight="1" x14ac:dyDescent="0.45">
      <c r="B2025" s="323"/>
      <c r="C2025" s="417"/>
      <c r="M2025" s="347"/>
      <c r="N2025" s="298"/>
      <c r="O2025" s="347"/>
      <c r="Q2025" s="442"/>
      <c r="R2025" s="403" t="str">
        <f t="shared" si="128"/>
        <v>DELETE</v>
      </c>
    </row>
    <row r="2026" spans="2:18" ht="31.5" customHeight="1" x14ac:dyDescent="0.45">
      <c r="B2026" s="324"/>
      <c r="C2026" s="465"/>
      <c r="D2026" s="429"/>
      <c r="E2026" s="429"/>
      <c r="F2026" s="429"/>
      <c r="G2026" s="429"/>
      <c r="H2026" s="429"/>
      <c r="I2026" s="429"/>
      <c r="J2026" s="429"/>
      <c r="K2026" s="429"/>
      <c r="L2026" s="429"/>
      <c r="M2026" s="349"/>
      <c r="N2026" s="300"/>
      <c r="O2026" s="349"/>
      <c r="P2026" s="433"/>
      <c r="Q2026" s="446"/>
      <c r="R2026" s="403" t="str">
        <f t="shared" si="128"/>
        <v>DELETE</v>
      </c>
    </row>
    <row r="2027" spans="2:18" ht="31.5" customHeight="1" x14ac:dyDescent="0.45">
      <c r="B2027" s="325"/>
      <c r="C2027" s="417"/>
      <c r="M2027" s="347"/>
      <c r="N2027" s="298"/>
      <c r="O2027" s="347"/>
      <c r="R2027" s="403" t="str">
        <f t="shared" si="128"/>
        <v>DELETE</v>
      </c>
    </row>
    <row r="2028" spans="2:18" ht="31.5" customHeight="1" x14ac:dyDescent="0.45">
      <c r="B2028" s="325"/>
      <c r="C2028" s="417"/>
      <c r="M2028" s="347"/>
      <c r="N2028" s="298"/>
      <c r="O2028" s="347"/>
      <c r="R2028" s="403" t="str">
        <f t="shared" ref="R2028:R2038" si="129">R$2048</f>
        <v>DELETE</v>
      </c>
    </row>
    <row r="2029" spans="2:18" ht="31.5" customHeight="1" x14ac:dyDescent="0.45">
      <c r="B2029" s="325"/>
      <c r="C2029" s="417"/>
      <c r="D2029" s="417" t="str">
        <f>Criteria!E9</f>
        <v>HOLDING COMPANY 268 (PROPRIETARY) LIMITED</v>
      </c>
      <c r="M2029" s="426"/>
      <c r="N2029" s="406"/>
      <c r="O2029" s="347" t="s">
        <v>96</v>
      </c>
      <c r="Q2029" s="292">
        <f>MAX($Q$114:Q2028)+1</f>
        <v>51</v>
      </c>
      <c r="R2029" s="403" t="str">
        <f t="shared" si="129"/>
        <v>DELETE</v>
      </c>
    </row>
    <row r="2030" spans="2:18" ht="31.5" customHeight="1" x14ac:dyDescent="0.45">
      <c r="B2030" s="325"/>
      <c r="C2030" s="417"/>
      <c r="D2030" s="417" t="str">
        <f>Criteria!E10</f>
        <v>CONSOLIDATED FINANCIAL STATEMENTS</v>
      </c>
      <c r="M2030" s="426"/>
      <c r="N2030" s="406"/>
      <c r="O2030" s="426"/>
      <c r="R2030" s="403" t="str">
        <f>IF(R$2048="DELETE","DELETE",IF(D2030=0,"DELETE"," "))</f>
        <v>DELETE</v>
      </c>
    </row>
    <row r="2031" spans="2:18" ht="31.5" customHeight="1" x14ac:dyDescent="0.45">
      <c r="B2031" s="325"/>
      <c r="C2031" s="417"/>
      <c r="M2031" s="426"/>
      <c r="N2031" s="406"/>
      <c r="O2031" s="426"/>
      <c r="R2031" s="403" t="str">
        <f t="shared" si="129"/>
        <v>DELETE</v>
      </c>
    </row>
    <row r="2032" spans="2:18" ht="31.5" customHeight="1" x14ac:dyDescent="0.45">
      <c r="B2032" s="325"/>
      <c r="C2032" s="417"/>
      <c r="D2032" s="417" t="s">
        <v>377</v>
      </c>
      <c r="M2032" s="426"/>
      <c r="N2032" s="406"/>
      <c r="O2032" s="426"/>
      <c r="R2032" s="403" t="str">
        <f t="shared" si="129"/>
        <v>DELETE</v>
      </c>
    </row>
    <row r="2033" spans="2:26" ht="31.5" customHeight="1" x14ac:dyDescent="0.45">
      <c r="B2033" s="325"/>
      <c r="C2033" s="417"/>
      <c r="D2033" s="417" t="str">
        <f>Criteria!E20</f>
        <v>29 FEBRUARY 2024</v>
      </c>
      <c r="J2033" s="400" t="s">
        <v>247</v>
      </c>
      <c r="M2033" s="426"/>
      <c r="N2033" s="406"/>
      <c r="O2033" s="426"/>
      <c r="R2033" s="403" t="str">
        <f t="shared" si="129"/>
        <v>DELETE</v>
      </c>
    </row>
    <row r="2034" spans="2:26" ht="31.5" customHeight="1" x14ac:dyDescent="0.45">
      <c r="B2034" s="325"/>
      <c r="C2034" s="417"/>
      <c r="M2034" s="347"/>
      <c r="N2034" s="298"/>
      <c r="O2034" s="347"/>
      <c r="R2034" s="403" t="str">
        <f t="shared" si="129"/>
        <v>DELETE</v>
      </c>
    </row>
    <row r="2035" spans="2:26" ht="31.5" customHeight="1" x14ac:dyDescent="0.45">
      <c r="B2035" s="326"/>
      <c r="C2035" s="458"/>
      <c r="D2035" s="439"/>
      <c r="E2035" s="439"/>
      <c r="F2035" s="439"/>
      <c r="G2035" s="439"/>
      <c r="H2035" s="439"/>
      <c r="I2035" s="439"/>
      <c r="J2035" s="439"/>
      <c r="K2035" s="439"/>
      <c r="L2035" s="439"/>
      <c r="M2035" s="362"/>
      <c r="N2035" s="299"/>
      <c r="O2035" s="362"/>
      <c r="P2035" s="448"/>
      <c r="Q2035" s="440"/>
      <c r="R2035" s="403" t="str">
        <f t="shared" si="129"/>
        <v>DELETE</v>
      </c>
    </row>
    <row r="2036" spans="2:26" ht="31.5" customHeight="1" x14ac:dyDescent="0.45">
      <c r="B2036" s="323"/>
      <c r="C2036" s="417"/>
      <c r="M2036" s="344">
        <f>Criteria!E22</f>
        <v>2024</v>
      </c>
      <c r="N2036" s="294"/>
      <c r="O2036" s="344">
        <f>Criteria!E27</f>
        <v>2023</v>
      </c>
      <c r="P2036" s="425"/>
      <c r="Q2036" s="442"/>
      <c r="R2036" s="403" t="str">
        <f t="shared" si="129"/>
        <v>DELETE</v>
      </c>
    </row>
    <row r="2037" spans="2:26" ht="31.5" customHeight="1" x14ac:dyDescent="0.45">
      <c r="B2037" s="323"/>
      <c r="C2037" s="417"/>
      <c r="M2037" s="363"/>
      <c r="N2037" s="314"/>
      <c r="O2037" s="363"/>
      <c r="P2037" s="425"/>
      <c r="Q2037" s="442"/>
      <c r="R2037" s="403" t="str">
        <f t="shared" si="129"/>
        <v>DELETE</v>
      </c>
    </row>
    <row r="2038" spans="2:26" ht="31.5" customHeight="1" x14ac:dyDescent="0.45">
      <c r="B2038" s="323">
        <f>MAX(B$559:B2037)+1</f>
        <v>29</v>
      </c>
      <c r="C2038" s="315" t="str">
        <f>IF((Y2038+Z2038)=3,"CURRENT TAX LIABILITY/(ASSET)",(IF((Y2038+Z2038=4),"CURRENT TAX LIABILITY","CURRENT TAX ASSET")))</f>
        <v>CURRENT TAX LIABILITY</v>
      </c>
      <c r="D2038" s="405"/>
      <c r="M2038" s="363"/>
      <c r="N2038" s="314"/>
      <c r="O2038" s="363"/>
      <c r="P2038" s="425"/>
      <c r="Q2038" s="442"/>
      <c r="R2038" s="403" t="str">
        <f t="shared" si="129"/>
        <v>DELETE</v>
      </c>
      <c r="Y2038" s="378">
        <f>IF(M2048&lt;0,1,IF(M2048=0,IF(O2048&lt;0,1,2),2))</f>
        <v>2</v>
      </c>
      <c r="Z2038" s="378">
        <f>IF(O2048&lt;0,1,IF(O2048=0,IF(M2048&lt;0,1,2),2))</f>
        <v>2</v>
      </c>
    </row>
    <row r="2039" spans="2:26" ht="31.5" customHeight="1" x14ac:dyDescent="0.45">
      <c r="B2039" s="323"/>
      <c r="C2039" s="417"/>
      <c r="D2039" s="297" t="str">
        <f>IF((Y2039+Z2039)=3,"Current tax liability/(asset) at the beginning of the year",(IF((Y2039+Z2039=4),"Current tax liability at the beginning of the year","Current tax asset at the beginning of the year")))</f>
        <v>Current tax liability at the beginning of the year</v>
      </c>
      <c r="M2039" s="363">
        <f>-TrialBalance!L385</f>
        <v>0</v>
      </c>
      <c r="N2039" s="314"/>
      <c r="O2039" s="363">
        <f>-TrialBalance!N385</f>
        <v>0</v>
      </c>
      <c r="P2039" s="425"/>
      <c r="Q2039" s="442"/>
      <c r="R2039" s="403" t="str">
        <f>IF(M2039=0,IF(O2039=0,"DELETE"," ")," ")</f>
        <v>DELETE</v>
      </c>
      <c r="V2039" s="378" t="b">
        <f>M2039=O2048</f>
        <v>1</v>
      </c>
      <c r="Y2039" s="378">
        <f>IF(M2039&lt;0,1,IF(M2039=0,IF(O2039&lt;0,1,2),2))</f>
        <v>2</v>
      </c>
      <c r="Z2039" s="378">
        <f>IF(O2039&lt;0,1,IF(O2039=0,IF(M2039&lt;0,1,2),2))</f>
        <v>2</v>
      </c>
    </row>
    <row r="2040" spans="2:26" ht="31.5" customHeight="1" x14ac:dyDescent="0.45">
      <c r="B2040" s="323"/>
      <c r="C2040" s="417"/>
      <c r="D2040" s="400" t="s">
        <v>1194</v>
      </c>
      <c r="M2040" s="363">
        <f>-TrialBalance!L386</f>
        <v>0</v>
      </c>
      <c r="N2040" s="314"/>
      <c r="O2040" s="363">
        <f>-TrialBalance!N386</f>
        <v>0</v>
      </c>
      <c r="P2040" s="425"/>
      <c r="Q2040" s="442"/>
      <c r="R2040" s="403" t="str">
        <f t="shared" ref="R2040:R2044" si="130">IF(M2040=0,IF(O2040=0,"DELETE"," ")," ")</f>
        <v>DELETE</v>
      </c>
    </row>
    <row r="2041" spans="2:26" ht="31.5" customHeight="1" x14ac:dyDescent="0.45">
      <c r="B2041" s="323"/>
      <c r="C2041" s="417"/>
      <c r="D2041" s="400" t="s">
        <v>1195</v>
      </c>
      <c r="M2041" s="363">
        <f>-TrialBalance!L387</f>
        <v>0</v>
      </c>
      <c r="N2041" s="314"/>
      <c r="O2041" s="363">
        <f>-TrialBalance!N387</f>
        <v>0</v>
      </c>
      <c r="P2041" s="425"/>
      <c r="Q2041" s="442"/>
      <c r="R2041" s="403" t="str">
        <f t="shared" si="130"/>
        <v>DELETE</v>
      </c>
    </row>
    <row r="2042" spans="2:26" ht="31.5" customHeight="1" x14ac:dyDescent="0.45">
      <c r="B2042" s="323"/>
      <c r="C2042" s="417"/>
      <c r="D2042" s="400" t="s">
        <v>1196</v>
      </c>
      <c r="M2042" s="363">
        <f>-TrialBalance!L388</f>
        <v>0</v>
      </c>
      <c r="N2042" s="314"/>
      <c r="O2042" s="363">
        <f>-TrialBalance!N388</f>
        <v>0</v>
      </c>
      <c r="P2042" s="425"/>
      <c r="Q2042" s="442"/>
      <c r="R2042" s="403" t="str">
        <f t="shared" si="130"/>
        <v>DELETE</v>
      </c>
    </row>
    <row r="2043" spans="2:26" ht="31.5" customHeight="1" x14ac:dyDescent="0.45">
      <c r="B2043" s="323"/>
      <c r="C2043" s="417"/>
      <c r="D2043" s="400" t="s">
        <v>1197</v>
      </c>
      <c r="M2043" s="363">
        <f>-TrialBalance!L389</f>
        <v>0</v>
      </c>
      <c r="N2043" s="314"/>
      <c r="O2043" s="363">
        <f>-TrialBalance!N389</f>
        <v>0</v>
      </c>
      <c r="P2043" s="425"/>
      <c r="Q2043" s="442"/>
      <c r="R2043" s="403" t="str">
        <f t="shared" si="130"/>
        <v>DELETE</v>
      </c>
    </row>
    <row r="2044" spans="2:26" ht="31.5" customHeight="1" x14ac:dyDescent="0.45">
      <c r="B2044" s="323"/>
      <c r="C2044" s="417"/>
      <c r="D2044" s="400" t="s">
        <v>1198</v>
      </c>
      <c r="M2044" s="363">
        <f>-TrialBalance!L390</f>
        <v>0</v>
      </c>
      <c r="N2044" s="314"/>
      <c r="O2044" s="363">
        <f>-TrialBalance!N390</f>
        <v>0</v>
      </c>
      <c r="P2044" s="425"/>
      <c r="Q2044" s="442"/>
      <c r="R2044" s="403" t="str">
        <f t="shared" si="130"/>
        <v>DELETE</v>
      </c>
    </row>
    <row r="2045" spans="2:26" ht="31.5" customHeight="1" x14ac:dyDescent="0.45">
      <c r="B2045" s="323"/>
      <c r="C2045" s="417"/>
      <c r="D2045" s="400" t="s">
        <v>1199</v>
      </c>
      <c r="M2045" s="363">
        <f>-TrialBalance!L391</f>
        <v>0</v>
      </c>
      <c r="N2045" s="314"/>
      <c r="O2045" s="363">
        <f>-TrialBalance!N391</f>
        <v>0</v>
      </c>
      <c r="P2045" s="425"/>
      <c r="Q2045" s="442"/>
      <c r="R2045" s="403" t="str">
        <f>IF(M2045=0,IF(O2045=0,"DELETE"," ")," ")</f>
        <v>DELETE</v>
      </c>
    </row>
    <row r="2046" spans="2:26" ht="9" customHeight="1" x14ac:dyDescent="0.45">
      <c r="B2046" s="323"/>
      <c r="C2046" s="417"/>
      <c r="M2046" s="349"/>
      <c r="N2046" s="300"/>
      <c r="O2046" s="349"/>
      <c r="P2046" s="425"/>
      <c r="Q2046" s="442"/>
      <c r="R2046" s="403" t="str">
        <f>R$2048</f>
        <v>DELETE</v>
      </c>
    </row>
    <row r="2047" spans="2:26" ht="9" customHeight="1" x14ac:dyDescent="0.45">
      <c r="B2047" s="323"/>
      <c r="C2047" s="417"/>
      <c r="M2047" s="363"/>
      <c r="N2047" s="314"/>
      <c r="O2047" s="363"/>
      <c r="P2047" s="425"/>
      <c r="Q2047" s="442"/>
      <c r="R2047" s="403" t="str">
        <f>R$2048</f>
        <v>DELETE</v>
      </c>
    </row>
    <row r="2048" spans="2:26" ht="31.5" customHeight="1" x14ac:dyDescent="0.45">
      <c r="B2048" s="323"/>
      <c r="C2048" s="417"/>
      <c r="D2048" s="297" t="str">
        <f>IF((Y2048+Z2048)=3,"Current tax liability/(asset) at the end of the year",(IF((Y2048+Z2048=4),"Current tax liability at the end of the year","Current tax asset at the end of the year")))</f>
        <v>Current tax liability at the end of the year</v>
      </c>
      <c r="M2048" s="363">
        <f>SUM(M2038:M2046)</f>
        <v>0</v>
      </c>
      <c r="N2048" s="314"/>
      <c r="O2048" s="363">
        <f>SUM(O2038:O2046)</f>
        <v>0</v>
      </c>
      <c r="P2048" s="425"/>
      <c r="Q2048" s="442"/>
      <c r="R2048" s="403" t="str">
        <f>IF(M2048=0,IF(O2048=0,IF(COUNTIF(O2039:O2045,"&gt;0")&gt;0," ",IF(COUNTIF(M2039:M2045,"&gt;0")&gt;0," ","DELETE"))," ")," ")</f>
        <v>DELETE</v>
      </c>
      <c r="Y2048" s="378">
        <f>IF(M2048&lt;0,1,IF(M2048=0,IF(O2048&lt;0,1,2),2))</f>
        <v>2</v>
      </c>
      <c r="Z2048" s="378">
        <f>IF(O2048&lt;0,1,IF(O2048=0,IF(M2048&lt;0,1,2),2))</f>
        <v>2</v>
      </c>
    </row>
    <row r="2049" spans="2:18" ht="9" customHeight="1" thickBot="1" x14ac:dyDescent="0.5">
      <c r="B2049" s="323"/>
      <c r="C2049" s="417"/>
      <c r="M2049" s="351"/>
      <c r="N2049" s="301"/>
      <c r="O2049" s="351"/>
      <c r="P2049" s="425"/>
      <c r="Q2049" s="442"/>
      <c r="R2049" s="403" t="str">
        <f t="shared" ref="R2049:R2054" si="131">R$2048</f>
        <v>DELETE</v>
      </c>
    </row>
    <row r="2050" spans="2:18" ht="9" customHeight="1" thickTop="1" x14ac:dyDescent="0.45">
      <c r="B2050" s="323"/>
      <c r="C2050" s="417"/>
      <c r="M2050" s="363"/>
      <c r="N2050" s="314"/>
      <c r="O2050" s="363"/>
      <c r="P2050" s="425"/>
      <c r="Q2050" s="442"/>
      <c r="R2050" s="403" t="str">
        <f t="shared" si="131"/>
        <v>DELETE</v>
      </c>
    </row>
    <row r="2051" spans="2:18" ht="31.5" customHeight="1" x14ac:dyDescent="0.45">
      <c r="B2051" s="323"/>
      <c r="C2051" s="417"/>
      <c r="M2051" s="363"/>
      <c r="N2051" s="314"/>
      <c r="O2051" s="363"/>
      <c r="P2051" s="425"/>
      <c r="Q2051" s="442"/>
      <c r="R2051" s="403" t="str">
        <f t="shared" si="131"/>
        <v>DELETE</v>
      </c>
    </row>
    <row r="2052" spans="2:18" ht="31.5" customHeight="1" x14ac:dyDescent="0.45">
      <c r="B2052" s="323"/>
      <c r="C2052" s="417"/>
      <c r="M2052" s="363"/>
      <c r="N2052" s="314"/>
      <c r="O2052" s="363"/>
      <c r="P2052" s="425"/>
      <c r="Q2052" s="442"/>
      <c r="R2052" s="403" t="str">
        <f t="shared" si="131"/>
        <v>DELETE</v>
      </c>
    </row>
    <row r="2053" spans="2:18" ht="31.5" customHeight="1" x14ac:dyDescent="0.45">
      <c r="B2053" s="324"/>
      <c r="C2053" s="465"/>
      <c r="D2053" s="429"/>
      <c r="E2053" s="429"/>
      <c r="F2053" s="429"/>
      <c r="G2053" s="429"/>
      <c r="H2053" s="429"/>
      <c r="I2053" s="429"/>
      <c r="J2053" s="429"/>
      <c r="K2053" s="429"/>
      <c r="L2053" s="429"/>
      <c r="M2053" s="349"/>
      <c r="N2053" s="300"/>
      <c r="O2053" s="349"/>
      <c r="P2053" s="433"/>
      <c r="Q2053" s="446"/>
      <c r="R2053" s="403" t="str">
        <f t="shared" si="131"/>
        <v>DELETE</v>
      </c>
    </row>
    <row r="2054" spans="2:18" ht="31.5" customHeight="1" x14ac:dyDescent="0.45">
      <c r="B2054" s="325"/>
      <c r="C2054" s="417"/>
      <c r="M2054" s="347"/>
      <c r="N2054" s="298"/>
      <c r="O2054" s="347"/>
      <c r="R2054" s="403" t="str">
        <f t="shared" si="131"/>
        <v>DELETE</v>
      </c>
    </row>
    <row r="2055" spans="2:18" ht="31.5" customHeight="1" x14ac:dyDescent="0.45">
      <c r="B2055" s="325"/>
      <c r="C2055" s="417"/>
      <c r="M2055" s="347"/>
      <c r="N2055" s="298"/>
      <c r="O2055" s="347"/>
      <c r="R2055" s="403" t="str">
        <f t="shared" ref="R2055:R2067" si="132">R$2073</f>
        <v>DELETE</v>
      </c>
    </row>
    <row r="2056" spans="2:18" ht="31.5" customHeight="1" x14ac:dyDescent="0.45">
      <c r="B2056" s="325"/>
      <c r="C2056" s="417"/>
      <c r="D2056" s="417" t="str">
        <f>Criteria!E9</f>
        <v>HOLDING COMPANY 268 (PROPRIETARY) LIMITED</v>
      </c>
      <c r="M2056" s="426"/>
      <c r="N2056" s="406"/>
      <c r="O2056" s="347" t="s">
        <v>96</v>
      </c>
      <c r="Q2056" s="292">
        <f>MAX($Q$114:Q2055)+1</f>
        <v>52</v>
      </c>
      <c r="R2056" s="403" t="str">
        <f t="shared" si="132"/>
        <v>DELETE</v>
      </c>
    </row>
    <row r="2057" spans="2:18" ht="31.5" customHeight="1" x14ac:dyDescent="0.45">
      <c r="B2057" s="325"/>
      <c r="C2057" s="417"/>
      <c r="D2057" s="417" t="str">
        <f>Criteria!E10</f>
        <v>CONSOLIDATED FINANCIAL STATEMENTS</v>
      </c>
      <c r="M2057" s="426"/>
      <c r="N2057" s="406"/>
      <c r="O2057" s="426"/>
      <c r="R2057" s="403" t="str">
        <f>IF(R$2073="DELETE","DELETE",IF(D2057=0,"DELETE"," "))</f>
        <v>DELETE</v>
      </c>
    </row>
    <row r="2058" spans="2:18" ht="31.5" customHeight="1" x14ac:dyDescent="0.45">
      <c r="B2058" s="325"/>
      <c r="C2058" s="417"/>
      <c r="M2058" s="426"/>
      <c r="N2058" s="406"/>
      <c r="O2058" s="426"/>
      <c r="R2058" s="403" t="str">
        <f t="shared" si="132"/>
        <v>DELETE</v>
      </c>
    </row>
    <row r="2059" spans="2:18" ht="31.5" customHeight="1" x14ac:dyDescent="0.45">
      <c r="B2059" s="325"/>
      <c r="C2059" s="417"/>
      <c r="D2059" s="417" t="s">
        <v>377</v>
      </c>
      <c r="M2059" s="426"/>
      <c r="N2059" s="406"/>
      <c r="O2059" s="426"/>
      <c r="R2059" s="403" t="str">
        <f t="shared" si="132"/>
        <v>DELETE</v>
      </c>
    </row>
    <row r="2060" spans="2:18" ht="31.5" customHeight="1" x14ac:dyDescent="0.45">
      <c r="B2060" s="325"/>
      <c r="C2060" s="417"/>
      <c r="D2060" s="417" t="str">
        <f>Criteria!E20</f>
        <v>29 FEBRUARY 2024</v>
      </c>
      <c r="J2060" s="400" t="s">
        <v>247</v>
      </c>
      <c r="M2060" s="426"/>
      <c r="N2060" s="406"/>
      <c r="O2060" s="426"/>
      <c r="R2060" s="403" t="str">
        <f t="shared" si="132"/>
        <v>DELETE</v>
      </c>
    </row>
    <row r="2061" spans="2:18" ht="31.5" customHeight="1" x14ac:dyDescent="0.45">
      <c r="B2061" s="325"/>
      <c r="C2061" s="417"/>
      <c r="M2061" s="347"/>
      <c r="N2061" s="298"/>
      <c r="O2061" s="347"/>
      <c r="R2061" s="403" t="str">
        <f t="shared" si="132"/>
        <v>DELETE</v>
      </c>
    </row>
    <row r="2062" spans="2:18" ht="31.5" customHeight="1" x14ac:dyDescent="0.45">
      <c r="B2062" s="326"/>
      <c r="C2062" s="458"/>
      <c r="D2062" s="439"/>
      <c r="E2062" s="439"/>
      <c r="F2062" s="439"/>
      <c r="G2062" s="439"/>
      <c r="H2062" s="439"/>
      <c r="I2062" s="439"/>
      <c r="J2062" s="439"/>
      <c r="K2062" s="439"/>
      <c r="L2062" s="439"/>
      <c r="M2062" s="362"/>
      <c r="N2062" s="299"/>
      <c r="O2062" s="362"/>
      <c r="P2062" s="448"/>
      <c r="Q2062" s="440"/>
      <c r="R2062" s="403" t="str">
        <f t="shared" si="132"/>
        <v>DELETE</v>
      </c>
    </row>
    <row r="2063" spans="2:18" ht="31.5" customHeight="1" x14ac:dyDescent="0.45">
      <c r="B2063" s="323"/>
      <c r="C2063" s="417"/>
      <c r="M2063" s="344">
        <f>Criteria!E22</f>
        <v>2024</v>
      </c>
      <c r="N2063" s="294"/>
      <c r="O2063" s="344">
        <f>Criteria!E27</f>
        <v>2023</v>
      </c>
      <c r="P2063" s="425"/>
      <c r="Q2063" s="442"/>
      <c r="R2063" s="403" t="str">
        <f t="shared" si="132"/>
        <v>DELETE</v>
      </c>
    </row>
    <row r="2064" spans="2:18" ht="31.5" customHeight="1" x14ac:dyDescent="0.45">
      <c r="B2064" s="323"/>
      <c r="C2064" s="417"/>
      <c r="M2064" s="363"/>
      <c r="N2064" s="314"/>
      <c r="O2064" s="363"/>
      <c r="P2064" s="425"/>
      <c r="Q2064" s="442"/>
      <c r="R2064" s="403" t="str">
        <f t="shared" si="132"/>
        <v>DELETE</v>
      </c>
    </row>
    <row r="2065" spans="2:18" ht="31.5" customHeight="1" x14ac:dyDescent="0.45">
      <c r="B2065" s="323">
        <f>MAX(B$559:B2064)+1</f>
        <v>30</v>
      </c>
      <c r="C2065" s="417" t="s">
        <v>1118</v>
      </c>
      <c r="M2065" s="363"/>
      <c r="N2065" s="314"/>
      <c r="O2065" s="363"/>
      <c r="P2065" s="425"/>
      <c r="Q2065" s="442"/>
      <c r="R2065" s="403" t="str">
        <f t="shared" si="132"/>
        <v>DELETE</v>
      </c>
    </row>
    <row r="2066" spans="2:18" ht="31.5" customHeight="1" x14ac:dyDescent="0.45">
      <c r="B2066" s="323"/>
      <c r="C2066" s="417"/>
      <c r="D2066" s="400" t="s">
        <v>1119</v>
      </c>
      <c r="M2066" s="363"/>
      <c r="N2066" s="314"/>
      <c r="O2066" s="363"/>
      <c r="P2066" s="425"/>
      <c r="Q2066" s="442"/>
      <c r="R2066" s="403" t="str">
        <f t="shared" si="132"/>
        <v>DELETE</v>
      </c>
    </row>
    <row r="2067" spans="2:18" ht="31.5" customHeight="1" x14ac:dyDescent="0.45">
      <c r="B2067" s="323"/>
      <c r="C2067" s="417"/>
      <c r="M2067" s="363"/>
      <c r="N2067" s="314"/>
      <c r="O2067" s="363"/>
      <c r="P2067" s="425"/>
      <c r="Q2067" s="442"/>
      <c r="R2067" s="403" t="str">
        <f t="shared" si="132"/>
        <v>DELETE</v>
      </c>
    </row>
    <row r="2068" spans="2:18" ht="31.5" customHeight="1" x14ac:dyDescent="0.45">
      <c r="B2068" s="323"/>
      <c r="C2068" s="417"/>
      <c r="E2068" s="400" t="s">
        <v>1114</v>
      </c>
      <c r="M2068" s="363">
        <f>Criteria!F353</f>
        <v>0</v>
      </c>
      <c r="N2068" s="314"/>
      <c r="O2068" s="363">
        <f>Criteria!G353</f>
        <v>0</v>
      </c>
      <c r="P2068" s="425"/>
      <c r="Q2068" s="442"/>
      <c r="R2068" s="403" t="str">
        <f t="shared" ref="R2068:R2069" si="133">IF(M2068+O2068=0,"DELETE"," ")</f>
        <v>DELETE</v>
      </c>
    </row>
    <row r="2069" spans="2:18" ht="31.5" customHeight="1" x14ac:dyDescent="0.45">
      <c r="B2069" s="323"/>
      <c r="C2069" s="417"/>
      <c r="E2069" s="400" t="s">
        <v>1120</v>
      </c>
      <c r="M2069" s="363">
        <f>Criteria!F354</f>
        <v>0</v>
      </c>
      <c r="N2069" s="314"/>
      <c r="O2069" s="363">
        <f>Criteria!G354</f>
        <v>0</v>
      </c>
      <c r="P2069" s="425"/>
      <c r="Q2069" s="442"/>
      <c r="R2069" s="403" t="str">
        <f t="shared" si="133"/>
        <v>DELETE</v>
      </c>
    </row>
    <row r="2070" spans="2:18" ht="31.5" customHeight="1" x14ac:dyDescent="0.45">
      <c r="B2070" s="323"/>
      <c r="C2070" s="417"/>
      <c r="E2070" s="400" t="s">
        <v>1116</v>
      </c>
      <c r="M2070" s="363">
        <f>Criteria!F355</f>
        <v>0</v>
      </c>
      <c r="N2070" s="314"/>
      <c r="O2070" s="363">
        <f>Criteria!G355</f>
        <v>0</v>
      </c>
      <c r="P2070" s="425"/>
      <c r="Q2070" s="442"/>
      <c r="R2070" s="403" t="str">
        <f>IF(M2070+O2070=0,"DELETE"," ")</f>
        <v>DELETE</v>
      </c>
    </row>
    <row r="2071" spans="2:18" ht="9" customHeight="1" x14ac:dyDescent="0.45">
      <c r="B2071" s="323"/>
      <c r="C2071" s="417"/>
      <c r="M2071" s="349"/>
      <c r="N2071" s="300"/>
      <c r="O2071" s="349"/>
      <c r="P2071" s="425"/>
      <c r="Q2071" s="442"/>
      <c r="R2071" s="403" t="str">
        <f>R$2073</f>
        <v>DELETE</v>
      </c>
    </row>
    <row r="2072" spans="2:18" ht="9" customHeight="1" x14ac:dyDescent="0.45">
      <c r="B2072" s="323"/>
      <c r="C2072" s="417"/>
      <c r="M2072" s="363"/>
      <c r="N2072" s="314"/>
      <c r="O2072" s="363"/>
      <c r="P2072" s="425"/>
      <c r="Q2072" s="442"/>
      <c r="R2072" s="403" t="str">
        <f>R$2073</f>
        <v>DELETE</v>
      </c>
    </row>
    <row r="2073" spans="2:18" ht="31.5" customHeight="1" x14ac:dyDescent="0.45">
      <c r="B2073" s="323"/>
      <c r="C2073" s="417"/>
      <c r="M2073" s="363">
        <f>SUM(M2068:M2072)</f>
        <v>0</v>
      </c>
      <c r="N2073" s="314"/>
      <c r="O2073" s="363">
        <f>SUM(O2068:O2072)</f>
        <v>0</v>
      </c>
      <c r="P2073" s="425"/>
      <c r="Q2073" s="442"/>
      <c r="R2073" s="403" t="str">
        <f>IF(M2073+O2073=0,"DELETE"," ")</f>
        <v>DELETE</v>
      </c>
    </row>
    <row r="2074" spans="2:18" ht="9" customHeight="1" thickBot="1" x14ac:dyDescent="0.5">
      <c r="B2074" s="323"/>
      <c r="C2074" s="417"/>
      <c r="M2074" s="351"/>
      <c r="N2074" s="301"/>
      <c r="O2074" s="351"/>
      <c r="P2074" s="425"/>
      <c r="Q2074" s="442"/>
      <c r="R2074" s="403" t="str">
        <f t="shared" ref="R2074:R2079" si="134">R$2073</f>
        <v>DELETE</v>
      </c>
    </row>
    <row r="2075" spans="2:18" ht="9" customHeight="1" thickTop="1" x14ac:dyDescent="0.45">
      <c r="B2075" s="323"/>
      <c r="C2075" s="417"/>
      <c r="M2075" s="363"/>
      <c r="N2075" s="314"/>
      <c r="O2075" s="363"/>
      <c r="P2075" s="425"/>
      <c r="Q2075" s="442"/>
      <c r="R2075" s="403" t="str">
        <f t="shared" si="134"/>
        <v>DELETE</v>
      </c>
    </row>
    <row r="2076" spans="2:18" ht="31.5" customHeight="1" x14ac:dyDescent="0.45">
      <c r="B2076" s="323"/>
      <c r="C2076" s="417"/>
      <c r="M2076" s="363"/>
      <c r="N2076" s="314"/>
      <c r="O2076" s="363"/>
      <c r="P2076" s="425"/>
      <c r="Q2076" s="442"/>
      <c r="R2076" s="403" t="str">
        <f t="shared" si="134"/>
        <v>DELETE</v>
      </c>
    </row>
    <row r="2077" spans="2:18" ht="31.5" customHeight="1" x14ac:dyDescent="0.45">
      <c r="B2077" s="323"/>
      <c r="C2077" s="417"/>
      <c r="M2077" s="363"/>
      <c r="N2077" s="314"/>
      <c r="O2077" s="363"/>
      <c r="P2077" s="425"/>
      <c r="Q2077" s="442"/>
      <c r="R2077" s="403" t="str">
        <f t="shared" si="134"/>
        <v>DELETE</v>
      </c>
    </row>
    <row r="2078" spans="2:18" ht="31.5" customHeight="1" x14ac:dyDescent="0.45">
      <c r="B2078" s="324"/>
      <c r="C2078" s="465"/>
      <c r="D2078" s="429"/>
      <c r="E2078" s="429"/>
      <c r="F2078" s="429"/>
      <c r="G2078" s="429"/>
      <c r="H2078" s="429"/>
      <c r="I2078" s="429"/>
      <c r="J2078" s="429"/>
      <c r="K2078" s="429"/>
      <c r="L2078" s="429"/>
      <c r="M2078" s="349"/>
      <c r="N2078" s="300"/>
      <c r="O2078" s="349"/>
      <c r="P2078" s="433"/>
      <c r="Q2078" s="446"/>
      <c r="R2078" s="403" t="str">
        <f t="shared" si="134"/>
        <v>DELETE</v>
      </c>
    </row>
    <row r="2079" spans="2:18" ht="31.5" customHeight="1" x14ac:dyDescent="0.45">
      <c r="B2079" s="325"/>
      <c r="C2079" s="417"/>
      <c r="M2079" s="347"/>
      <c r="N2079" s="298"/>
      <c r="O2079" s="347"/>
      <c r="R2079" s="403" t="str">
        <f t="shared" si="134"/>
        <v>DELETE</v>
      </c>
    </row>
    <row r="2080" spans="2:18" ht="31.5" customHeight="1" x14ac:dyDescent="0.45">
      <c r="B2080" s="325"/>
      <c r="C2080" s="417"/>
      <c r="M2080" s="347"/>
      <c r="N2080" s="298"/>
      <c r="O2080" s="347"/>
      <c r="R2080" s="403" t="str">
        <f t="shared" ref="R2080:R2093" si="135">R$2099</f>
        <v>DELETE</v>
      </c>
    </row>
    <row r="2081" spans="2:18" ht="31.5" customHeight="1" x14ac:dyDescent="0.45">
      <c r="B2081" s="325"/>
      <c r="C2081" s="417"/>
      <c r="D2081" s="417" t="str">
        <f>Criteria!E9</f>
        <v>HOLDING COMPANY 268 (PROPRIETARY) LIMITED</v>
      </c>
      <c r="M2081" s="426"/>
      <c r="N2081" s="406"/>
      <c r="O2081" s="347" t="s">
        <v>96</v>
      </c>
      <c r="Q2081" s="292">
        <f>MAX($Q$114:Q2080)+1</f>
        <v>53</v>
      </c>
      <c r="R2081" s="403" t="str">
        <f t="shared" si="135"/>
        <v>DELETE</v>
      </c>
    </row>
    <row r="2082" spans="2:18" ht="31.5" customHeight="1" x14ac:dyDescent="0.45">
      <c r="B2082" s="325"/>
      <c r="C2082" s="417"/>
      <c r="D2082" s="417" t="str">
        <f>Criteria!E10</f>
        <v>CONSOLIDATED FINANCIAL STATEMENTS</v>
      </c>
      <c r="M2082" s="426"/>
      <c r="N2082" s="406"/>
      <c r="O2082" s="426"/>
      <c r="R2082" s="403" t="str">
        <f>IF(R$2099="DELETE","DELETE",IF(D2082=0,"DELETE"," "))</f>
        <v>DELETE</v>
      </c>
    </row>
    <row r="2083" spans="2:18" ht="31.5" customHeight="1" x14ac:dyDescent="0.45">
      <c r="B2083" s="325"/>
      <c r="C2083" s="417"/>
      <c r="M2083" s="426"/>
      <c r="N2083" s="406"/>
      <c r="O2083" s="426"/>
      <c r="R2083" s="403" t="str">
        <f t="shared" si="135"/>
        <v>DELETE</v>
      </c>
    </row>
    <row r="2084" spans="2:18" ht="31.5" customHeight="1" x14ac:dyDescent="0.45">
      <c r="B2084" s="325"/>
      <c r="C2084" s="417"/>
      <c r="D2084" s="417" t="s">
        <v>377</v>
      </c>
      <c r="M2084" s="426"/>
      <c r="N2084" s="406"/>
      <c r="O2084" s="426"/>
      <c r="R2084" s="403" t="str">
        <f t="shared" si="135"/>
        <v>DELETE</v>
      </c>
    </row>
    <row r="2085" spans="2:18" ht="31.5" customHeight="1" x14ac:dyDescent="0.45">
      <c r="B2085" s="325"/>
      <c r="C2085" s="417"/>
      <c r="D2085" s="417" t="str">
        <f>Criteria!E20</f>
        <v>29 FEBRUARY 2024</v>
      </c>
      <c r="J2085" s="400" t="s">
        <v>247</v>
      </c>
      <c r="M2085" s="426"/>
      <c r="N2085" s="406"/>
      <c r="O2085" s="426"/>
      <c r="R2085" s="403" t="str">
        <f t="shared" si="135"/>
        <v>DELETE</v>
      </c>
    </row>
    <row r="2086" spans="2:18" ht="31.5" customHeight="1" x14ac:dyDescent="0.45">
      <c r="B2086" s="325"/>
      <c r="C2086" s="417"/>
      <c r="M2086" s="347"/>
      <c r="N2086" s="298"/>
      <c r="O2086" s="347"/>
      <c r="R2086" s="403" t="str">
        <f t="shared" si="135"/>
        <v>DELETE</v>
      </c>
    </row>
    <row r="2087" spans="2:18" ht="31.5" customHeight="1" x14ac:dyDescent="0.45">
      <c r="B2087" s="326"/>
      <c r="C2087" s="458"/>
      <c r="D2087" s="439"/>
      <c r="E2087" s="439"/>
      <c r="F2087" s="439"/>
      <c r="G2087" s="439"/>
      <c r="H2087" s="439"/>
      <c r="I2087" s="439"/>
      <c r="J2087" s="439"/>
      <c r="K2087" s="439"/>
      <c r="L2087" s="439"/>
      <c r="M2087" s="362"/>
      <c r="N2087" s="299"/>
      <c r="O2087" s="362"/>
      <c r="P2087" s="448"/>
      <c r="Q2087" s="440"/>
      <c r="R2087" s="403" t="str">
        <f t="shared" si="135"/>
        <v>DELETE</v>
      </c>
    </row>
    <row r="2088" spans="2:18" ht="31.5" customHeight="1" x14ac:dyDescent="0.45">
      <c r="B2088" s="323"/>
      <c r="C2088" s="417"/>
      <c r="M2088" s="344">
        <f>Criteria!E22</f>
        <v>2024</v>
      </c>
      <c r="N2088" s="294"/>
      <c r="O2088" s="344">
        <f>Criteria!E27</f>
        <v>2023</v>
      </c>
      <c r="P2088" s="425"/>
      <c r="Q2088" s="442"/>
      <c r="R2088" s="403" t="str">
        <f t="shared" si="135"/>
        <v>DELETE</v>
      </c>
    </row>
    <row r="2089" spans="2:18" ht="31.5" customHeight="1" x14ac:dyDescent="0.45">
      <c r="B2089" s="323"/>
      <c r="C2089" s="417"/>
      <c r="M2089" s="363"/>
      <c r="N2089" s="314"/>
      <c r="O2089" s="363"/>
      <c r="P2089" s="425"/>
      <c r="Q2089" s="442"/>
      <c r="R2089" s="403" t="str">
        <f t="shared" si="135"/>
        <v>DELETE</v>
      </c>
    </row>
    <row r="2090" spans="2:18" ht="31.5" customHeight="1" x14ac:dyDescent="0.45">
      <c r="B2090" s="323">
        <f>MAX(B$559:B2089)+1</f>
        <v>31</v>
      </c>
      <c r="C2090" s="417" t="s">
        <v>1121</v>
      </c>
      <c r="M2090" s="363"/>
      <c r="N2090" s="314"/>
      <c r="O2090" s="363"/>
      <c r="P2090" s="425"/>
      <c r="Q2090" s="442"/>
      <c r="R2090" s="403" t="str">
        <f t="shared" si="135"/>
        <v>DELETE</v>
      </c>
    </row>
    <row r="2091" spans="2:18" ht="31.5" customHeight="1" x14ac:dyDescent="0.45">
      <c r="B2091" s="323"/>
      <c r="C2091" s="417"/>
      <c r="D2091" s="400" t="s">
        <v>1174</v>
      </c>
      <c r="M2091" s="363"/>
      <c r="N2091" s="314"/>
      <c r="O2091" s="363"/>
      <c r="P2091" s="425"/>
      <c r="Q2091" s="442"/>
      <c r="R2091" s="403" t="str">
        <f t="shared" si="135"/>
        <v>DELETE</v>
      </c>
    </row>
    <row r="2092" spans="2:18" ht="31.5" customHeight="1" x14ac:dyDescent="0.45">
      <c r="B2092" s="323"/>
      <c r="C2092" s="417"/>
      <c r="D2092" s="400" t="s">
        <v>1122</v>
      </c>
      <c r="M2092" s="363"/>
      <c r="N2092" s="314"/>
      <c r="O2092" s="363"/>
      <c r="P2092" s="425"/>
      <c r="Q2092" s="442"/>
      <c r="R2092" s="403" t="str">
        <f t="shared" si="135"/>
        <v>DELETE</v>
      </c>
    </row>
    <row r="2093" spans="2:18" ht="31.5" customHeight="1" x14ac:dyDescent="0.45">
      <c r="B2093" s="323"/>
      <c r="C2093" s="417"/>
      <c r="M2093" s="363"/>
      <c r="N2093" s="314"/>
      <c r="O2093" s="363"/>
      <c r="P2093" s="425"/>
      <c r="Q2093" s="442"/>
      <c r="R2093" s="403" t="str">
        <f t="shared" si="135"/>
        <v>DELETE</v>
      </c>
    </row>
    <row r="2094" spans="2:18" ht="31.5" customHeight="1" x14ac:dyDescent="0.45">
      <c r="B2094" s="323"/>
      <c r="C2094" s="417"/>
      <c r="E2094" s="400" t="s">
        <v>1114</v>
      </c>
      <c r="M2094" s="363">
        <f>Criteria!F360</f>
        <v>0</v>
      </c>
      <c r="N2094" s="314"/>
      <c r="O2094" s="363">
        <f>Criteria!G360</f>
        <v>0</v>
      </c>
      <c r="P2094" s="425"/>
      <c r="Q2094" s="442"/>
      <c r="R2094" s="403" t="str">
        <f t="shared" ref="R2094" si="136">IF(M2094+O2094=0,"DELETE"," ")</f>
        <v>DELETE</v>
      </c>
    </row>
    <row r="2095" spans="2:18" ht="31.5" customHeight="1" x14ac:dyDescent="0.45">
      <c r="B2095" s="323"/>
      <c r="C2095" s="417"/>
      <c r="E2095" s="400" t="s">
        <v>1120</v>
      </c>
      <c r="M2095" s="363">
        <f>Criteria!F361</f>
        <v>0</v>
      </c>
      <c r="N2095" s="314"/>
      <c r="O2095" s="363">
        <f>Criteria!G361</f>
        <v>0</v>
      </c>
      <c r="P2095" s="425"/>
      <c r="Q2095" s="442"/>
      <c r="R2095" s="403" t="str">
        <f>IF(M2095+O2095=0,"DELETE"," ")</f>
        <v>DELETE</v>
      </c>
    </row>
    <row r="2096" spans="2:18" ht="31.5" customHeight="1" x14ac:dyDescent="0.45">
      <c r="B2096" s="323"/>
      <c r="C2096" s="417"/>
      <c r="E2096" s="400" t="s">
        <v>1116</v>
      </c>
      <c r="M2096" s="363">
        <f>Criteria!F362</f>
        <v>0</v>
      </c>
      <c r="N2096" s="314"/>
      <c r="O2096" s="363">
        <f>Criteria!G362</f>
        <v>0</v>
      </c>
      <c r="P2096" s="425"/>
      <c r="Q2096" s="442"/>
      <c r="R2096" s="403" t="str">
        <f>IF(M2096+O2096=0,"DELETE"," ")</f>
        <v>DELETE</v>
      </c>
    </row>
    <row r="2097" spans="2:18" ht="9" customHeight="1" x14ac:dyDescent="0.45">
      <c r="B2097" s="323"/>
      <c r="C2097" s="417"/>
      <c r="M2097" s="349"/>
      <c r="N2097" s="300"/>
      <c r="O2097" s="349"/>
      <c r="P2097" s="425"/>
      <c r="Q2097" s="442"/>
      <c r="R2097" s="403" t="str">
        <f>R$2099</f>
        <v>DELETE</v>
      </c>
    </row>
    <row r="2098" spans="2:18" ht="9" customHeight="1" x14ac:dyDescent="0.45">
      <c r="B2098" s="323"/>
      <c r="C2098" s="417"/>
      <c r="M2098" s="363"/>
      <c r="N2098" s="314"/>
      <c r="O2098" s="363"/>
      <c r="P2098" s="425"/>
      <c r="Q2098" s="442"/>
      <c r="R2098" s="403" t="str">
        <f>R$2099</f>
        <v>DELETE</v>
      </c>
    </row>
    <row r="2099" spans="2:18" ht="31.5" customHeight="1" x14ac:dyDescent="0.45">
      <c r="B2099" s="323"/>
      <c r="C2099" s="417"/>
      <c r="M2099" s="363">
        <f>SUM(M2094:M2098)</f>
        <v>0</v>
      </c>
      <c r="N2099" s="314"/>
      <c r="O2099" s="363">
        <f>SUM(O2094:O2098)</f>
        <v>0</v>
      </c>
      <c r="P2099" s="425"/>
      <c r="Q2099" s="442"/>
      <c r="R2099" s="403" t="str">
        <f>IF(M2099+O2099=0,"DELETE"," ")</f>
        <v>DELETE</v>
      </c>
    </row>
    <row r="2100" spans="2:18" ht="9" customHeight="1" thickBot="1" x14ac:dyDescent="0.5">
      <c r="B2100" s="323"/>
      <c r="C2100" s="417"/>
      <c r="M2100" s="351"/>
      <c r="N2100" s="301"/>
      <c r="O2100" s="351"/>
      <c r="P2100" s="425"/>
      <c r="Q2100" s="442"/>
      <c r="R2100" s="403" t="str">
        <f t="shared" ref="R2100:R2105" si="137">R$2099</f>
        <v>DELETE</v>
      </c>
    </row>
    <row r="2101" spans="2:18" ht="9" customHeight="1" thickTop="1" x14ac:dyDescent="0.45">
      <c r="B2101" s="323"/>
      <c r="C2101" s="417"/>
      <c r="M2101" s="363"/>
      <c r="N2101" s="314"/>
      <c r="O2101" s="363"/>
      <c r="P2101" s="425"/>
      <c r="Q2101" s="442"/>
      <c r="R2101" s="403" t="str">
        <f t="shared" si="137"/>
        <v>DELETE</v>
      </c>
    </row>
    <row r="2102" spans="2:18" ht="31.5" customHeight="1" x14ac:dyDescent="0.45">
      <c r="B2102" s="323"/>
      <c r="C2102" s="417"/>
      <c r="M2102" s="363"/>
      <c r="N2102" s="314"/>
      <c r="O2102" s="363"/>
      <c r="P2102" s="425"/>
      <c r="Q2102" s="442"/>
      <c r="R2102" s="403" t="str">
        <f t="shared" si="137"/>
        <v>DELETE</v>
      </c>
    </row>
    <row r="2103" spans="2:18" ht="31.5" customHeight="1" x14ac:dyDescent="0.45">
      <c r="B2103" s="323"/>
      <c r="C2103" s="417"/>
      <c r="M2103" s="363"/>
      <c r="N2103" s="314"/>
      <c r="O2103" s="363"/>
      <c r="P2103" s="425"/>
      <c r="Q2103" s="442"/>
      <c r="R2103" s="403" t="str">
        <f t="shared" si="137"/>
        <v>DELETE</v>
      </c>
    </row>
    <row r="2104" spans="2:18" ht="31.5" customHeight="1" x14ac:dyDescent="0.45">
      <c r="B2104" s="324"/>
      <c r="C2104" s="465"/>
      <c r="D2104" s="429"/>
      <c r="E2104" s="429"/>
      <c r="F2104" s="429"/>
      <c r="G2104" s="429"/>
      <c r="H2104" s="429"/>
      <c r="I2104" s="429"/>
      <c r="J2104" s="429"/>
      <c r="K2104" s="429"/>
      <c r="L2104" s="429"/>
      <c r="M2104" s="349"/>
      <c r="N2104" s="300"/>
      <c r="O2104" s="349"/>
      <c r="P2104" s="433"/>
      <c r="Q2104" s="446"/>
      <c r="R2104" s="403" t="str">
        <f t="shared" si="137"/>
        <v>DELETE</v>
      </c>
    </row>
    <row r="2105" spans="2:18" ht="31.5" customHeight="1" x14ac:dyDescent="0.45">
      <c r="B2105" s="325"/>
      <c r="C2105" s="417"/>
      <c r="M2105" s="347"/>
      <c r="N2105" s="298"/>
      <c r="O2105" s="347"/>
      <c r="R2105" s="403" t="str">
        <f t="shared" si="137"/>
        <v>DELETE</v>
      </c>
    </row>
    <row r="2106" spans="2:18" ht="31.5" customHeight="1" x14ac:dyDescent="0.45">
      <c r="B2106" s="422"/>
      <c r="M2106" s="426"/>
      <c r="N2106" s="406"/>
      <c r="O2106" s="426"/>
    </row>
    <row r="2107" spans="2:18" ht="31.5" customHeight="1" x14ac:dyDescent="0.45">
      <c r="B2107" s="422"/>
      <c r="D2107" s="417" t="str">
        <f>Criteria!E9</f>
        <v>HOLDING COMPANY 268 (PROPRIETARY) LIMITED</v>
      </c>
      <c r="M2107" s="426"/>
      <c r="N2107" s="406"/>
      <c r="O2107" s="347" t="s">
        <v>96</v>
      </c>
      <c r="Q2107" s="292">
        <f>MAX($Q$114:Q2106)+1</f>
        <v>54</v>
      </c>
    </row>
    <row r="2108" spans="2:18" ht="31.5" customHeight="1" x14ac:dyDescent="0.45">
      <c r="B2108" s="422"/>
      <c r="D2108" s="417" t="str">
        <f>Criteria!E10</f>
        <v>CONSOLIDATED FINANCIAL STATEMENTS</v>
      </c>
      <c r="M2108" s="426"/>
      <c r="N2108" s="406"/>
      <c r="O2108" s="426"/>
      <c r="R2108" s="403" t="str">
        <f>IF(D2108=0,"DELETE"," ")</f>
        <v xml:space="preserve"> </v>
      </c>
    </row>
    <row r="2109" spans="2:18" ht="31.5" customHeight="1" x14ac:dyDescent="0.45">
      <c r="B2109" s="422"/>
      <c r="M2109" s="426"/>
      <c r="N2109" s="406"/>
      <c r="O2109" s="426"/>
    </row>
    <row r="2110" spans="2:18" ht="31.5" customHeight="1" x14ac:dyDescent="0.45">
      <c r="B2110" s="422"/>
      <c r="D2110" s="417" t="s">
        <v>377</v>
      </c>
      <c r="M2110" s="426"/>
      <c r="N2110" s="406"/>
      <c r="O2110" s="426"/>
    </row>
    <row r="2111" spans="2:18" ht="31.5" customHeight="1" x14ac:dyDescent="0.45">
      <c r="B2111" s="422"/>
      <c r="D2111" s="417" t="str">
        <f>Criteria!E20</f>
        <v>29 FEBRUARY 2024</v>
      </c>
      <c r="J2111" s="400" t="s">
        <v>247</v>
      </c>
      <c r="M2111" s="426"/>
      <c r="N2111" s="406"/>
      <c r="O2111" s="426"/>
    </row>
    <row r="2112" spans="2:18" ht="31.5" customHeight="1" x14ac:dyDescent="0.45">
      <c r="B2112" s="422"/>
      <c r="M2112" s="426"/>
      <c r="N2112" s="406"/>
      <c r="O2112" s="426"/>
    </row>
    <row r="2113" spans="2:18" ht="31.5" customHeight="1" x14ac:dyDescent="0.45">
      <c r="B2113" s="457"/>
      <c r="C2113" s="439"/>
      <c r="D2113" s="439"/>
      <c r="E2113" s="439"/>
      <c r="F2113" s="439"/>
      <c r="G2113" s="439"/>
      <c r="H2113" s="439"/>
      <c r="I2113" s="439"/>
      <c r="J2113" s="439"/>
      <c r="K2113" s="439"/>
      <c r="L2113" s="439"/>
      <c r="M2113" s="469"/>
      <c r="N2113" s="470"/>
      <c r="O2113" s="469"/>
      <c r="P2113" s="448"/>
      <c r="Q2113" s="440"/>
    </row>
    <row r="2114" spans="2:18" ht="31.5" customHeight="1" x14ac:dyDescent="0.45">
      <c r="B2114" s="323">
        <f>MAX(B$559:B2113)+1</f>
        <v>32</v>
      </c>
      <c r="C2114" s="315" t="s">
        <v>819</v>
      </c>
      <c r="M2114" s="436"/>
      <c r="N2114" s="460"/>
      <c r="O2114" s="436"/>
      <c r="P2114" s="425"/>
      <c r="Q2114" s="442"/>
    </row>
    <row r="2115" spans="2:18" ht="31.5" customHeight="1" x14ac:dyDescent="0.45">
      <c r="B2115" s="459"/>
      <c r="M2115" s="436"/>
      <c r="N2115" s="460"/>
      <c r="O2115" s="436"/>
      <c r="P2115" s="425"/>
      <c r="Q2115" s="442"/>
    </row>
    <row r="2116" spans="2:18" ht="31.5" customHeight="1" x14ac:dyDescent="0.45">
      <c r="B2116" s="459"/>
      <c r="C2116" s="400" t="str">
        <f>IF(Criteria!E24="Yes","The group entered into transactions with related parties in the ordinary course of business.","The group entered into transactions with related parties in the ordinary course of business, the")</f>
        <v>The group entered into transactions with related parties in the ordinary course of business, the</v>
      </c>
      <c r="M2116" s="436"/>
      <c r="N2116" s="460"/>
      <c r="O2116" s="436"/>
      <c r="P2116" s="425"/>
      <c r="Q2116" s="442"/>
    </row>
    <row r="2117" spans="2:18" ht="31.5" customHeight="1" x14ac:dyDescent="0.45">
      <c r="B2117" s="459"/>
      <c r="C2117" s="400" t="str">
        <f>IF(Criteria!E24="Yes"," ","nature of which was consistent with those previously reported.")</f>
        <v>nature of which was consistent with those previously reported.</v>
      </c>
      <c r="M2117" s="436"/>
      <c r="N2117" s="460"/>
      <c r="O2117" s="436"/>
      <c r="P2117" s="425"/>
      <c r="Q2117" s="442"/>
      <c r="R2117" s="403" t="str">
        <f>IF(C2117=" ","DELETE"," ")</f>
        <v xml:space="preserve"> </v>
      </c>
    </row>
    <row r="2118" spans="2:18" ht="31.5" customHeight="1" x14ac:dyDescent="0.45">
      <c r="B2118" s="459"/>
      <c r="M2118" s="436"/>
      <c r="N2118" s="460"/>
      <c r="O2118" s="436"/>
      <c r="P2118" s="425"/>
      <c r="Q2118" s="442"/>
    </row>
    <row r="2119" spans="2:18" ht="31.5" customHeight="1" x14ac:dyDescent="0.45">
      <c r="B2119" s="459"/>
      <c r="C2119" s="454" t="s">
        <v>829</v>
      </c>
      <c r="J2119" s="454" t="s">
        <v>820</v>
      </c>
      <c r="M2119" s="436"/>
      <c r="N2119" s="460"/>
      <c r="O2119" s="436"/>
      <c r="P2119" s="425"/>
      <c r="Q2119" s="442"/>
    </row>
    <row r="2120" spans="2:18" ht="31.5" customHeight="1" x14ac:dyDescent="0.45">
      <c r="B2120" s="459"/>
      <c r="D2120" s="400" t="str">
        <f>Criteria!E38</f>
        <v>A Director</v>
      </c>
      <c r="J2120" s="400" t="s">
        <v>821</v>
      </c>
      <c r="M2120" s="436"/>
      <c r="N2120" s="460"/>
      <c r="O2120" s="436"/>
      <c r="P2120" s="425"/>
      <c r="Q2120" s="442"/>
      <c r="R2120" s="403" t="str">
        <f>IF(D2120=0,"DELETE"," ")</f>
        <v xml:space="preserve"> </v>
      </c>
    </row>
    <row r="2121" spans="2:18" ht="31.5" customHeight="1" x14ac:dyDescent="0.45">
      <c r="B2121" s="459"/>
      <c r="D2121" s="400">
        <f>Criteria!E39</f>
        <v>0</v>
      </c>
      <c r="J2121" s="400" t="s">
        <v>821</v>
      </c>
      <c r="M2121" s="436"/>
      <c r="N2121" s="460"/>
      <c r="O2121" s="436"/>
      <c r="P2121" s="425"/>
      <c r="Q2121" s="442"/>
      <c r="R2121" s="403" t="str">
        <f t="shared" ref="R2121:R2124" si="138">IF(D2121=0,"DELETE"," ")</f>
        <v>DELETE</v>
      </c>
    </row>
    <row r="2122" spans="2:18" ht="31.5" customHeight="1" x14ac:dyDescent="0.45">
      <c r="B2122" s="459"/>
      <c r="D2122" s="400">
        <f>Criteria!E40</f>
        <v>0</v>
      </c>
      <c r="J2122" s="400" t="s">
        <v>821</v>
      </c>
      <c r="M2122" s="436"/>
      <c r="N2122" s="460"/>
      <c r="O2122" s="436"/>
      <c r="P2122" s="425"/>
      <c r="Q2122" s="442"/>
      <c r="R2122" s="403" t="str">
        <f t="shared" si="138"/>
        <v>DELETE</v>
      </c>
    </row>
    <row r="2123" spans="2:18" ht="31.5" customHeight="1" x14ac:dyDescent="0.45">
      <c r="B2123" s="459"/>
      <c r="D2123" s="400">
        <f>Criteria!E41</f>
        <v>0</v>
      </c>
      <c r="J2123" s="400" t="s">
        <v>821</v>
      </c>
      <c r="M2123" s="436"/>
      <c r="N2123" s="460"/>
      <c r="O2123" s="436"/>
      <c r="P2123" s="425"/>
      <c r="Q2123" s="442"/>
      <c r="R2123" s="403" t="str">
        <f t="shared" si="138"/>
        <v>DELETE</v>
      </c>
    </row>
    <row r="2124" spans="2:18" ht="31.5" customHeight="1" x14ac:dyDescent="0.45">
      <c r="B2124" s="459"/>
      <c r="D2124" s="400">
        <f>Criteria!E42</f>
        <v>0</v>
      </c>
      <c r="J2124" s="400" t="s">
        <v>821</v>
      </c>
      <c r="M2124" s="436"/>
      <c r="N2124" s="460"/>
      <c r="O2124" s="436"/>
      <c r="P2124" s="425"/>
      <c r="Q2124" s="442"/>
      <c r="R2124" s="403" t="str">
        <f t="shared" si="138"/>
        <v>DELETE</v>
      </c>
    </row>
    <row r="2125" spans="2:18" ht="31.5" customHeight="1" x14ac:dyDescent="0.45">
      <c r="B2125" s="459"/>
      <c r="M2125" s="436"/>
      <c r="N2125" s="460"/>
      <c r="O2125" s="436"/>
      <c r="P2125" s="425"/>
      <c r="Q2125" s="442"/>
    </row>
    <row r="2126" spans="2:18" ht="31.5" customHeight="1" x14ac:dyDescent="0.45">
      <c r="B2126" s="459"/>
      <c r="C2126" s="400" t="str">
        <f>CONCATENATE("The detail of ",IF(MAX(Criteria!I38:I42)&gt;1,"directors' remuneration","the director's remuneration")," are comprehensively disclosed in Note ",FS!C881," of the Notes to")</f>
        <v>The detail of the director's remuneration are comprehensively disclosed in Note 5.1 of the Notes to</v>
      </c>
      <c r="M2126" s="436"/>
      <c r="N2126" s="460"/>
      <c r="O2126" s="436"/>
      <c r="P2126" s="425"/>
      <c r="Q2126" s="442"/>
    </row>
    <row r="2127" spans="2:18" ht="31.5" customHeight="1" x14ac:dyDescent="0.45">
      <c r="B2127" s="459"/>
      <c r="C2127" s="400" t="s">
        <v>902</v>
      </c>
      <c r="M2127" s="436"/>
      <c r="N2127" s="460"/>
      <c r="O2127" s="436"/>
      <c r="P2127" s="425"/>
      <c r="Q2127" s="442"/>
    </row>
    <row r="2128" spans="2:18" ht="31.5" customHeight="1" x14ac:dyDescent="0.45">
      <c r="B2128" s="459"/>
      <c r="M2128" s="436"/>
      <c r="N2128" s="460"/>
      <c r="O2128" s="436"/>
      <c r="P2128" s="425"/>
      <c r="Q2128" s="442"/>
    </row>
    <row r="2129" spans="2:18" ht="31.5" customHeight="1" x14ac:dyDescent="0.45">
      <c r="B2129" s="459"/>
      <c r="C2129" s="400" t="str">
        <f>IF(SUM(Criteria!G369:H369)&gt;0,"Related party balances and transactions with entities with control, joint control or significant influence","There were no related party balances outstanding at year end and no further transactions with entities,")</f>
        <v>There were no related party balances outstanding at year end and no further transactions with entities,</v>
      </c>
      <c r="M2129" s="436"/>
      <c r="N2129" s="460"/>
      <c r="O2129" s="436"/>
      <c r="P2129" s="425"/>
      <c r="Q2129" s="442"/>
    </row>
    <row r="2130" spans="2:18" ht="31.5" customHeight="1" x14ac:dyDescent="0.45">
      <c r="B2130" s="459"/>
      <c r="C2130" s="400" t="str">
        <f>IF(SUM(Criteria!G369:H369)&gt;0,"over the group are as follows:","with control, joint control or significant influence over the group.")</f>
        <v>with control, joint control or significant influence over the group.</v>
      </c>
      <c r="M2130" s="436"/>
      <c r="N2130" s="460"/>
      <c r="O2130" s="436"/>
      <c r="P2130" s="425"/>
      <c r="Q2130" s="442"/>
    </row>
    <row r="2131" spans="2:18" ht="31.5" customHeight="1" x14ac:dyDescent="0.45">
      <c r="B2131" s="459"/>
      <c r="L2131" s="514" t="s">
        <v>688</v>
      </c>
      <c r="M2131" s="514"/>
      <c r="N2131" s="514"/>
      <c r="O2131" s="514" t="s">
        <v>89</v>
      </c>
      <c r="P2131" s="514"/>
      <c r="Q2131" s="442"/>
      <c r="R2131" s="403" t="str">
        <f>IF(SUM(Criteria!G369:H369)&gt;0," ","DELETE")</f>
        <v>DELETE</v>
      </c>
    </row>
    <row r="2132" spans="2:18" ht="31.5" customHeight="1" x14ac:dyDescent="0.45">
      <c r="B2132" s="459"/>
      <c r="C2132" s="454" t="s">
        <v>822</v>
      </c>
      <c r="L2132" s="513" t="s">
        <v>826</v>
      </c>
      <c r="M2132" s="513"/>
      <c r="N2132" s="513"/>
      <c r="O2132" s="513" t="s">
        <v>823</v>
      </c>
      <c r="P2132" s="513"/>
      <c r="Q2132" s="442"/>
      <c r="R2132" s="403" t="str">
        <f>R2131</f>
        <v>DELETE</v>
      </c>
    </row>
    <row r="2133" spans="2:18" ht="31.5" customHeight="1" x14ac:dyDescent="0.45">
      <c r="B2133" s="459"/>
      <c r="M2133" s="436"/>
      <c r="N2133" s="460"/>
      <c r="O2133" s="436"/>
      <c r="P2133" s="425"/>
      <c r="Q2133" s="442"/>
    </row>
    <row r="2134" spans="2:18" ht="31.5" customHeight="1" x14ac:dyDescent="0.45">
      <c r="B2134" s="459"/>
      <c r="C2134" s="400">
        <f>Criteria!C369</f>
        <v>0</v>
      </c>
      <c r="M2134" s="436">
        <f>-Criteria!F369</f>
        <v>0</v>
      </c>
      <c r="N2134" s="460"/>
      <c r="O2134" s="436">
        <f>Criteria!E369</f>
        <v>0</v>
      </c>
      <c r="P2134" s="425"/>
      <c r="Q2134" s="442"/>
      <c r="R2134" s="403" t="str">
        <f>IF(M2134=0,IF(O2134=0,"DELETE"," ")," ")</f>
        <v>DELETE</v>
      </c>
    </row>
    <row r="2135" spans="2:18" ht="31.5" customHeight="1" x14ac:dyDescent="0.45">
      <c r="B2135" s="459"/>
      <c r="C2135" s="400">
        <f>Criteria!C370</f>
        <v>0</v>
      </c>
      <c r="M2135" s="436">
        <f>-Criteria!F370</f>
        <v>0</v>
      </c>
      <c r="N2135" s="460"/>
      <c r="O2135" s="436">
        <f>Criteria!E370</f>
        <v>0</v>
      </c>
      <c r="P2135" s="425"/>
      <c r="Q2135" s="442"/>
      <c r="R2135" s="403" t="str">
        <f t="shared" ref="R2135:R2143" si="139">IF(M2135=0,IF(O2135=0,"DELETE"," ")," ")</f>
        <v>DELETE</v>
      </c>
    </row>
    <row r="2136" spans="2:18" ht="31.5" customHeight="1" x14ac:dyDescent="0.45">
      <c r="B2136" s="459"/>
      <c r="C2136" s="400">
        <f>Criteria!C371</f>
        <v>0</v>
      </c>
      <c r="M2136" s="436">
        <f>-Criteria!F371</f>
        <v>0</v>
      </c>
      <c r="N2136" s="460"/>
      <c r="O2136" s="436">
        <f>Criteria!E371</f>
        <v>0</v>
      </c>
      <c r="P2136" s="425"/>
      <c r="Q2136" s="442"/>
      <c r="R2136" s="403" t="str">
        <f t="shared" si="139"/>
        <v>DELETE</v>
      </c>
    </row>
    <row r="2137" spans="2:18" ht="31.5" customHeight="1" x14ac:dyDescent="0.45">
      <c r="B2137" s="459"/>
      <c r="C2137" s="400">
        <f>Criteria!C372</f>
        <v>0</v>
      </c>
      <c r="M2137" s="436">
        <f>-Criteria!F372</f>
        <v>0</v>
      </c>
      <c r="N2137" s="460"/>
      <c r="O2137" s="436">
        <f>Criteria!E372</f>
        <v>0</v>
      </c>
      <c r="P2137" s="425"/>
      <c r="Q2137" s="442"/>
      <c r="R2137" s="403" t="str">
        <f t="shared" si="139"/>
        <v>DELETE</v>
      </c>
    </row>
    <row r="2138" spans="2:18" ht="31.5" customHeight="1" x14ac:dyDescent="0.45">
      <c r="B2138" s="459"/>
      <c r="C2138" s="400">
        <f>Criteria!C373</f>
        <v>0</v>
      </c>
      <c r="M2138" s="436">
        <f>-Criteria!F373</f>
        <v>0</v>
      </c>
      <c r="N2138" s="460"/>
      <c r="O2138" s="436">
        <f>Criteria!E373</f>
        <v>0</v>
      </c>
      <c r="P2138" s="425"/>
      <c r="Q2138" s="442"/>
      <c r="R2138" s="403" t="str">
        <f t="shared" si="139"/>
        <v>DELETE</v>
      </c>
    </row>
    <row r="2139" spans="2:18" ht="31.5" customHeight="1" x14ac:dyDescent="0.45">
      <c r="B2139" s="459"/>
      <c r="C2139" s="400">
        <f>Criteria!C374</f>
        <v>0</v>
      </c>
      <c r="M2139" s="436">
        <f>-Criteria!F374</f>
        <v>0</v>
      </c>
      <c r="N2139" s="460"/>
      <c r="O2139" s="436">
        <f>Criteria!E374</f>
        <v>0</v>
      </c>
      <c r="P2139" s="425"/>
      <c r="Q2139" s="442"/>
      <c r="R2139" s="403" t="str">
        <f t="shared" si="139"/>
        <v>DELETE</v>
      </c>
    </row>
    <row r="2140" spans="2:18" ht="31.5" customHeight="1" x14ac:dyDescent="0.45">
      <c r="B2140" s="459"/>
      <c r="C2140" s="400">
        <f>Criteria!C375</f>
        <v>0</v>
      </c>
      <c r="M2140" s="436">
        <f>-Criteria!F375</f>
        <v>0</v>
      </c>
      <c r="N2140" s="460"/>
      <c r="O2140" s="436">
        <f>Criteria!E375</f>
        <v>0</v>
      </c>
      <c r="P2140" s="425"/>
      <c r="Q2140" s="442"/>
      <c r="R2140" s="403" t="str">
        <f t="shared" si="139"/>
        <v>DELETE</v>
      </c>
    </row>
    <row r="2141" spans="2:18" ht="31.5" customHeight="1" x14ac:dyDescent="0.45">
      <c r="B2141" s="459"/>
      <c r="C2141" s="400">
        <f>Criteria!C376</f>
        <v>0</v>
      </c>
      <c r="M2141" s="436">
        <f>-Criteria!F376</f>
        <v>0</v>
      </c>
      <c r="N2141" s="460"/>
      <c r="O2141" s="436">
        <f>Criteria!E376</f>
        <v>0</v>
      </c>
      <c r="P2141" s="425"/>
      <c r="Q2141" s="442"/>
      <c r="R2141" s="403" t="str">
        <f t="shared" si="139"/>
        <v>DELETE</v>
      </c>
    </row>
    <row r="2142" spans="2:18" ht="31.5" customHeight="1" x14ac:dyDescent="0.45">
      <c r="B2142" s="459"/>
      <c r="C2142" s="400">
        <f>Criteria!C377</f>
        <v>0</v>
      </c>
      <c r="M2142" s="436">
        <f>-Criteria!F377</f>
        <v>0</v>
      </c>
      <c r="N2142" s="460"/>
      <c r="O2142" s="436">
        <f>Criteria!E377</f>
        <v>0</v>
      </c>
      <c r="P2142" s="425"/>
      <c r="Q2142" s="442"/>
      <c r="R2142" s="403" t="str">
        <f t="shared" si="139"/>
        <v>DELETE</v>
      </c>
    </row>
    <row r="2143" spans="2:18" ht="31.5" customHeight="1" x14ac:dyDescent="0.45">
      <c r="B2143" s="459"/>
      <c r="C2143" s="400">
        <f>Criteria!C378</f>
        <v>0</v>
      </c>
      <c r="M2143" s="436">
        <f>-Criteria!F378</f>
        <v>0</v>
      </c>
      <c r="N2143" s="460"/>
      <c r="O2143" s="436">
        <f>Criteria!E378</f>
        <v>0</v>
      </c>
      <c r="P2143" s="425"/>
      <c r="Q2143" s="442"/>
      <c r="R2143" s="403" t="str">
        <f t="shared" si="139"/>
        <v>DELETE</v>
      </c>
    </row>
    <row r="2144" spans="2:18" ht="31.5" customHeight="1" x14ac:dyDescent="0.45">
      <c r="B2144" s="459"/>
      <c r="M2144" s="436"/>
      <c r="N2144" s="460"/>
      <c r="O2144" s="436"/>
      <c r="P2144" s="425"/>
      <c r="Q2144" s="442"/>
    </row>
    <row r="2145" spans="2:24" ht="31.5" customHeight="1" x14ac:dyDescent="0.45">
      <c r="B2145" s="459"/>
      <c r="M2145" s="436"/>
      <c r="N2145" s="460"/>
      <c r="O2145" s="436"/>
      <c r="P2145" s="425"/>
      <c r="Q2145" s="442"/>
    </row>
    <row r="2146" spans="2:24" ht="31.5" customHeight="1" x14ac:dyDescent="0.45">
      <c r="B2146" s="455"/>
      <c r="C2146" s="429"/>
      <c r="D2146" s="429"/>
      <c r="E2146" s="429"/>
      <c r="F2146" s="429"/>
      <c r="G2146" s="429"/>
      <c r="H2146" s="429"/>
      <c r="I2146" s="429"/>
      <c r="J2146" s="429"/>
      <c r="K2146" s="429"/>
      <c r="L2146" s="429"/>
      <c r="M2146" s="437"/>
      <c r="N2146" s="461"/>
      <c r="O2146" s="437"/>
      <c r="P2146" s="433"/>
      <c r="Q2146" s="446"/>
    </row>
    <row r="2147" spans="2:24" ht="31.5" customHeight="1" x14ac:dyDescent="0.45">
      <c r="M2147" s="426"/>
      <c r="N2147" s="406"/>
      <c r="O2147" s="426"/>
    </row>
    <row r="2148" spans="2:24" ht="31.5" customHeight="1" x14ac:dyDescent="0.45">
      <c r="M2148" s="426"/>
      <c r="N2148" s="406"/>
      <c r="O2148" s="426"/>
    </row>
    <row r="2149" spans="2:24" ht="31.5" customHeight="1" x14ac:dyDescent="0.45">
      <c r="D2149" s="417" t="str">
        <f>Criteria!E9</f>
        <v>HOLDING COMPANY 268 (PROPRIETARY) LIMITED</v>
      </c>
      <c r="M2149" s="426"/>
      <c r="N2149" s="406"/>
      <c r="O2149" s="347" t="s">
        <v>96</v>
      </c>
      <c r="Q2149" s="292">
        <f>MAX($Q$114:Q2148)+1</f>
        <v>55</v>
      </c>
    </row>
    <row r="2150" spans="2:24" ht="31.5" customHeight="1" x14ac:dyDescent="0.45">
      <c r="D2150" s="417" t="str">
        <f>IF(Criteria!E13=0," ",CONCATENATE("T/A ",Criteria!E13))</f>
        <v>T/A INVESTMENTS IN FINANCIAL INSTRUMENTS</v>
      </c>
      <c r="M2150" s="426"/>
      <c r="N2150" s="406"/>
      <c r="O2150" s="426"/>
      <c r="R2150" s="403" t="str">
        <f>IF(Criteria!E13=0,"DELETE"," ")</f>
        <v xml:space="preserve"> </v>
      </c>
    </row>
    <row r="2151" spans="2:24" ht="31.5" customHeight="1" x14ac:dyDescent="0.45">
      <c r="M2151" s="426"/>
      <c r="N2151" s="406"/>
      <c r="O2151" s="426"/>
    </row>
    <row r="2152" spans="2:24" ht="31.5" customHeight="1" x14ac:dyDescent="0.45">
      <c r="D2152" s="417" t="s">
        <v>91</v>
      </c>
      <c r="M2152" s="426"/>
      <c r="N2152" s="406"/>
      <c r="O2152" s="426"/>
    </row>
    <row r="2153" spans="2:24" ht="31.5" customHeight="1" x14ac:dyDescent="0.45">
      <c r="D2153" s="417" t="str">
        <f>Criteria!E20</f>
        <v>29 FEBRUARY 2024</v>
      </c>
      <c r="M2153" s="426"/>
      <c r="N2153" s="406"/>
      <c r="O2153" s="426"/>
    </row>
    <row r="2154" spans="2:24" ht="31.5" customHeight="1" x14ac:dyDescent="0.45">
      <c r="M2154" s="426"/>
      <c r="N2154" s="406"/>
      <c r="O2154" s="426"/>
    </row>
    <row r="2155" spans="2:24" ht="31.5" customHeight="1" x14ac:dyDescent="0.45">
      <c r="B2155" s="438"/>
      <c r="C2155" s="439"/>
      <c r="D2155" s="439"/>
      <c r="E2155" s="439"/>
      <c r="F2155" s="439"/>
      <c r="G2155" s="439"/>
      <c r="H2155" s="439"/>
      <c r="I2155" s="439"/>
      <c r="J2155" s="439"/>
      <c r="K2155" s="439"/>
      <c r="L2155" s="439"/>
      <c r="M2155" s="469"/>
      <c r="N2155" s="470"/>
      <c r="O2155" s="469"/>
      <c r="P2155" s="448"/>
      <c r="Q2155" s="440"/>
    </row>
    <row r="2156" spans="2:24" ht="31.5" customHeight="1" x14ac:dyDescent="0.45">
      <c r="B2156" s="441"/>
      <c r="J2156" s="292"/>
      <c r="K2156" s="292" t="s">
        <v>104</v>
      </c>
      <c r="L2156" s="292"/>
      <c r="M2156" s="344">
        <f>Criteria!E22</f>
        <v>2024</v>
      </c>
      <c r="N2156" s="294"/>
      <c r="O2156" s="344">
        <f>Criteria!E27</f>
        <v>2023</v>
      </c>
      <c r="P2156" s="295"/>
      <c r="Q2156" s="442"/>
    </row>
    <row r="2157" spans="2:24" ht="31.5" customHeight="1" x14ac:dyDescent="0.45">
      <c r="B2157" s="441"/>
      <c r="J2157" s="292"/>
      <c r="K2157" s="292"/>
      <c r="L2157" s="292"/>
      <c r="M2157" s="347"/>
      <c r="N2157" s="298"/>
      <c r="O2157" s="347"/>
      <c r="P2157" s="295"/>
      <c r="Q2157" s="442"/>
    </row>
    <row r="2158" spans="2:24" ht="31.5" customHeight="1" x14ac:dyDescent="0.45">
      <c r="B2158" s="441"/>
      <c r="C2158" s="417" t="s">
        <v>112</v>
      </c>
      <c r="J2158" s="292"/>
      <c r="K2158" s="292"/>
      <c r="L2158" s="292"/>
      <c r="M2158" s="347">
        <f>-SUM(TrialBalance!L5:L10)</f>
        <v>0</v>
      </c>
      <c r="N2158" s="298"/>
      <c r="O2158" s="347">
        <f>-SUM(TrialBalance!N5:N10)</f>
        <v>0</v>
      </c>
      <c r="P2158" s="295"/>
      <c r="Q2158" s="442"/>
      <c r="R2158" s="403" t="str">
        <f>IF(M2158+O2158=0,IF(M2160+O2160=0," ","DELETE")," ")</f>
        <v xml:space="preserve"> </v>
      </c>
      <c r="S2158" s="380">
        <f>M2158</f>
        <v>0</v>
      </c>
      <c r="T2158" s="380"/>
      <c r="U2158" s="380">
        <f>O2158</f>
        <v>0</v>
      </c>
      <c r="V2158" s="380"/>
      <c r="W2158" s="380"/>
      <c r="X2158" s="380"/>
    </row>
    <row r="2159" spans="2:24" ht="31.5" customHeight="1" x14ac:dyDescent="0.45">
      <c r="B2159" s="441"/>
      <c r="C2159" s="417"/>
      <c r="J2159" s="292"/>
      <c r="K2159" s="292"/>
      <c r="L2159" s="292"/>
      <c r="M2159" s="347"/>
      <c r="N2159" s="298"/>
      <c r="O2159" s="347"/>
      <c r="P2159" s="295"/>
      <c r="Q2159" s="442"/>
      <c r="R2159" s="403" t="str">
        <f>R2158</f>
        <v xml:space="preserve"> </v>
      </c>
      <c r="S2159" s="380"/>
      <c r="T2159" s="380"/>
      <c r="U2159" s="380"/>
      <c r="V2159" s="380"/>
      <c r="W2159" s="380"/>
      <c r="X2159" s="380"/>
    </row>
    <row r="2160" spans="2:24" ht="31.5" customHeight="1" x14ac:dyDescent="0.45">
      <c r="B2160" s="441"/>
      <c r="C2160" s="417" t="s">
        <v>525</v>
      </c>
      <c r="J2160" s="292"/>
      <c r="K2160" s="292"/>
      <c r="L2160" s="292"/>
      <c r="M2160" s="347">
        <f>-TrialBalance!L11</f>
        <v>0</v>
      </c>
      <c r="N2160" s="298"/>
      <c r="O2160" s="347">
        <f>-TrialBalance!N11</f>
        <v>0</v>
      </c>
      <c r="P2160" s="295"/>
      <c r="Q2160" s="442"/>
      <c r="R2160" s="403" t="str">
        <f>IF(M2160+O2160=0,"DELETE"," ")</f>
        <v>DELETE</v>
      </c>
      <c r="S2160" s="380">
        <f>M2160</f>
        <v>0</v>
      </c>
      <c r="T2160" s="380"/>
      <c r="U2160" s="380">
        <f>O2160</f>
        <v>0</v>
      </c>
      <c r="V2160" s="380"/>
      <c r="W2160" s="380"/>
      <c r="X2160" s="380"/>
    </row>
    <row r="2161" spans="2:26" ht="31.5" customHeight="1" x14ac:dyDescent="0.45">
      <c r="B2161" s="441"/>
      <c r="C2161" s="417"/>
      <c r="J2161" s="292"/>
      <c r="K2161" s="292"/>
      <c r="L2161" s="292"/>
      <c r="M2161" s="347"/>
      <c r="N2161" s="298"/>
      <c r="O2161" s="347"/>
      <c r="P2161" s="295"/>
      <c r="Q2161" s="442"/>
      <c r="R2161" s="403" t="str">
        <f>R2160</f>
        <v>DELETE</v>
      </c>
    </row>
    <row r="2162" spans="2:26" ht="31.5" customHeight="1" x14ac:dyDescent="0.45">
      <c r="B2162" s="441"/>
      <c r="C2162" s="417" t="s">
        <v>273</v>
      </c>
      <c r="J2162" s="292"/>
      <c r="K2162" s="292"/>
      <c r="L2162" s="292"/>
      <c r="M2162" s="347">
        <f>SUM(M2165:M2172)</f>
        <v>0</v>
      </c>
      <c r="N2162" s="298"/>
      <c r="O2162" s="347">
        <f>SUM(O2165:O2172)</f>
        <v>0</v>
      </c>
      <c r="P2162" s="295"/>
      <c r="Q2162" s="442"/>
      <c r="R2162" s="403" t="str">
        <f>IF(M2162=0,IF(O2162=0,"DELETE"," ")," ")</f>
        <v>DELETE</v>
      </c>
      <c r="S2162" s="380">
        <f>-M2162</f>
        <v>0</v>
      </c>
      <c r="T2162" s="380"/>
      <c r="U2162" s="380">
        <f>-O2162</f>
        <v>0</v>
      </c>
      <c r="V2162" s="380"/>
      <c r="W2162" s="380"/>
      <c r="X2162" s="380"/>
    </row>
    <row r="2163" spans="2:26" ht="9" customHeight="1" x14ac:dyDescent="0.45">
      <c r="B2163" s="441"/>
      <c r="C2163" s="417"/>
      <c r="J2163" s="292"/>
      <c r="K2163" s="292"/>
      <c r="L2163" s="292"/>
      <c r="M2163" s="347"/>
      <c r="N2163" s="298"/>
      <c r="O2163" s="347"/>
      <c r="P2163" s="295"/>
      <c r="Q2163" s="442"/>
      <c r="R2163" s="403" t="str">
        <f>R2162</f>
        <v>DELETE</v>
      </c>
    </row>
    <row r="2164" spans="2:26" ht="9" customHeight="1" x14ac:dyDescent="0.45">
      <c r="B2164" s="441"/>
      <c r="C2164" s="417"/>
      <c r="J2164" s="292"/>
      <c r="K2164" s="292"/>
      <c r="L2164" s="292"/>
      <c r="M2164" s="353"/>
      <c r="N2164" s="299"/>
      <c r="O2164" s="366"/>
      <c r="P2164" s="295"/>
      <c r="Q2164" s="442"/>
      <c r="R2164" s="403" t="str">
        <f>R2163</f>
        <v>DELETE</v>
      </c>
    </row>
    <row r="2165" spans="2:26" ht="31.5" customHeight="1" x14ac:dyDescent="0.45">
      <c r="B2165" s="441"/>
      <c r="C2165" s="417"/>
      <c r="D2165" s="400" t="s">
        <v>527</v>
      </c>
      <c r="J2165" s="292"/>
      <c r="K2165" s="292"/>
      <c r="L2165" s="292"/>
      <c r="M2165" s="354">
        <f>SUM(TrialBalance!L13:L16)</f>
        <v>0</v>
      </c>
      <c r="N2165" s="298"/>
      <c r="O2165" s="367">
        <f>SUM(TrialBalance!N13:N16)</f>
        <v>0</v>
      </c>
      <c r="P2165" s="295"/>
      <c r="Q2165" s="442"/>
      <c r="R2165" s="403" t="str">
        <f t="shared" ref="R2165:R2172" si="140">IF(M2165+O2165=0,"DELETE"," ")</f>
        <v>DELETE</v>
      </c>
    </row>
    <row r="2166" spans="2:26" ht="31.5" customHeight="1" x14ac:dyDescent="0.45">
      <c r="B2166" s="441"/>
      <c r="C2166" s="417"/>
      <c r="D2166" s="400" t="s">
        <v>274</v>
      </c>
      <c r="J2166" s="292"/>
      <c r="K2166" s="292"/>
      <c r="L2166" s="292"/>
      <c r="M2166" s="354">
        <f>TrialBalance!L17</f>
        <v>0</v>
      </c>
      <c r="N2166" s="298"/>
      <c r="O2166" s="367">
        <f>TrialBalance!N17</f>
        <v>0</v>
      </c>
      <c r="P2166" s="295"/>
      <c r="Q2166" s="442"/>
      <c r="R2166" s="403" t="str">
        <f t="shared" si="140"/>
        <v>DELETE</v>
      </c>
    </row>
    <row r="2167" spans="2:26" ht="31.5" customHeight="1" x14ac:dyDescent="0.45">
      <c r="B2167" s="441"/>
      <c r="C2167" s="417"/>
      <c r="D2167" s="400">
        <f>TrialBalance!C18</f>
        <v>0</v>
      </c>
      <c r="J2167" s="292"/>
      <c r="K2167" s="292"/>
      <c r="L2167" s="292"/>
      <c r="M2167" s="354">
        <f>TrialBalance!L18</f>
        <v>0</v>
      </c>
      <c r="N2167" s="298"/>
      <c r="O2167" s="367">
        <f>TrialBalance!N18</f>
        <v>0</v>
      </c>
      <c r="P2167" s="295"/>
      <c r="Q2167" s="442"/>
      <c r="R2167" s="403" t="str">
        <f t="shared" si="140"/>
        <v>DELETE</v>
      </c>
    </row>
    <row r="2168" spans="2:26" ht="31.5" customHeight="1" x14ac:dyDescent="0.45">
      <c r="B2168" s="441"/>
      <c r="C2168" s="417"/>
      <c r="D2168" s="400">
        <f>TrialBalance!C19</f>
        <v>0</v>
      </c>
      <c r="J2168" s="292"/>
      <c r="K2168" s="292"/>
      <c r="L2168" s="292"/>
      <c r="M2168" s="354">
        <f>TrialBalance!L19</f>
        <v>0</v>
      </c>
      <c r="N2168" s="298"/>
      <c r="O2168" s="367">
        <f>TrialBalance!N19</f>
        <v>0</v>
      </c>
      <c r="P2168" s="295"/>
      <c r="Q2168" s="442"/>
      <c r="R2168" s="403" t="str">
        <f t="shared" si="140"/>
        <v>DELETE</v>
      </c>
    </row>
    <row r="2169" spans="2:26" ht="31.5" customHeight="1" x14ac:dyDescent="0.45">
      <c r="B2169" s="441"/>
      <c r="C2169" s="417"/>
      <c r="D2169" s="400">
        <f>TrialBalance!C20</f>
        <v>0</v>
      </c>
      <c r="J2169" s="292"/>
      <c r="K2169" s="292"/>
      <c r="L2169" s="292"/>
      <c r="M2169" s="354">
        <f>TrialBalance!L20</f>
        <v>0</v>
      </c>
      <c r="N2169" s="298"/>
      <c r="O2169" s="367">
        <f>TrialBalance!N20</f>
        <v>0</v>
      </c>
      <c r="P2169" s="295"/>
      <c r="Q2169" s="442"/>
      <c r="R2169" s="403" t="str">
        <f t="shared" si="140"/>
        <v>DELETE</v>
      </c>
    </row>
    <row r="2170" spans="2:26" ht="31.5" customHeight="1" x14ac:dyDescent="0.45">
      <c r="B2170" s="441"/>
      <c r="C2170" s="417"/>
      <c r="D2170" s="400">
        <f>TrialBalance!C21</f>
        <v>0</v>
      </c>
      <c r="J2170" s="292"/>
      <c r="K2170" s="292"/>
      <c r="L2170" s="292"/>
      <c r="M2170" s="354">
        <f>TrialBalance!L21</f>
        <v>0</v>
      </c>
      <c r="N2170" s="298"/>
      <c r="O2170" s="367">
        <f>TrialBalance!N21</f>
        <v>0</v>
      </c>
      <c r="P2170" s="295"/>
      <c r="Q2170" s="442"/>
      <c r="R2170" s="403" t="str">
        <f t="shared" si="140"/>
        <v>DELETE</v>
      </c>
    </row>
    <row r="2171" spans="2:26" ht="31.5" customHeight="1" x14ac:dyDescent="0.45">
      <c r="B2171" s="441"/>
      <c r="C2171" s="417"/>
      <c r="D2171" s="400">
        <f>TrialBalance!C22</f>
        <v>0</v>
      </c>
      <c r="J2171" s="292"/>
      <c r="K2171" s="292"/>
      <c r="L2171" s="292"/>
      <c r="M2171" s="354">
        <f>TrialBalance!L22</f>
        <v>0</v>
      </c>
      <c r="N2171" s="298"/>
      <c r="O2171" s="367">
        <f>TrialBalance!N22</f>
        <v>0</v>
      </c>
      <c r="P2171" s="295"/>
      <c r="Q2171" s="442"/>
      <c r="R2171" s="403" t="str">
        <f t="shared" si="140"/>
        <v>DELETE</v>
      </c>
    </row>
    <row r="2172" spans="2:26" ht="31.5" customHeight="1" x14ac:dyDescent="0.45">
      <c r="B2172" s="441"/>
      <c r="C2172" s="417"/>
      <c r="D2172" s="400" t="s">
        <v>528</v>
      </c>
      <c r="J2172" s="292"/>
      <c r="K2172" s="292"/>
      <c r="L2172" s="292"/>
      <c r="M2172" s="354">
        <f>SUM(TrialBalance!L23:L26)</f>
        <v>0</v>
      </c>
      <c r="N2172" s="298"/>
      <c r="O2172" s="367">
        <f>SUM(TrialBalance!N23:N26)</f>
        <v>0</v>
      </c>
      <c r="P2172" s="295"/>
      <c r="Q2172" s="442"/>
      <c r="R2172" s="403" t="str">
        <f t="shared" si="140"/>
        <v>DELETE</v>
      </c>
    </row>
    <row r="2173" spans="2:26" ht="9" customHeight="1" x14ac:dyDescent="0.45">
      <c r="B2173" s="441"/>
      <c r="C2173" s="417"/>
      <c r="J2173" s="292"/>
      <c r="K2173" s="292"/>
      <c r="L2173" s="292"/>
      <c r="M2173" s="355"/>
      <c r="N2173" s="300"/>
      <c r="O2173" s="368"/>
      <c r="P2173" s="295"/>
      <c r="Q2173" s="442"/>
      <c r="R2173" s="403" t="str">
        <f>R2162</f>
        <v>DELETE</v>
      </c>
    </row>
    <row r="2174" spans="2:26" ht="9" customHeight="1" x14ac:dyDescent="0.45">
      <c r="B2174" s="441"/>
      <c r="C2174" s="417"/>
      <c r="J2174" s="292"/>
      <c r="K2174" s="292"/>
      <c r="L2174" s="292"/>
      <c r="M2174" s="349"/>
      <c r="N2174" s="300"/>
      <c r="O2174" s="349"/>
      <c r="P2174" s="295"/>
      <c r="Q2174" s="442"/>
      <c r="R2174" s="403" t="str">
        <f>R2162</f>
        <v>DELETE</v>
      </c>
    </row>
    <row r="2175" spans="2:26" ht="9" customHeight="1" x14ac:dyDescent="0.45">
      <c r="B2175" s="441"/>
      <c r="C2175" s="417"/>
      <c r="J2175" s="292"/>
      <c r="K2175" s="292"/>
      <c r="L2175" s="292"/>
      <c r="M2175" s="347"/>
      <c r="N2175" s="298"/>
      <c r="O2175" s="347"/>
      <c r="P2175" s="295"/>
      <c r="Q2175" s="442"/>
      <c r="R2175" s="403" t="str">
        <f>R2174</f>
        <v>DELETE</v>
      </c>
    </row>
    <row r="2176" spans="2:26" ht="31.5" customHeight="1" x14ac:dyDescent="0.45">
      <c r="B2176" s="441"/>
      <c r="C2176" s="315" t="str">
        <f>IF((Y2176+Z2176)=3,"GROSS PROFIT/(LOSS)",(IF((Y2176+Z2176=4),"GROSS PROFIT","GROSS LOSS")))</f>
        <v>GROSS PROFIT</v>
      </c>
      <c r="J2176" s="292"/>
      <c r="K2176" s="292"/>
      <c r="L2176" s="292"/>
      <c r="M2176" s="347">
        <f>SUM(S2158:S2173)</f>
        <v>0</v>
      </c>
      <c r="N2176" s="298"/>
      <c r="O2176" s="347">
        <f>SUM(U2158:U2173)</f>
        <v>0</v>
      </c>
      <c r="P2176" s="295"/>
      <c r="Q2176" s="442"/>
      <c r="R2176" s="403" t="str">
        <f>R2175</f>
        <v>DELETE</v>
      </c>
      <c r="Y2176" s="378">
        <f>IF(M2176&lt;0,1,IF(M2176=0,IF(O2176&lt;0,1,2),2))</f>
        <v>2</v>
      </c>
      <c r="Z2176" s="378">
        <f>IF(O2176&lt;0,1,IF(O2176=0,IF(M2176&lt;0,1,2),2))</f>
        <v>2</v>
      </c>
    </row>
    <row r="2177" spans="2:24" ht="31.5" customHeight="1" x14ac:dyDescent="0.45">
      <c r="B2177" s="441"/>
      <c r="C2177" s="417"/>
      <c r="J2177" s="292"/>
      <c r="K2177" s="292"/>
      <c r="L2177" s="292"/>
      <c r="M2177" s="347"/>
      <c r="N2177" s="298"/>
      <c r="O2177" s="347"/>
      <c r="P2177" s="295"/>
      <c r="Q2177" s="442"/>
      <c r="R2177" s="403" t="str">
        <f>R2176</f>
        <v>DELETE</v>
      </c>
    </row>
    <row r="2178" spans="2:24" ht="31.5" customHeight="1" x14ac:dyDescent="0.45">
      <c r="B2178" s="441"/>
      <c r="C2178" s="417" t="s">
        <v>323</v>
      </c>
      <c r="J2178" s="292"/>
      <c r="K2178" s="292"/>
      <c r="L2178" s="292"/>
      <c r="M2178" s="347">
        <f>SUM(M2180:M2187)</f>
        <v>0</v>
      </c>
      <c r="N2178" s="298"/>
      <c r="O2178" s="347">
        <f>SUM(O2180:O2187)</f>
        <v>0</v>
      </c>
      <c r="P2178" s="295"/>
      <c r="Q2178" s="442"/>
      <c r="R2178" s="403" t="str">
        <f>IF(M2178+O2178=0,"DELETE"," ")</f>
        <v>DELETE</v>
      </c>
      <c r="S2178" s="380">
        <f>M2178</f>
        <v>0</v>
      </c>
      <c r="T2178" s="380"/>
      <c r="U2178" s="380">
        <f>O2178</f>
        <v>0</v>
      </c>
    </row>
    <row r="2179" spans="2:24" ht="9" customHeight="1" x14ac:dyDescent="0.45">
      <c r="B2179" s="441"/>
      <c r="C2179" s="417"/>
      <c r="J2179" s="292"/>
      <c r="K2179" s="292"/>
      <c r="L2179" s="292"/>
      <c r="M2179" s="347"/>
      <c r="N2179" s="298"/>
      <c r="O2179" s="347"/>
      <c r="P2179" s="295"/>
      <c r="Q2179" s="442"/>
      <c r="R2179" s="403" t="str">
        <f>R2178</f>
        <v>DELETE</v>
      </c>
    </row>
    <row r="2180" spans="2:24" ht="9" customHeight="1" x14ac:dyDescent="0.45">
      <c r="B2180" s="441"/>
      <c r="C2180" s="417"/>
      <c r="J2180" s="292"/>
      <c r="K2180" s="292"/>
      <c r="L2180" s="292"/>
      <c r="M2180" s="353"/>
      <c r="N2180" s="299"/>
      <c r="O2180" s="366"/>
      <c r="P2180" s="295"/>
      <c r="Q2180" s="442"/>
      <c r="R2180" s="403" t="str">
        <f>R2178</f>
        <v>DELETE</v>
      </c>
    </row>
    <row r="2181" spans="2:24" ht="31.5" customHeight="1" x14ac:dyDescent="0.45">
      <c r="B2181" s="441"/>
      <c r="C2181" s="417"/>
      <c r="D2181" s="400" t="str">
        <f>TrialBalance!C28</f>
        <v>Insurance claims - Investments in financial instruments</v>
      </c>
      <c r="J2181" s="292"/>
      <c r="K2181" s="292"/>
      <c r="L2181" s="292"/>
      <c r="M2181" s="354">
        <f>-TrialBalance!L28</f>
        <v>0</v>
      </c>
      <c r="N2181" s="298"/>
      <c r="O2181" s="367">
        <f>-TrialBalance!N28</f>
        <v>0</v>
      </c>
      <c r="P2181" s="295"/>
      <c r="Q2181" s="442"/>
      <c r="R2181" s="403" t="str">
        <f t="shared" ref="R2181:R2186" si="141">IF(M2181+O2181=0,"DELETE"," ")</f>
        <v>DELETE</v>
      </c>
    </row>
    <row r="2182" spans="2:24" ht="31.5" customHeight="1" x14ac:dyDescent="0.45">
      <c r="B2182" s="441"/>
      <c r="C2182" s="417"/>
      <c r="D2182" s="400" t="str">
        <f>TrialBalance!C29</f>
        <v>Government grants received</v>
      </c>
      <c r="J2182" s="292"/>
      <c r="K2182" s="292"/>
      <c r="L2182" s="292"/>
      <c r="M2182" s="354">
        <f>-TrialBalance!L29</f>
        <v>0</v>
      </c>
      <c r="N2182" s="298"/>
      <c r="O2182" s="367">
        <f>-TrialBalance!N29</f>
        <v>0</v>
      </c>
      <c r="P2182" s="295"/>
      <c r="Q2182" s="442"/>
      <c r="R2182" s="403" t="str">
        <f t="shared" si="141"/>
        <v>DELETE</v>
      </c>
    </row>
    <row r="2183" spans="2:24" ht="31.5" customHeight="1" x14ac:dyDescent="0.45">
      <c r="B2183" s="441"/>
      <c r="C2183" s="417"/>
      <c r="D2183" s="400">
        <f>TrialBalance!C30</f>
        <v>0</v>
      </c>
      <c r="J2183" s="292"/>
      <c r="K2183" s="292"/>
      <c r="L2183" s="292"/>
      <c r="M2183" s="354">
        <f>-TrialBalance!L30</f>
        <v>0</v>
      </c>
      <c r="N2183" s="298"/>
      <c r="O2183" s="367">
        <f>-TrialBalance!N30</f>
        <v>0</v>
      </c>
      <c r="P2183" s="295"/>
      <c r="Q2183" s="442"/>
      <c r="R2183" s="403" t="str">
        <f t="shared" si="141"/>
        <v>DELETE</v>
      </c>
    </row>
    <row r="2184" spans="2:24" ht="31.5" customHeight="1" x14ac:dyDescent="0.45">
      <c r="B2184" s="441"/>
      <c r="C2184" s="417"/>
      <c r="D2184" s="400">
        <f>TrialBalance!C31</f>
        <v>0</v>
      </c>
      <c r="J2184" s="292"/>
      <c r="K2184" s="292"/>
      <c r="L2184" s="292"/>
      <c r="M2184" s="354">
        <f>-TrialBalance!L31</f>
        <v>0</v>
      </c>
      <c r="N2184" s="298"/>
      <c r="O2184" s="367">
        <f>-TrialBalance!N31</f>
        <v>0</v>
      </c>
      <c r="P2184" s="295"/>
      <c r="Q2184" s="442"/>
      <c r="R2184" s="403" t="str">
        <f t="shared" si="141"/>
        <v>DELETE</v>
      </c>
    </row>
    <row r="2185" spans="2:24" ht="31.5" customHeight="1" x14ac:dyDescent="0.45">
      <c r="B2185" s="441"/>
      <c r="C2185" s="417"/>
      <c r="D2185" s="400">
        <f>TrialBalance!C32</f>
        <v>0</v>
      </c>
      <c r="J2185" s="292"/>
      <c r="K2185" s="292"/>
      <c r="L2185" s="292"/>
      <c r="M2185" s="354">
        <f>-TrialBalance!L32</f>
        <v>0</v>
      </c>
      <c r="N2185" s="298"/>
      <c r="O2185" s="367">
        <f>-TrialBalance!N32</f>
        <v>0</v>
      </c>
      <c r="P2185" s="295"/>
      <c r="Q2185" s="442"/>
      <c r="R2185" s="403" t="str">
        <f t="shared" si="141"/>
        <v>DELETE</v>
      </c>
    </row>
    <row r="2186" spans="2:24" ht="31.5" customHeight="1" x14ac:dyDescent="0.45">
      <c r="B2186" s="441"/>
      <c r="C2186" s="417"/>
      <c r="D2186" s="400" t="str">
        <f>TrialBalance!C33</f>
        <v>Recoupment of depreciation</v>
      </c>
      <c r="J2186" s="292"/>
      <c r="K2186" s="292"/>
      <c r="L2186" s="292"/>
      <c r="M2186" s="354">
        <f>-TrialBalance!L33</f>
        <v>0</v>
      </c>
      <c r="N2186" s="298"/>
      <c r="O2186" s="367">
        <f>-TrialBalance!N33</f>
        <v>0</v>
      </c>
      <c r="P2186" s="295"/>
      <c r="Q2186" s="442"/>
      <c r="R2186" s="403" t="str">
        <f t="shared" si="141"/>
        <v>DELETE</v>
      </c>
    </row>
    <row r="2187" spans="2:24" ht="9" customHeight="1" x14ac:dyDescent="0.45">
      <c r="B2187" s="441"/>
      <c r="C2187" s="417"/>
      <c r="J2187" s="292"/>
      <c r="K2187" s="292"/>
      <c r="L2187" s="292"/>
      <c r="M2187" s="355"/>
      <c r="N2187" s="300"/>
      <c r="O2187" s="368"/>
      <c r="P2187" s="295"/>
      <c r="Q2187" s="442"/>
      <c r="R2187" s="403" t="str">
        <f>R2178</f>
        <v>DELETE</v>
      </c>
    </row>
    <row r="2188" spans="2:24" ht="9" customHeight="1" x14ac:dyDescent="0.45">
      <c r="B2188" s="441"/>
      <c r="C2188" s="417"/>
      <c r="J2188" s="292"/>
      <c r="K2188" s="292"/>
      <c r="L2188" s="292"/>
      <c r="M2188" s="364"/>
      <c r="N2188" s="321"/>
      <c r="O2188" s="364"/>
      <c r="P2188" s="295"/>
      <c r="Q2188" s="442"/>
      <c r="R2188" s="403" t="str">
        <f>R2187</f>
        <v>DELETE</v>
      </c>
    </row>
    <row r="2189" spans="2:24" ht="9" customHeight="1" x14ac:dyDescent="0.45">
      <c r="B2189" s="441"/>
      <c r="C2189" s="417"/>
      <c r="J2189" s="292"/>
      <c r="K2189" s="292"/>
      <c r="L2189" s="292"/>
      <c r="M2189" s="347"/>
      <c r="N2189" s="298"/>
      <c r="O2189" s="347"/>
      <c r="P2189" s="295"/>
      <c r="Q2189" s="442"/>
      <c r="R2189" s="403" t="str">
        <f>R2188</f>
        <v>DELETE</v>
      </c>
    </row>
    <row r="2190" spans="2:24" ht="31.5" customHeight="1" x14ac:dyDescent="0.45">
      <c r="B2190" s="441"/>
      <c r="C2190" s="417"/>
      <c r="J2190" s="292"/>
      <c r="K2190" s="292"/>
      <c r="L2190" s="292"/>
      <c r="M2190" s="347">
        <f>SUM(S2158:S2178)</f>
        <v>0</v>
      </c>
      <c r="N2190" s="298"/>
      <c r="O2190" s="347">
        <f>SUM(U2158:U2178)</f>
        <v>0</v>
      </c>
      <c r="P2190" s="295"/>
      <c r="Q2190" s="442"/>
      <c r="R2190" s="403" t="str">
        <f>R2178</f>
        <v>DELETE</v>
      </c>
    </row>
    <row r="2191" spans="2:24" ht="31.5" customHeight="1" x14ac:dyDescent="0.45">
      <c r="B2191" s="441"/>
      <c r="C2191" s="417"/>
      <c r="J2191" s="292"/>
      <c r="K2191" s="292"/>
      <c r="L2191" s="292"/>
      <c r="M2191" s="347"/>
      <c r="N2191" s="298"/>
      <c r="O2191" s="347"/>
      <c r="P2191" s="295"/>
      <c r="Q2191" s="442"/>
      <c r="R2191" s="403" t="str">
        <f>R2190</f>
        <v>DELETE</v>
      </c>
    </row>
    <row r="2192" spans="2:24" ht="31.5" customHeight="1" x14ac:dyDescent="0.45">
      <c r="B2192" s="441"/>
      <c r="C2192" s="417" t="s">
        <v>996</v>
      </c>
      <c r="J2192" s="292"/>
      <c r="K2192" s="292"/>
      <c r="L2192" s="292"/>
      <c r="M2192" s="347">
        <f>SUM(M2194:M2222)</f>
        <v>0</v>
      </c>
      <c r="N2192" s="298"/>
      <c r="O2192" s="347">
        <f>SUM(O2194:O2222)</f>
        <v>0</v>
      </c>
      <c r="P2192" s="295"/>
      <c r="Q2192" s="442"/>
      <c r="R2192" s="403" t="str">
        <f>IF(M2192+O2192=0,"DELETE"," ")</f>
        <v>DELETE</v>
      </c>
      <c r="S2192" s="380">
        <f>-M2192</f>
        <v>0</v>
      </c>
      <c r="T2192" s="380"/>
      <c r="U2192" s="380">
        <f>-O2192</f>
        <v>0</v>
      </c>
      <c r="V2192" s="380"/>
      <c r="W2192" s="380"/>
      <c r="X2192" s="380"/>
    </row>
    <row r="2193" spans="2:24" ht="9" customHeight="1" x14ac:dyDescent="0.45">
      <c r="B2193" s="441"/>
      <c r="C2193" s="417"/>
      <c r="J2193" s="292"/>
      <c r="K2193" s="292"/>
      <c r="L2193" s="292"/>
      <c r="M2193" s="347"/>
      <c r="N2193" s="298"/>
      <c r="O2193" s="347"/>
      <c r="P2193" s="295"/>
      <c r="Q2193" s="442"/>
      <c r="R2193" s="403" t="str">
        <f>R2192</f>
        <v>DELETE</v>
      </c>
    </row>
    <row r="2194" spans="2:24" ht="9" customHeight="1" x14ac:dyDescent="0.45">
      <c r="B2194" s="441"/>
      <c r="C2194" s="417"/>
      <c r="J2194" s="292"/>
      <c r="K2194" s="292"/>
      <c r="L2194" s="292"/>
      <c r="M2194" s="353"/>
      <c r="N2194" s="299"/>
      <c r="O2194" s="366"/>
      <c r="P2194" s="295"/>
      <c r="Q2194" s="442"/>
      <c r="R2194" s="403" t="str">
        <f>R2193</f>
        <v>DELETE</v>
      </c>
    </row>
    <row r="2195" spans="2:24" ht="31.5" customHeight="1" x14ac:dyDescent="0.45">
      <c r="B2195" s="441"/>
      <c r="C2195" s="417"/>
      <c r="D2195" s="400" t="s">
        <v>275</v>
      </c>
      <c r="J2195" s="292"/>
      <c r="K2195" s="292"/>
      <c r="L2195" s="292"/>
      <c r="M2195" s="354">
        <f>TrialBalance!L40</f>
        <v>0</v>
      </c>
      <c r="N2195" s="298"/>
      <c r="O2195" s="367">
        <f>TrialBalance!N40</f>
        <v>0</v>
      </c>
      <c r="P2195" s="295"/>
      <c r="Q2195" s="442"/>
      <c r="R2195" s="403" t="str">
        <f t="shared" ref="R2195:R2212" si="142">IF(M2195+O2195=0,"DELETE"," ")</f>
        <v>DELETE</v>
      </c>
    </row>
    <row r="2196" spans="2:24" ht="31.5" customHeight="1" x14ac:dyDescent="0.45">
      <c r="B2196" s="441"/>
      <c r="C2196" s="417"/>
      <c r="D2196" s="400" t="s">
        <v>702</v>
      </c>
      <c r="J2196" s="292"/>
      <c r="K2196" s="292"/>
      <c r="L2196" s="292"/>
      <c r="M2196" s="354">
        <f>TrialBalance!L41</f>
        <v>0</v>
      </c>
      <c r="N2196" s="298"/>
      <c r="O2196" s="367">
        <f>TrialBalance!N41</f>
        <v>0</v>
      </c>
      <c r="P2196" s="295"/>
      <c r="Q2196" s="442"/>
      <c r="R2196" s="403" t="str">
        <f t="shared" si="142"/>
        <v>DELETE</v>
      </c>
    </row>
    <row r="2197" spans="2:24" ht="31.5" customHeight="1" x14ac:dyDescent="0.45">
      <c r="B2197" s="441"/>
      <c r="C2197" s="417"/>
      <c r="D2197" s="400" t="s">
        <v>276</v>
      </c>
      <c r="J2197" s="292"/>
      <c r="K2197" s="292"/>
      <c r="L2197" s="292"/>
      <c r="M2197" s="354">
        <f>TrialBalance!L42</f>
        <v>0</v>
      </c>
      <c r="N2197" s="298"/>
      <c r="O2197" s="367">
        <f>TrialBalance!N42</f>
        <v>0</v>
      </c>
      <c r="P2197" s="295"/>
      <c r="Q2197" s="442"/>
      <c r="R2197" s="403" t="str">
        <f t="shared" si="142"/>
        <v>DELETE</v>
      </c>
    </row>
    <row r="2198" spans="2:24" ht="31.5" customHeight="1" x14ac:dyDescent="0.45">
      <c r="B2198" s="441"/>
      <c r="C2198" s="417"/>
      <c r="D2198" s="400" t="s">
        <v>277</v>
      </c>
      <c r="J2198" s="292"/>
      <c r="K2198" s="292">
        <f>C$940</f>
        <v>5.2999999999999989</v>
      </c>
      <c r="L2198" s="292"/>
      <c r="M2198" s="354">
        <f>SUM(TrialBalance!L44:L46)</f>
        <v>0</v>
      </c>
      <c r="N2198" s="298"/>
      <c r="O2198" s="367">
        <f>SUM(TrialBalance!N44:N46)</f>
        <v>0</v>
      </c>
      <c r="P2198" s="295"/>
      <c r="Q2198" s="442"/>
      <c r="R2198" s="403" t="str">
        <f t="shared" si="142"/>
        <v>DELETE</v>
      </c>
    </row>
    <row r="2199" spans="2:24" ht="31.5" customHeight="1" x14ac:dyDescent="0.45">
      <c r="B2199" s="441"/>
      <c r="C2199" s="417"/>
      <c r="D2199" s="400" t="s">
        <v>529</v>
      </c>
      <c r="J2199" s="292"/>
      <c r="K2199" s="292"/>
      <c r="L2199" s="292"/>
      <c r="M2199" s="354">
        <f>TrialBalance!L47</f>
        <v>0</v>
      </c>
      <c r="N2199" s="298"/>
      <c r="O2199" s="367">
        <f>TrialBalance!N47</f>
        <v>0</v>
      </c>
      <c r="P2199" s="295"/>
      <c r="Q2199" s="442"/>
      <c r="R2199" s="403" t="str">
        <f t="shared" si="142"/>
        <v>DELETE</v>
      </c>
      <c r="S2199" s="383"/>
      <c r="T2199" s="383"/>
      <c r="U2199" s="383"/>
      <c r="V2199" s="383"/>
      <c r="W2199" s="383"/>
      <c r="X2199" s="383"/>
    </row>
    <row r="2200" spans="2:24" ht="31.5" customHeight="1" x14ac:dyDescent="0.45">
      <c r="B2200" s="441"/>
      <c r="C2200" s="417"/>
      <c r="D2200" s="400" t="s">
        <v>725</v>
      </c>
      <c r="J2200" s="292"/>
      <c r="K2200" s="292"/>
      <c r="L2200" s="292"/>
      <c r="M2200" s="354">
        <f>TrialBalance!L48</f>
        <v>0</v>
      </c>
      <c r="N2200" s="298"/>
      <c r="O2200" s="367">
        <f>TrialBalance!N48</f>
        <v>0</v>
      </c>
      <c r="P2200" s="295"/>
      <c r="Q2200" s="442"/>
      <c r="R2200" s="403" t="str">
        <f t="shared" si="142"/>
        <v>DELETE</v>
      </c>
    </row>
    <row r="2201" spans="2:24" ht="31.5" customHeight="1" x14ac:dyDescent="0.45">
      <c r="B2201" s="441"/>
      <c r="C2201" s="417"/>
      <c r="D2201" s="400" t="s">
        <v>59</v>
      </c>
      <c r="J2201" s="292"/>
      <c r="K2201" s="292"/>
      <c r="L2201" s="292"/>
      <c r="M2201" s="354">
        <f>TrialBalance!L49</f>
        <v>0</v>
      </c>
      <c r="N2201" s="298"/>
      <c r="O2201" s="367">
        <f>TrialBalance!N49</f>
        <v>0</v>
      </c>
      <c r="P2201" s="295"/>
      <c r="Q2201" s="442"/>
      <c r="R2201" s="403" t="str">
        <f t="shared" si="142"/>
        <v>DELETE</v>
      </c>
    </row>
    <row r="2202" spans="2:24" ht="31.5" customHeight="1" x14ac:dyDescent="0.45">
      <c r="B2202" s="441"/>
      <c r="C2202" s="417"/>
      <c r="D2202" s="400" t="s">
        <v>278</v>
      </c>
      <c r="J2202" s="292"/>
      <c r="K2202" s="292"/>
      <c r="L2202" s="292"/>
      <c r="M2202" s="354">
        <f>TrialBalance!L50</f>
        <v>0</v>
      </c>
      <c r="N2202" s="298"/>
      <c r="O2202" s="367">
        <f>TrialBalance!N50</f>
        <v>0</v>
      </c>
      <c r="P2202" s="295"/>
      <c r="Q2202" s="442"/>
      <c r="R2202" s="403" t="str">
        <f t="shared" si="142"/>
        <v>DELETE</v>
      </c>
    </row>
    <row r="2203" spans="2:24" ht="31.5" customHeight="1" x14ac:dyDescent="0.45">
      <c r="B2203" s="441"/>
      <c r="C2203" s="417"/>
      <c r="D2203" s="400" t="s">
        <v>546</v>
      </c>
      <c r="J2203" s="292"/>
      <c r="K2203" s="292"/>
      <c r="L2203" s="292"/>
      <c r="M2203" s="354">
        <f>SUM(TrialBalance!L51:L52)</f>
        <v>0</v>
      </c>
      <c r="N2203" s="298"/>
      <c r="O2203" s="367">
        <f>SUM(TrialBalance!N51:N52)</f>
        <v>0</v>
      </c>
      <c r="P2203" s="295"/>
      <c r="Q2203" s="442"/>
      <c r="R2203" s="403" t="str">
        <f t="shared" si="142"/>
        <v>DELETE</v>
      </c>
    </row>
    <row r="2204" spans="2:24" ht="31.5" customHeight="1" x14ac:dyDescent="0.45">
      <c r="B2204" s="441"/>
      <c r="C2204" s="417"/>
      <c r="D2204" s="400" t="s">
        <v>545</v>
      </c>
      <c r="J2204" s="292"/>
      <c r="K2204" s="292"/>
      <c r="L2204" s="292"/>
      <c r="M2204" s="354">
        <f>TrialBalance!L53</f>
        <v>0</v>
      </c>
      <c r="N2204" s="298"/>
      <c r="O2204" s="367">
        <f>TrialBalance!N53</f>
        <v>0</v>
      </c>
      <c r="P2204" s="295"/>
      <c r="Q2204" s="442"/>
      <c r="R2204" s="403" t="str">
        <f t="shared" si="142"/>
        <v>DELETE</v>
      </c>
    </row>
    <row r="2205" spans="2:24" ht="31.5" customHeight="1" x14ac:dyDescent="0.45">
      <c r="B2205" s="441"/>
      <c r="C2205" s="417"/>
      <c r="D2205" s="400" t="s">
        <v>530</v>
      </c>
      <c r="J2205" s="292"/>
      <c r="K2205" s="292"/>
      <c r="L2205" s="292"/>
      <c r="M2205" s="354">
        <f>SUM(TrialBalance!L55:L59)</f>
        <v>0</v>
      </c>
      <c r="N2205" s="298"/>
      <c r="O2205" s="367">
        <f>SUM(TrialBalance!N55:N59)</f>
        <v>0</v>
      </c>
      <c r="P2205" s="295"/>
      <c r="Q2205" s="442"/>
      <c r="R2205" s="403" t="str">
        <f t="shared" si="142"/>
        <v>DELETE</v>
      </c>
    </row>
    <row r="2206" spans="2:24" ht="31.5" customHeight="1" x14ac:dyDescent="0.45">
      <c r="B2206" s="441"/>
      <c r="C2206" s="417"/>
      <c r="D2206" s="400" t="s">
        <v>512</v>
      </c>
      <c r="J2206" s="292"/>
      <c r="K2206" s="292">
        <f>C$908</f>
        <v>5.1999999999999993</v>
      </c>
      <c r="L2206" s="292"/>
      <c r="M2206" s="354">
        <f>SUM(TrialBalance!L61:L63)</f>
        <v>0</v>
      </c>
      <c r="N2206" s="298"/>
      <c r="O2206" s="367">
        <f>SUM(TrialBalance!N61:N63)</f>
        <v>0</v>
      </c>
      <c r="P2206" s="295"/>
      <c r="Q2206" s="442"/>
      <c r="R2206" s="403" t="str">
        <f t="shared" si="142"/>
        <v>DELETE</v>
      </c>
      <c r="X2206" s="380"/>
    </row>
    <row r="2207" spans="2:24" ht="31.5" customHeight="1" x14ac:dyDescent="0.45">
      <c r="B2207" s="441"/>
      <c r="C2207" s="417"/>
      <c r="D2207" s="400" t="s">
        <v>62</v>
      </c>
      <c r="J2207" s="292"/>
      <c r="K2207" s="292"/>
      <c r="L2207" s="292"/>
      <c r="M2207" s="354">
        <f>TrialBalance!L64</f>
        <v>0</v>
      </c>
      <c r="N2207" s="298"/>
      <c r="O2207" s="367">
        <f>TrialBalance!N64</f>
        <v>0</v>
      </c>
      <c r="P2207" s="295"/>
      <c r="Q2207" s="442"/>
      <c r="R2207" s="403" t="str">
        <f t="shared" si="142"/>
        <v>DELETE</v>
      </c>
    </row>
    <row r="2208" spans="2:24" ht="31.5" customHeight="1" x14ac:dyDescent="0.45">
      <c r="B2208" s="441"/>
      <c r="C2208" s="417"/>
      <c r="D2208" s="400" t="s">
        <v>253</v>
      </c>
      <c r="J2208" s="292"/>
      <c r="K2208" s="292"/>
      <c r="L2208" s="292"/>
      <c r="M2208" s="354">
        <f>SUM(TrialBalance!L65:L67)</f>
        <v>0</v>
      </c>
      <c r="N2208" s="298"/>
      <c r="O2208" s="367">
        <f>SUM(TrialBalance!N65:N67)</f>
        <v>0</v>
      </c>
      <c r="P2208" s="295"/>
      <c r="Q2208" s="442"/>
      <c r="R2208" s="403" t="str">
        <f t="shared" si="142"/>
        <v>DELETE</v>
      </c>
    </row>
    <row r="2209" spans="2:18" ht="31.5" customHeight="1" x14ac:dyDescent="0.45">
      <c r="B2209" s="441"/>
      <c r="C2209" s="417"/>
      <c r="D2209" s="400" t="s">
        <v>726</v>
      </c>
      <c r="J2209" s="292"/>
      <c r="K2209" s="292"/>
      <c r="L2209" s="292"/>
      <c r="M2209" s="354">
        <f>SUM(TrialBalance!L68:L69)</f>
        <v>0</v>
      </c>
      <c r="N2209" s="298"/>
      <c r="O2209" s="367">
        <f>SUM(TrialBalance!N68:N69)</f>
        <v>0</v>
      </c>
      <c r="P2209" s="295"/>
      <c r="Q2209" s="442"/>
      <c r="R2209" s="403" t="str">
        <f t="shared" si="142"/>
        <v>DELETE</v>
      </c>
    </row>
    <row r="2210" spans="2:18" ht="31.5" customHeight="1" x14ac:dyDescent="0.45">
      <c r="B2210" s="441"/>
      <c r="C2210" s="417"/>
      <c r="D2210" s="400" t="s">
        <v>254</v>
      </c>
      <c r="J2210" s="292"/>
      <c r="K2210" s="292"/>
      <c r="L2210" s="292"/>
      <c r="M2210" s="354">
        <f>TrialBalance!L70</f>
        <v>0</v>
      </c>
      <c r="N2210" s="298"/>
      <c r="O2210" s="367">
        <f>TrialBalance!N70</f>
        <v>0</v>
      </c>
      <c r="P2210" s="295"/>
      <c r="Q2210" s="442"/>
      <c r="R2210" s="403" t="str">
        <f t="shared" si="142"/>
        <v>DELETE</v>
      </c>
    </row>
    <row r="2211" spans="2:18" ht="31.5" customHeight="1" x14ac:dyDescent="0.45">
      <c r="B2211" s="441"/>
      <c r="C2211" s="417"/>
      <c r="D2211" s="400" t="s">
        <v>387</v>
      </c>
      <c r="J2211" s="292"/>
      <c r="K2211" s="292"/>
      <c r="L2211" s="292"/>
      <c r="M2211" s="354">
        <f>TrialBalance!L71</f>
        <v>0</v>
      </c>
      <c r="N2211" s="298"/>
      <c r="O2211" s="367">
        <f>TrialBalance!N71</f>
        <v>0</v>
      </c>
      <c r="P2211" s="295"/>
      <c r="Q2211" s="442"/>
      <c r="R2211" s="403" t="str">
        <f t="shared" si="142"/>
        <v>DELETE</v>
      </c>
    </row>
    <row r="2212" spans="2:18" ht="31.5" customHeight="1" x14ac:dyDescent="0.45">
      <c r="B2212" s="441"/>
      <c r="C2212" s="417"/>
      <c r="D2212" s="400">
        <f>TrialBalance!C72</f>
        <v>0</v>
      </c>
      <c r="J2212" s="292"/>
      <c r="K2212" s="292"/>
      <c r="L2212" s="292"/>
      <c r="M2212" s="354">
        <f>TrialBalance!L72</f>
        <v>0</v>
      </c>
      <c r="N2212" s="298"/>
      <c r="O2212" s="367">
        <f>TrialBalance!N72</f>
        <v>0</v>
      </c>
      <c r="P2212" s="295"/>
      <c r="Q2212" s="442"/>
      <c r="R2212" s="403" t="str">
        <f t="shared" si="142"/>
        <v>DELETE</v>
      </c>
    </row>
    <row r="2213" spans="2:18" ht="31.5" customHeight="1" x14ac:dyDescent="0.45">
      <c r="B2213" s="441"/>
      <c r="C2213" s="417"/>
      <c r="D2213" s="400">
        <f>TrialBalance!C73</f>
        <v>0</v>
      </c>
      <c r="J2213" s="292"/>
      <c r="K2213" s="292"/>
      <c r="L2213" s="292"/>
      <c r="M2213" s="354">
        <f>TrialBalance!L73</f>
        <v>0</v>
      </c>
      <c r="N2213" s="298"/>
      <c r="O2213" s="367">
        <f>TrialBalance!N73</f>
        <v>0</v>
      </c>
      <c r="P2213" s="295"/>
      <c r="Q2213" s="442"/>
      <c r="R2213" s="403" t="str">
        <f t="shared" ref="R2213:R2221" si="143">IF(M2213+O2213=0,"DELETE"," ")</f>
        <v>DELETE</v>
      </c>
    </row>
    <row r="2214" spans="2:18" ht="31.5" customHeight="1" x14ac:dyDescent="0.45">
      <c r="B2214" s="441"/>
      <c r="C2214" s="417"/>
      <c r="D2214" s="400">
        <f>TrialBalance!C74</f>
        <v>0</v>
      </c>
      <c r="J2214" s="292"/>
      <c r="K2214" s="292"/>
      <c r="L2214" s="292"/>
      <c r="M2214" s="354">
        <f>TrialBalance!L74</f>
        <v>0</v>
      </c>
      <c r="N2214" s="298"/>
      <c r="O2214" s="367">
        <f>TrialBalance!N74</f>
        <v>0</v>
      </c>
      <c r="P2214" s="295"/>
      <c r="Q2214" s="442"/>
      <c r="R2214" s="403" t="str">
        <f t="shared" si="143"/>
        <v>DELETE</v>
      </c>
    </row>
    <row r="2215" spans="2:18" ht="31.5" customHeight="1" x14ac:dyDescent="0.45">
      <c r="B2215" s="441"/>
      <c r="C2215" s="417"/>
      <c r="D2215" s="400">
        <f>TrialBalance!C75</f>
        <v>0</v>
      </c>
      <c r="J2215" s="292"/>
      <c r="K2215" s="292"/>
      <c r="L2215" s="292"/>
      <c r="M2215" s="354">
        <f>TrialBalance!L75</f>
        <v>0</v>
      </c>
      <c r="N2215" s="298"/>
      <c r="O2215" s="367">
        <f>TrialBalance!N75</f>
        <v>0</v>
      </c>
      <c r="P2215" s="295"/>
      <c r="Q2215" s="442"/>
      <c r="R2215" s="403" t="str">
        <f t="shared" si="143"/>
        <v>DELETE</v>
      </c>
    </row>
    <row r="2216" spans="2:18" ht="31.5" customHeight="1" x14ac:dyDescent="0.45">
      <c r="B2216" s="441"/>
      <c r="C2216" s="417"/>
      <c r="D2216" s="400">
        <f>TrialBalance!C76</f>
        <v>0</v>
      </c>
      <c r="J2216" s="292"/>
      <c r="K2216" s="292"/>
      <c r="L2216" s="292"/>
      <c r="M2216" s="354">
        <f>TrialBalance!L76</f>
        <v>0</v>
      </c>
      <c r="N2216" s="298"/>
      <c r="O2216" s="367">
        <f>TrialBalance!N76</f>
        <v>0</v>
      </c>
      <c r="P2216" s="295"/>
      <c r="Q2216" s="442"/>
      <c r="R2216" s="403" t="str">
        <f t="shared" si="143"/>
        <v>DELETE</v>
      </c>
    </row>
    <row r="2217" spans="2:18" ht="31.5" customHeight="1" x14ac:dyDescent="0.45">
      <c r="B2217" s="441"/>
      <c r="C2217" s="417"/>
      <c r="D2217" s="400">
        <f>TrialBalance!C77</f>
        <v>0</v>
      </c>
      <c r="J2217" s="292"/>
      <c r="K2217" s="292"/>
      <c r="L2217" s="292"/>
      <c r="M2217" s="354">
        <f>TrialBalance!L77</f>
        <v>0</v>
      </c>
      <c r="N2217" s="298"/>
      <c r="O2217" s="367">
        <f>TrialBalance!N77</f>
        <v>0</v>
      </c>
      <c r="P2217" s="295"/>
      <c r="Q2217" s="442"/>
      <c r="R2217" s="403" t="str">
        <f t="shared" si="143"/>
        <v>DELETE</v>
      </c>
    </row>
    <row r="2218" spans="2:18" ht="31.5" customHeight="1" x14ac:dyDescent="0.45">
      <c r="B2218" s="441"/>
      <c r="C2218" s="417"/>
      <c r="D2218" s="400">
        <f>TrialBalance!C78</f>
        <v>0</v>
      </c>
      <c r="J2218" s="292"/>
      <c r="K2218" s="292"/>
      <c r="L2218" s="292"/>
      <c r="M2218" s="354">
        <f>TrialBalance!L78</f>
        <v>0</v>
      </c>
      <c r="N2218" s="298"/>
      <c r="O2218" s="367">
        <f>TrialBalance!N78</f>
        <v>0</v>
      </c>
      <c r="P2218" s="295"/>
      <c r="Q2218" s="442"/>
      <c r="R2218" s="403" t="str">
        <f t="shared" si="143"/>
        <v>DELETE</v>
      </c>
    </row>
    <row r="2219" spans="2:18" ht="31.5" customHeight="1" x14ac:dyDescent="0.45">
      <c r="B2219" s="441"/>
      <c r="C2219" s="417"/>
      <c r="D2219" s="400">
        <f>TrialBalance!C79</f>
        <v>0</v>
      </c>
      <c r="J2219" s="292"/>
      <c r="K2219" s="292"/>
      <c r="L2219" s="292"/>
      <c r="M2219" s="354">
        <f>TrialBalance!L79</f>
        <v>0</v>
      </c>
      <c r="N2219" s="298"/>
      <c r="O2219" s="367">
        <f>TrialBalance!N79</f>
        <v>0</v>
      </c>
      <c r="P2219" s="295"/>
      <c r="Q2219" s="442"/>
      <c r="R2219" s="403" t="str">
        <f t="shared" si="143"/>
        <v>DELETE</v>
      </c>
    </row>
    <row r="2220" spans="2:18" ht="31.5" customHeight="1" x14ac:dyDescent="0.45">
      <c r="B2220" s="441"/>
      <c r="C2220" s="417"/>
      <c r="D2220" s="400">
        <f>TrialBalance!C80</f>
        <v>0</v>
      </c>
      <c r="J2220" s="292"/>
      <c r="K2220" s="292"/>
      <c r="L2220" s="292"/>
      <c r="M2220" s="354">
        <f>TrialBalance!L80</f>
        <v>0</v>
      </c>
      <c r="N2220" s="298"/>
      <c r="O2220" s="367">
        <f>TrialBalance!N80</f>
        <v>0</v>
      </c>
      <c r="P2220" s="295"/>
      <c r="Q2220" s="442"/>
      <c r="R2220" s="403" t="str">
        <f t="shared" si="143"/>
        <v>DELETE</v>
      </c>
    </row>
    <row r="2221" spans="2:18" ht="31.5" customHeight="1" x14ac:dyDescent="0.45">
      <c r="B2221" s="441"/>
      <c r="C2221" s="417"/>
      <c r="D2221" s="400">
        <f>TrialBalance!C81</f>
        <v>0</v>
      </c>
      <c r="J2221" s="292"/>
      <c r="K2221" s="292"/>
      <c r="L2221" s="292"/>
      <c r="M2221" s="354">
        <f>TrialBalance!L81</f>
        <v>0</v>
      </c>
      <c r="N2221" s="298"/>
      <c r="O2221" s="367">
        <f>TrialBalance!N81</f>
        <v>0</v>
      </c>
      <c r="P2221" s="295"/>
      <c r="Q2221" s="442"/>
      <c r="R2221" s="403" t="str">
        <f t="shared" si="143"/>
        <v>DELETE</v>
      </c>
    </row>
    <row r="2222" spans="2:18" ht="9" customHeight="1" x14ac:dyDescent="0.45">
      <c r="B2222" s="441"/>
      <c r="C2222" s="417"/>
      <c r="J2222" s="292"/>
      <c r="K2222" s="292"/>
      <c r="L2222" s="292"/>
      <c r="M2222" s="355"/>
      <c r="N2222" s="300"/>
      <c r="O2222" s="368"/>
      <c r="P2222" s="295"/>
      <c r="Q2222" s="442"/>
      <c r="R2222" s="403" t="str">
        <f>R2192</f>
        <v>DELETE</v>
      </c>
    </row>
    <row r="2223" spans="2:18" ht="9" customHeight="1" x14ac:dyDescent="0.45">
      <c r="B2223" s="441"/>
      <c r="C2223" s="417"/>
      <c r="J2223" s="292"/>
      <c r="K2223" s="292"/>
      <c r="L2223" s="292"/>
      <c r="M2223" s="349"/>
      <c r="N2223" s="300"/>
      <c r="O2223" s="349"/>
      <c r="P2223" s="295"/>
      <c r="Q2223" s="442"/>
    </row>
    <row r="2224" spans="2:18" ht="9" customHeight="1" x14ac:dyDescent="0.45">
      <c r="B2224" s="441"/>
      <c r="C2224" s="417"/>
      <c r="J2224" s="292"/>
      <c r="K2224" s="292"/>
      <c r="L2224" s="292"/>
      <c r="M2224" s="347"/>
      <c r="N2224" s="298"/>
      <c r="O2224" s="347"/>
      <c r="P2224" s="295"/>
      <c r="Q2224" s="442"/>
    </row>
    <row r="2225" spans="2:26" ht="31.5" customHeight="1" x14ac:dyDescent="0.45">
      <c r="B2225" s="441"/>
      <c r="C2225" s="315" t="str">
        <f>IF((Y2225+Z2225)=3,"OPERATING PROFIT/(LOSS)",(IF((Y2225+Z2225=4),"OPERATING PROFIT","OPERATING LOSS")))</f>
        <v>OPERATING PROFIT</v>
      </c>
      <c r="J2225" s="292"/>
      <c r="K2225" s="292"/>
      <c r="L2225" s="292"/>
      <c r="M2225" s="347">
        <f>SUM(S2158:S2223)</f>
        <v>0</v>
      </c>
      <c r="N2225" s="298"/>
      <c r="O2225" s="347">
        <f>SUM(U2158:U2223)</f>
        <v>0</v>
      </c>
      <c r="P2225" s="295"/>
      <c r="Q2225" s="442"/>
      <c r="Y2225" s="378">
        <f>IF(M2225&lt;0,1,IF(M2225=0,IF(O2225&lt;0,1,2),2))</f>
        <v>2</v>
      </c>
      <c r="Z2225" s="378">
        <f>IF(O2225&lt;0,1,IF(O2225=0,IF(M2225&lt;0,1,2),2))</f>
        <v>2</v>
      </c>
    </row>
    <row r="2226" spans="2:26" ht="31.5" customHeight="1" x14ac:dyDescent="0.45">
      <c r="B2226" s="441"/>
      <c r="C2226" s="417"/>
      <c r="D2226" s="400" t="s">
        <v>256</v>
      </c>
      <c r="J2226" s="292"/>
      <c r="K2226" s="292"/>
      <c r="L2226" s="292"/>
      <c r="M2226" s="347"/>
      <c r="N2226" s="298"/>
      <c r="O2226" s="347"/>
      <c r="P2226" s="295"/>
      <c r="Q2226" s="442"/>
    </row>
    <row r="2227" spans="2:26" ht="31.5" customHeight="1" x14ac:dyDescent="0.45">
      <c r="B2227" s="441"/>
      <c r="C2227" s="417"/>
      <c r="J2227" s="292"/>
      <c r="K2227" s="292"/>
      <c r="L2227" s="292"/>
      <c r="M2227" s="347"/>
      <c r="N2227" s="298"/>
      <c r="O2227" s="347"/>
      <c r="P2227" s="295"/>
      <c r="Q2227" s="442"/>
    </row>
    <row r="2228" spans="2:26" ht="31.5" customHeight="1" x14ac:dyDescent="0.45">
      <c r="B2228" s="441"/>
      <c r="C2228" s="417"/>
      <c r="J2228" s="292"/>
      <c r="K2228" s="292"/>
      <c r="L2228" s="292"/>
      <c r="M2228" s="347"/>
      <c r="N2228" s="298"/>
      <c r="O2228" s="347"/>
      <c r="P2228" s="295"/>
      <c r="Q2228" s="442"/>
    </row>
    <row r="2229" spans="2:26" ht="31.5" customHeight="1" x14ac:dyDescent="0.45">
      <c r="B2229" s="445"/>
      <c r="C2229" s="465"/>
      <c r="D2229" s="429"/>
      <c r="E2229" s="429"/>
      <c r="F2229" s="429"/>
      <c r="G2229" s="429"/>
      <c r="H2229" s="429"/>
      <c r="I2229" s="429"/>
      <c r="J2229" s="306"/>
      <c r="K2229" s="306"/>
      <c r="L2229" s="306"/>
      <c r="M2229" s="349"/>
      <c r="N2229" s="300"/>
      <c r="O2229" s="349"/>
      <c r="P2229" s="307"/>
      <c r="Q2229" s="446"/>
    </row>
    <row r="2230" spans="2:26" ht="31.5" customHeight="1" x14ac:dyDescent="0.45">
      <c r="C2230" s="417"/>
      <c r="J2230" s="292"/>
      <c r="K2230" s="292"/>
      <c r="L2230" s="292"/>
      <c r="M2230" s="347"/>
      <c r="N2230" s="298"/>
      <c r="O2230" s="347"/>
      <c r="P2230" s="295"/>
    </row>
    <row r="2231" spans="2:26" ht="31.5" customHeight="1" x14ac:dyDescent="0.45">
      <c r="C2231" s="417"/>
      <c r="J2231" s="292"/>
      <c r="K2231" s="292"/>
      <c r="L2231" s="292"/>
      <c r="M2231" s="347"/>
      <c r="N2231" s="298"/>
      <c r="O2231" s="347"/>
      <c r="P2231" s="295"/>
    </row>
    <row r="2232" spans="2:26" ht="31.5" customHeight="1" x14ac:dyDescent="0.45">
      <c r="C2232" s="417"/>
      <c r="D2232" s="417" t="str">
        <f>Criteria!E9</f>
        <v>HOLDING COMPANY 268 (PROPRIETARY) LIMITED</v>
      </c>
      <c r="J2232" s="292"/>
      <c r="K2232" s="292"/>
      <c r="L2232" s="292"/>
      <c r="M2232" s="347"/>
      <c r="N2232" s="298"/>
      <c r="O2232" s="347" t="s">
        <v>96</v>
      </c>
      <c r="P2232" s="295"/>
      <c r="Q2232" s="292">
        <f>MAX($Q$114:Q2231)+1</f>
        <v>56</v>
      </c>
    </row>
    <row r="2233" spans="2:26" ht="31.5" customHeight="1" x14ac:dyDescent="0.45">
      <c r="C2233" s="417"/>
      <c r="D2233" s="417" t="str">
        <f>IF(Criteria!E13=0," ",CONCATENATE("T/A ",Criteria!E13))</f>
        <v>T/A INVESTMENTS IN FINANCIAL INSTRUMENTS</v>
      </c>
      <c r="J2233" s="292"/>
      <c r="K2233" s="292"/>
      <c r="L2233" s="292"/>
      <c r="M2233" s="347"/>
      <c r="N2233" s="298"/>
      <c r="O2233" s="347"/>
      <c r="P2233" s="295"/>
      <c r="R2233" s="403" t="str">
        <f>IF(Criteria!E13=0,"DELETE"," ")</f>
        <v xml:space="preserve"> </v>
      </c>
    </row>
    <row r="2234" spans="2:26" ht="31.5" customHeight="1" x14ac:dyDescent="0.45">
      <c r="C2234" s="417"/>
      <c r="J2234" s="292"/>
      <c r="K2234" s="292"/>
      <c r="L2234" s="292"/>
      <c r="M2234" s="347"/>
      <c r="N2234" s="298"/>
      <c r="O2234" s="347"/>
      <c r="P2234" s="295"/>
    </row>
    <row r="2235" spans="2:26" ht="31.5" customHeight="1" x14ac:dyDescent="0.45">
      <c r="C2235" s="417"/>
      <c r="D2235" s="417" t="s">
        <v>91</v>
      </c>
      <c r="J2235" s="292"/>
      <c r="K2235" s="292"/>
      <c r="L2235" s="292"/>
      <c r="M2235" s="347"/>
      <c r="N2235" s="298"/>
      <c r="O2235" s="347"/>
      <c r="P2235" s="295"/>
    </row>
    <row r="2236" spans="2:26" ht="31.5" customHeight="1" x14ac:dyDescent="0.45">
      <c r="C2236" s="417"/>
      <c r="D2236" s="417" t="str">
        <f>D2153</f>
        <v>29 FEBRUARY 2024</v>
      </c>
      <c r="H2236" s="400" t="s">
        <v>102</v>
      </c>
      <c r="J2236" s="292"/>
      <c r="K2236" s="292"/>
      <c r="L2236" s="292"/>
      <c r="M2236" s="347"/>
      <c r="N2236" s="298"/>
      <c r="O2236" s="347"/>
      <c r="P2236" s="295"/>
    </row>
    <row r="2237" spans="2:26" ht="31.5" customHeight="1" x14ac:dyDescent="0.45">
      <c r="C2237" s="417"/>
      <c r="J2237" s="292"/>
      <c r="K2237" s="306"/>
      <c r="L2237" s="306"/>
      <c r="M2237" s="349"/>
      <c r="N2237" s="300"/>
      <c r="O2237" s="349"/>
      <c r="P2237" s="295"/>
    </row>
    <row r="2238" spans="2:26" ht="31.5" customHeight="1" x14ac:dyDescent="0.45">
      <c r="B2238" s="438"/>
      <c r="C2238" s="458"/>
      <c r="D2238" s="439"/>
      <c r="E2238" s="439"/>
      <c r="F2238" s="439"/>
      <c r="G2238" s="439"/>
      <c r="H2238" s="439"/>
      <c r="I2238" s="439"/>
      <c r="J2238" s="320"/>
      <c r="M2238" s="426"/>
      <c r="N2238" s="406"/>
      <c r="O2238" s="426"/>
      <c r="P2238" s="319"/>
      <c r="Q2238" s="440"/>
    </row>
    <row r="2239" spans="2:26" ht="31.5" customHeight="1" x14ac:dyDescent="0.45">
      <c r="B2239" s="441"/>
      <c r="C2239" s="417"/>
      <c r="J2239" s="292"/>
      <c r="K2239" s="292" t="s">
        <v>104</v>
      </c>
      <c r="L2239" s="292"/>
      <c r="M2239" s="344">
        <f>Criteria!E22</f>
        <v>2024</v>
      </c>
      <c r="N2239" s="294"/>
      <c r="O2239" s="344">
        <f>Criteria!E27</f>
        <v>2023</v>
      </c>
      <c r="P2239" s="295"/>
      <c r="Q2239" s="442"/>
    </row>
    <row r="2240" spans="2:26" ht="31.5" customHeight="1" x14ac:dyDescent="0.45">
      <c r="B2240" s="441"/>
      <c r="C2240" s="417"/>
      <c r="J2240" s="292"/>
      <c r="K2240" s="292"/>
      <c r="L2240" s="292"/>
      <c r="M2240" s="347"/>
      <c r="N2240" s="298"/>
      <c r="O2240" s="347"/>
      <c r="P2240" s="295"/>
      <c r="Q2240" s="442"/>
    </row>
    <row r="2241" spans="2:26" ht="31.5" customHeight="1" x14ac:dyDescent="0.45">
      <c r="B2241" s="441"/>
      <c r="C2241" s="315" t="str">
        <f>IF((Y2241+Z2241)=3,"OPERATING PROFIT/(LOSS)",(IF((Y2241+Z2241=4),"OPERATING PROFIT","OPERATING LOSS")))</f>
        <v>OPERATING PROFIT</v>
      </c>
      <c r="J2241" s="292"/>
      <c r="K2241" s="292"/>
      <c r="L2241" s="292"/>
      <c r="M2241" s="347">
        <f>SUM(S2158:S2222)</f>
        <v>0</v>
      </c>
      <c r="N2241" s="298"/>
      <c r="O2241" s="347">
        <f>SUM(U2158:U2222)</f>
        <v>0</v>
      </c>
      <c r="P2241" s="295"/>
      <c r="Q2241" s="442"/>
      <c r="V2241" s="378" t="b">
        <f>M2241=M2225</f>
        <v>1</v>
      </c>
      <c r="X2241" s="378" t="b">
        <f>O2241=O2225</f>
        <v>1</v>
      </c>
      <c r="Y2241" s="378">
        <f>IF(M2241&lt;0,1,IF(M2241=0,IF(O2241&lt;0,1,2),2))</f>
        <v>2</v>
      </c>
      <c r="Z2241" s="378">
        <f>IF(O2241&lt;0,1,IF(O2241=0,IF(M2241&lt;0,1,2),2))</f>
        <v>2</v>
      </c>
    </row>
    <row r="2242" spans="2:26" ht="31.5" customHeight="1" x14ac:dyDescent="0.45">
      <c r="B2242" s="441"/>
      <c r="C2242" s="417"/>
      <c r="D2242" s="400" t="s">
        <v>257</v>
      </c>
      <c r="J2242" s="292"/>
      <c r="K2242" s="292"/>
      <c r="L2242" s="292"/>
      <c r="M2242" s="347"/>
      <c r="N2242" s="298"/>
      <c r="O2242" s="347"/>
      <c r="P2242" s="295"/>
      <c r="Q2242" s="442"/>
    </row>
    <row r="2243" spans="2:26" ht="31.5" customHeight="1" x14ac:dyDescent="0.45">
      <c r="B2243" s="441"/>
      <c r="C2243" s="417"/>
      <c r="J2243" s="292"/>
      <c r="K2243" s="292"/>
      <c r="L2243" s="292"/>
      <c r="M2243" s="347"/>
      <c r="N2243" s="298"/>
      <c r="O2243" s="347"/>
      <c r="P2243" s="295"/>
      <c r="Q2243" s="442"/>
    </row>
    <row r="2244" spans="2:26" ht="31.5" customHeight="1" x14ac:dyDescent="0.45">
      <c r="B2244" s="441"/>
      <c r="C2244" s="417" t="s">
        <v>906</v>
      </c>
      <c r="J2244" s="292"/>
      <c r="K2244" s="292"/>
      <c r="L2244" s="292"/>
      <c r="M2244" s="347">
        <f>SUM(M2247:M2281)</f>
        <v>0</v>
      </c>
      <c r="N2244" s="298"/>
      <c r="O2244" s="347">
        <f>SUM(O2247:O2281)</f>
        <v>0</v>
      </c>
      <c r="P2244" s="295"/>
      <c r="Q2244" s="442"/>
      <c r="R2244" s="403" t="str">
        <f>IF(M2244+O2244=0,"DELETE"," ")</f>
        <v>DELETE</v>
      </c>
      <c r="S2244" s="380">
        <f>-M2244</f>
        <v>0</v>
      </c>
      <c r="T2244" s="380"/>
      <c r="U2244" s="380">
        <f>-O2244</f>
        <v>0</v>
      </c>
      <c r="V2244" s="380"/>
      <c r="W2244" s="380"/>
      <c r="X2244" s="380"/>
    </row>
    <row r="2245" spans="2:26" ht="9" customHeight="1" x14ac:dyDescent="0.45">
      <c r="B2245" s="441"/>
      <c r="C2245" s="417"/>
      <c r="J2245" s="292"/>
      <c r="K2245" s="292"/>
      <c r="L2245" s="292"/>
      <c r="M2245" s="347"/>
      <c r="N2245" s="298"/>
      <c r="O2245" s="347"/>
      <c r="P2245" s="295"/>
      <c r="Q2245" s="442"/>
      <c r="R2245" s="403" t="str">
        <f>R2244</f>
        <v>DELETE</v>
      </c>
    </row>
    <row r="2246" spans="2:26" ht="9" customHeight="1" x14ac:dyDescent="0.45">
      <c r="B2246" s="441"/>
      <c r="C2246" s="417"/>
      <c r="J2246" s="292"/>
      <c r="K2246" s="292"/>
      <c r="L2246" s="292"/>
      <c r="M2246" s="353"/>
      <c r="N2246" s="299"/>
      <c r="O2246" s="366"/>
      <c r="P2246" s="295"/>
      <c r="Q2246" s="442"/>
      <c r="R2246" s="403" t="str">
        <f>R2245</f>
        <v>DELETE</v>
      </c>
    </row>
    <row r="2247" spans="2:26" ht="31.5" customHeight="1" x14ac:dyDescent="0.45">
      <c r="B2247" s="441"/>
      <c r="C2247" s="417"/>
      <c r="D2247" s="400" t="s">
        <v>215</v>
      </c>
      <c r="J2247" s="292"/>
      <c r="K2247" s="292"/>
      <c r="L2247" s="292"/>
      <c r="M2247" s="354">
        <f>SUM(TrialBalance!L101:L101)</f>
        <v>0</v>
      </c>
      <c r="N2247" s="298"/>
      <c r="O2247" s="367">
        <f>SUM(TrialBalance!N101:N101)</f>
        <v>0</v>
      </c>
      <c r="P2247" s="295"/>
      <c r="Q2247" s="442"/>
      <c r="R2247" s="403" t="str">
        <f t="shared" ref="R2247:R2274" si="144">IF(M2247+O2247=0,"DELETE"," ")</f>
        <v>DELETE</v>
      </c>
    </row>
    <row r="2248" spans="2:26" ht="31.5" customHeight="1" x14ac:dyDescent="0.45">
      <c r="B2248" s="441"/>
      <c r="C2248" s="417"/>
      <c r="D2248" s="400" t="s">
        <v>675</v>
      </c>
      <c r="J2248" s="292"/>
      <c r="K2248" s="292"/>
      <c r="L2248" s="292"/>
      <c r="M2248" s="354">
        <f>SUM(TrialBalance!L98:L100)</f>
        <v>0</v>
      </c>
      <c r="N2248" s="298"/>
      <c r="O2248" s="367">
        <f>SUM(TrialBalance!N98:N100)</f>
        <v>0</v>
      </c>
      <c r="P2248" s="295"/>
      <c r="Q2248" s="442"/>
      <c r="R2248" s="403" t="str">
        <f t="shared" si="144"/>
        <v>DELETE</v>
      </c>
    </row>
    <row r="2249" spans="2:26" ht="31.5" customHeight="1" x14ac:dyDescent="0.45">
      <c r="B2249" s="441"/>
      <c r="C2249" s="417"/>
      <c r="D2249" s="400" t="s">
        <v>219</v>
      </c>
      <c r="J2249" s="292"/>
      <c r="K2249" s="292"/>
      <c r="L2249" s="292"/>
      <c r="M2249" s="354">
        <f>TrialBalance!L103</f>
        <v>0</v>
      </c>
      <c r="N2249" s="298"/>
      <c r="O2249" s="367">
        <f>TrialBalance!N103</f>
        <v>0</v>
      </c>
      <c r="P2249" s="295"/>
      <c r="Q2249" s="442"/>
      <c r="R2249" s="403" t="str">
        <f t="shared" ref="R2249" si="145">IF(M2249+O2249=0,"DELETE"," ")</f>
        <v>DELETE</v>
      </c>
    </row>
    <row r="2250" spans="2:26" ht="31.5" customHeight="1" x14ac:dyDescent="0.45">
      <c r="B2250" s="441"/>
      <c r="C2250" s="417"/>
      <c r="D2250" s="400" t="s">
        <v>217</v>
      </c>
      <c r="J2250" s="292"/>
      <c r="K2250" s="292"/>
      <c r="L2250" s="292"/>
      <c r="M2250" s="354">
        <f>TrialBalance!L102</f>
        <v>0</v>
      </c>
      <c r="N2250" s="298"/>
      <c r="O2250" s="367">
        <f>TrialBalance!N102</f>
        <v>0</v>
      </c>
      <c r="P2250" s="295"/>
      <c r="Q2250" s="442"/>
      <c r="R2250" s="403" t="str">
        <f t="shared" si="144"/>
        <v>DELETE</v>
      </c>
    </row>
    <row r="2251" spans="2:26" ht="31.5" customHeight="1" x14ac:dyDescent="0.45">
      <c r="B2251" s="441"/>
      <c r="C2251" s="417"/>
      <c r="D2251" s="400" t="s">
        <v>258</v>
      </c>
      <c r="J2251" s="292"/>
      <c r="K2251" s="292"/>
      <c r="L2251" s="292"/>
      <c r="M2251" s="354">
        <f>TrialBalance!L104</f>
        <v>0</v>
      </c>
      <c r="N2251" s="298"/>
      <c r="O2251" s="367">
        <f>TrialBalance!N104</f>
        <v>0</v>
      </c>
      <c r="P2251" s="295"/>
      <c r="Q2251" s="442"/>
      <c r="R2251" s="403" t="str">
        <f t="shared" si="144"/>
        <v>DELETE</v>
      </c>
    </row>
    <row r="2252" spans="2:26" ht="31.5" customHeight="1" x14ac:dyDescent="0.45">
      <c r="B2252" s="441"/>
      <c r="C2252" s="417"/>
      <c r="D2252" s="400" t="s">
        <v>222</v>
      </c>
      <c r="J2252" s="292"/>
      <c r="K2252" s="292"/>
      <c r="L2252" s="292"/>
      <c r="M2252" s="354">
        <f>TrialBalance!L105</f>
        <v>0</v>
      </c>
      <c r="N2252" s="298"/>
      <c r="O2252" s="367">
        <f>TrialBalance!N105</f>
        <v>0</v>
      </c>
      <c r="P2252" s="295"/>
      <c r="Q2252" s="442"/>
      <c r="R2252" s="403" t="str">
        <f t="shared" si="144"/>
        <v>DELETE</v>
      </c>
    </row>
    <row r="2253" spans="2:26" ht="31.5" customHeight="1" x14ac:dyDescent="0.45">
      <c r="B2253" s="441"/>
      <c r="C2253" s="417"/>
      <c r="D2253" s="400" t="s">
        <v>727</v>
      </c>
      <c r="J2253" s="292"/>
      <c r="K2253" s="292"/>
      <c r="L2253" s="292"/>
      <c r="M2253" s="354">
        <f>TrialBalance!L106</f>
        <v>0</v>
      </c>
      <c r="N2253" s="298"/>
      <c r="O2253" s="367">
        <f>TrialBalance!N106</f>
        <v>0</v>
      </c>
      <c r="P2253" s="295"/>
      <c r="Q2253" s="442"/>
      <c r="R2253" s="403" t="str">
        <f t="shared" ref="R2253" si="146">IF(M2253+O2253=0,"DELETE"," ")</f>
        <v>DELETE</v>
      </c>
    </row>
    <row r="2254" spans="2:26" ht="31.5" customHeight="1" x14ac:dyDescent="0.45">
      <c r="B2254" s="441"/>
      <c r="C2254" s="417"/>
      <c r="D2254" s="400" t="s">
        <v>277</v>
      </c>
      <c r="J2254" s="292"/>
      <c r="K2254" s="292">
        <f>C$940</f>
        <v>5.2999999999999989</v>
      </c>
      <c r="L2254" s="292"/>
      <c r="M2254" s="354">
        <f>SUM(TrialBalance!L108:L109)</f>
        <v>0</v>
      </c>
      <c r="N2254" s="298"/>
      <c r="O2254" s="367">
        <f>SUM(TrialBalance!N108:N109)</f>
        <v>0</v>
      </c>
      <c r="P2254" s="295"/>
      <c r="Q2254" s="442"/>
      <c r="R2254" s="403" t="str">
        <f t="shared" si="144"/>
        <v>DELETE</v>
      </c>
    </row>
    <row r="2255" spans="2:26" ht="31.5" customHeight="1" x14ac:dyDescent="0.45">
      <c r="B2255" s="441"/>
      <c r="C2255" s="417"/>
      <c r="D2255" s="400" t="str">
        <f>IF(MAX(Criteria!I38:I42)&gt;1,"Directors' remuneration","Director's remuneration")</f>
        <v>Director's remuneration</v>
      </c>
      <c r="J2255" s="292"/>
      <c r="K2255" s="292">
        <f>C$881</f>
        <v>5.0999999999999996</v>
      </c>
      <c r="L2255" s="292"/>
      <c r="M2255" s="354">
        <f>SUM(TrialBalance!L111:L115)</f>
        <v>0</v>
      </c>
      <c r="N2255" s="298"/>
      <c r="O2255" s="367">
        <f>SUM(TrialBalance!N111:N115)</f>
        <v>0</v>
      </c>
      <c r="P2255" s="295"/>
      <c r="Q2255" s="442"/>
      <c r="R2255" s="403" t="str">
        <f t="shared" si="144"/>
        <v>DELETE</v>
      </c>
    </row>
    <row r="2256" spans="2:26" ht="31.5" customHeight="1" x14ac:dyDescent="0.45">
      <c r="B2256" s="441"/>
      <c r="C2256" s="417"/>
      <c r="D2256" s="400" t="s">
        <v>259</v>
      </c>
      <c r="J2256" s="292"/>
      <c r="K2256" s="292"/>
      <c r="L2256" s="292"/>
      <c r="M2256" s="354">
        <f>TrialBalance!L116</f>
        <v>0</v>
      </c>
      <c r="N2256" s="298"/>
      <c r="O2256" s="367">
        <f>TrialBalance!N116</f>
        <v>0</v>
      </c>
      <c r="P2256" s="295"/>
      <c r="Q2256" s="442"/>
      <c r="R2256" s="403" t="str">
        <f t="shared" si="144"/>
        <v>DELETE</v>
      </c>
    </row>
    <row r="2257" spans="2:18" ht="31.5" customHeight="1" x14ac:dyDescent="0.45">
      <c r="B2257" s="441"/>
      <c r="C2257" s="417"/>
      <c r="D2257" s="400" t="s">
        <v>369</v>
      </c>
      <c r="J2257" s="292"/>
      <c r="K2257" s="292"/>
      <c r="L2257" s="292"/>
      <c r="M2257" s="354">
        <f>TrialBalance!L117</f>
        <v>0</v>
      </c>
      <c r="N2257" s="298"/>
      <c r="O2257" s="367">
        <f>TrialBalance!N117</f>
        <v>0</v>
      </c>
      <c r="P2257" s="295"/>
      <c r="Q2257" s="442"/>
      <c r="R2257" s="403" t="str">
        <f t="shared" si="144"/>
        <v>DELETE</v>
      </c>
    </row>
    <row r="2258" spans="2:18" ht="31.5" customHeight="1" x14ac:dyDescent="0.45">
      <c r="B2258" s="441"/>
      <c r="C2258" s="417"/>
      <c r="D2258" s="400" t="s">
        <v>330</v>
      </c>
      <c r="J2258" s="292"/>
      <c r="K2258" s="292"/>
      <c r="L2258" s="292"/>
      <c r="M2258" s="354">
        <f>TrialBalance!L118</f>
        <v>0</v>
      </c>
      <c r="N2258" s="298"/>
      <c r="O2258" s="367">
        <f>TrialBalance!N118</f>
        <v>0</v>
      </c>
      <c r="P2258" s="295"/>
      <c r="Q2258" s="442"/>
      <c r="R2258" s="403" t="str">
        <f t="shared" ref="R2258" si="147">IF(M2258+O2258=0,"DELETE"," ")</f>
        <v>DELETE</v>
      </c>
    </row>
    <row r="2259" spans="2:18" ht="31.5" customHeight="1" x14ac:dyDescent="0.45">
      <c r="B2259" s="441"/>
      <c r="C2259" s="417"/>
      <c r="D2259" s="400" t="s">
        <v>371</v>
      </c>
      <c r="J2259" s="292"/>
      <c r="K2259" s="292"/>
      <c r="L2259" s="292"/>
      <c r="M2259" s="354">
        <f>TrialBalance!L119</f>
        <v>0</v>
      </c>
      <c r="N2259" s="298"/>
      <c r="O2259" s="367">
        <f>TrialBalance!N119</f>
        <v>0</v>
      </c>
      <c r="P2259" s="295"/>
      <c r="Q2259" s="442"/>
      <c r="R2259" s="403" t="str">
        <f t="shared" si="144"/>
        <v>DELETE</v>
      </c>
    </row>
    <row r="2260" spans="2:18" ht="31.5" customHeight="1" x14ac:dyDescent="0.45">
      <c r="B2260" s="441"/>
      <c r="C2260" s="417"/>
      <c r="D2260" s="400" t="str">
        <f>TrialBalance!C154</f>
        <v>Impairment losses</v>
      </c>
      <c r="J2260" s="292"/>
      <c r="K2260" s="292"/>
      <c r="L2260" s="292"/>
      <c r="M2260" s="354">
        <f>TrialBalance!L154</f>
        <v>0</v>
      </c>
      <c r="N2260" s="298"/>
      <c r="O2260" s="367">
        <f>TrialBalance!N154</f>
        <v>0</v>
      </c>
      <c r="P2260" s="295"/>
      <c r="Q2260" s="442"/>
      <c r="R2260" s="403" t="str">
        <f t="shared" ref="R2260" si="148">IF(M2260+O2260=0,"DELETE"," ")</f>
        <v>DELETE</v>
      </c>
    </row>
    <row r="2261" spans="2:18" ht="31.5" customHeight="1" x14ac:dyDescent="0.45">
      <c r="B2261" s="441"/>
      <c r="C2261" s="417"/>
      <c r="D2261" s="400" t="s">
        <v>524</v>
      </c>
      <c r="J2261" s="292"/>
      <c r="K2261" s="292"/>
      <c r="L2261" s="292"/>
      <c r="M2261" s="354">
        <f>TrialBalance!L120+TrialBalance!L121</f>
        <v>0</v>
      </c>
      <c r="N2261" s="298"/>
      <c r="O2261" s="367">
        <f>TrialBalance!N120+TrialBalance!N121</f>
        <v>0</v>
      </c>
      <c r="P2261" s="295"/>
      <c r="Q2261" s="442"/>
      <c r="R2261" s="403" t="str">
        <f t="shared" si="144"/>
        <v>DELETE</v>
      </c>
    </row>
    <row r="2262" spans="2:18" ht="31.5" customHeight="1" x14ac:dyDescent="0.45">
      <c r="B2262" s="441"/>
      <c r="C2262" s="417"/>
      <c r="D2262" s="400" t="s">
        <v>547</v>
      </c>
      <c r="J2262" s="292"/>
      <c r="K2262" s="292"/>
      <c r="L2262" s="292"/>
      <c r="M2262" s="354">
        <f>IF(TrialBalance!L93&gt;0,TrialBalance!L93,0)</f>
        <v>0</v>
      </c>
      <c r="N2262" s="298"/>
      <c r="O2262" s="367">
        <f>IF(TrialBalance!N93&gt;0,TrialBalance!N93,0)</f>
        <v>0</v>
      </c>
      <c r="P2262" s="295"/>
      <c r="Q2262" s="442"/>
      <c r="R2262" s="403" t="str">
        <f t="shared" ref="R2262" si="149">IF(M2262+O2262=0,"DELETE"," ")</f>
        <v>DELETE</v>
      </c>
    </row>
    <row r="2263" spans="2:18" ht="33" customHeight="1" x14ac:dyDescent="0.45">
      <c r="B2263" s="441"/>
      <c r="C2263" s="417"/>
      <c r="D2263" s="400" t="s">
        <v>728</v>
      </c>
      <c r="J2263" s="292"/>
      <c r="K2263" s="292"/>
      <c r="L2263" s="292"/>
      <c r="M2263" s="354">
        <f>TrialBalance!L122</f>
        <v>0</v>
      </c>
      <c r="N2263" s="298"/>
      <c r="O2263" s="367">
        <f>TrialBalance!N122</f>
        <v>0</v>
      </c>
      <c r="P2263" s="295"/>
      <c r="Q2263" s="442"/>
      <c r="R2263" s="403" t="str">
        <f t="shared" si="144"/>
        <v>DELETE</v>
      </c>
    </row>
    <row r="2264" spans="2:18" ht="31.5" customHeight="1" x14ac:dyDescent="0.45">
      <c r="B2264" s="441"/>
      <c r="C2264" s="417"/>
      <c r="D2264" s="400" t="s">
        <v>260</v>
      </c>
      <c r="J2264" s="292"/>
      <c r="K2264" s="292"/>
      <c r="L2264" s="292"/>
      <c r="M2264" s="354">
        <f>TrialBalance!L123</f>
        <v>0</v>
      </c>
      <c r="N2264" s="298"/>
      <c r="O2264" s="367">
        <f>TrialBalance!N123</f>
        <v>0</v>
      </c>
      <c r="P2264" s="295"/>
      <c r="Q2264" s="442"/>
      <c r="R2264" s="403" t="str">
        <f t="shared" si="144"/>
        <v>DELETE</v>
      </c>
    </row>
    <row r="2265" spans="2:18" ht="31.5" customHeight="1" x14ac:dyDescent="0.45">
      <c r="B2265" s="441"/>
      <c r="C2265" s="417"/>
      <c r="D2265" s="400" t="s">
        <v>1081</v>
      </c>
      <c r="J2265" s="292"/>
      <c r="K2265" s="292"/>
      <c r="L2265" s="292"/>
      <c r="M2265" s="354">
        <f>TrialBalance!L155</f>
        <v>0</v>
      </c>
      <c r="N2265" s="298"/>
      <c r="O2265" s="367">
        <f>TrialBalance!N155</f>
        <v>0</v>
      </c>
      <c r="P2265" s="295"/>
      <c r="Q2265" s="442"/>
      <c r="R2265" s="403" t="str">
        <f t="shared" si="144"/>
        <v>DELETE</v>
      </c>
    </row>
    <row r="2266" spans="2:18" ht="31.5" customHeight="1" x14ac:dyDescent="0.45">
      <c r="B2266" s="441"/>
      <c r="C2266" s="417"/>
      <c r="D2266" s="400" t="s">
        <v>253</v>
      </c>
      <c r="J2266" s="292"/>
      <c r="K2266" s="292"/>
      <c r="L2266" s="292"/>
      <c r="M2266" s="354">
        <f>SUM(TrialBalance!L124:L125)</f>
        <v>0</v>
      </c>
      <c r="N2266" s="298"/>
      <c r="O2266" s="367">
        <f>SUM(TrialBalance!N124:N125)</f>
        <v>0</v>
      </c>
      <c r="P2266" s="295"/>
      <c r="Q2266" s="442"/>
      <c r="R2266" s="403" t="str">
        <f t="shared" si="144"/>
        <v>DELETE</v>
      </c>
    </row>
    <row r="2267" spans="2:18" ht="31.5" customHeight="1" x14ac:dyDescent="0.45">
      <c r="B2267" s="441"/>
      <c r="C2267" s="417"/>
      <c r="D2267" s="400" t="s">
        <v>261</v>
      </c>
      <c r="J2267" s="292"/>
      <c r="K2267" s="292"/>
      <c r="L2267" s="292"/>
      <c r="M2267" s="354">
        <f>TrialBalance!L126</f>
        <v>0</v>
      </c>
      <c r="N2267" s="298"/>
      <c r="O2267" s="367">
        <f>TrialBalance!N126</f>
        <v>0</v>
      </c>
      <c r="P2267" s="295"/>
      <c r="Q2267" s="442"/>
      <c r="R2267" s="403" t="str">
        <f t="shared" si="144"/>
        <v>DELETE</v>
      </c>
    </row>
    <row r="2268" spans="2:18" ht="31.5" customHeight="1" x14ac:dyDescent="0.45">
      <c r="B2268" s="441"/>
      <c r="C2268" s="417"/>
      <c r="D2268" s="400" t="s">
        <v>729</v>
      </c>
      <c r="J2268" s="292"/>
      <c r="K2268" s="292"/>
      <c r="L2268" s="292"/>
      <c r="M2268" s="354">
        <f>TrialBalance!L127</f>
        <v>0</v>
      </c>
      <c r="N2268" s="298"/>
      <c r="O2268" s="367">
        <f>TrialBalance!N127</f>
        <v>0</v>
      </c>
      <c r="P2268" s="295"/>
      <c r="Q2268" s="442"/>
      <c r="R2268" s="403" t="str">
        <f t="shared" si="144"/>
        <v>DELETE</v>
      </c>
    </row>
    <row r="2269" spans="2:18" ht="31.5" customHeight="1" x14ac:dyDescent="0.45">
      <c r="B2269" s="441"/>
      <c r="C2269" s="417"/>
      <c r="D2269" s="400" t="s">
        <v>79</v>
      </c>
      <c r="J2269" s="292"/>
      <c r="K2269" s="292"/>
      <c r="L2269" s="292"/>
      <c r="M2269" s="354">
        <f>TrialBalance!L128</f>
        <v>0</v>
      </c>
      <c r="N2269" s="298"/>
      <c r="O2269" s="367">
        <f>TrialBalance!N128</f>
        <v>0</v>
      </c>
      <c r="P2269" s="295"/>
      <c r="Q2269" s="442"/>
      <c r="R2269" s="403" t="str">
        <f t="shared" si="144"/>
        <v>DELETE</v>
      </c>
    </row>
    <row r="2270" spans="2:18" ht="31.5" customHeight="1" x14ac:dyDescent="0.45">
      <c r="B2270" s="441"/>
      <c r="C2270" s="417"/>
      <c r="D2270" s="400">
        <f>TrialBalance!C129</f>
        <v>0</v>
      </c>
      <c r="J2270" s="292"/>
      <c r="K2270" s="292"/>
      <c r="L2270" s="292"/>
      <c r="M2270" s="354">
        <f>TrialBalance!L129</f>
        <v>0</v>
      </c>
      <c r="N2270" s="298"/>
      <c r="O2270" s="367">
        <f>TrialBalance!N129</f>
        <v>0</v>
      </c>
      <c r="P2270" s="295"/>
      <c r="Q2270" s="442"/>
      <c r="R2270" s="403" t="str">
        <f t="shared" si="144"/>
        <v>DELETE</v>
      </c>
    </row>
    <row r="2271" spans="2:18" ht="31.5" customHeight="1" x14ac:dyDescent="0.45">
      <c r="B2271" s="441"/>
      <c r="C2271" s="417"/>
      <c r="D2271" s="400">
        <f>TrialBalance!C130</f>
        <v>0</v>
      </c>
      <c r="J2271" s="292"/>
      <c r="K2271" s="292"/>
      <c r="L2271" s="292"/>
      <c r="M2271" s="354">
        <f>TrialBalance!L130</f>
        <v>0</v>
      </c>
      <c r="N2271" s="298"/>
      <c r="O2271" s="367">
        <f>TrialBalance!N130</f>
        <v>0</v>
      </c>
      <c r="P2271" s="295"/>
      <c r="Q2271" s="442"/>
      <c r="R2271" s="403" t="str">
        <f t="shared" si="144"/>
        <v>DELETE</v>
      </c>
    </row>
    <row r="2272" spans="2:18" ht="31.5" customHeight="1" x14ac:dyDescent="0.45">
      <c r="B2272" s="441"/>
      <c r="C2272" s="417"/>
      <c r="D2272" s="400">
        <f>TrialBalance!C131</f>
        <v>0</v>
      </c>
      <c r="J2272" s="292"/>
      <c r="K2272" s="292"/>
      <c r="L2272" s="292"/>
      <c r="M2272" s="354">
        <f>TrialBalance!L131</f>
        <v>0</v>
      </c>
      <c r="N2272" s="298"/>
      <c r="O2272" s="367">
        <f>TrialBalance!N131</f>
        <v>0</v>
      </c>
      <c r="P2272" s="295"/>
      <c r="Q2272" s="442"/>
      <c r="R2272" s="403" t="str">
        <f>IF(M2272+O2272=0,"DELETE"," ")</f>
        <v>DELETE</v>
      </c>
    </row>
    <row r="2273" spans="2:26" ht="31.5" customHeight="1" x14ac:dyDescent="0.45">
      <c r="B2273" s="441"/>
      <c r="C2273" s="417"/>
      <c r="D2273" s="400">
        <f>TrialBalance!C132</f>
        <v>0</v>
      </c>
      <c r="J2273" s="292"/>
      <c r="K2273" s="292"/>
      <c r="L2273" s="292"/>
      <c r="M2273" s="354">
        <f>TrialBalance!L132</f>
        <v>0</v>
      </c>
      <c r="N2273" s="298"/>
      <c r="O2273" s="367">
        <f>TrialBalance!N132</f>
        <v>0</v>
      </c>
      <c r="P2273" s="295"/>
      <c r="Q2273" s="442"/>
      <c r="R2273" s="403" t="str">
        <f t="shared" si="144"/>
        <v>DELETE</v>
      </c>
    </row>
    <row r="2274" spans="2:26" ht="31.5" customHeight="1" x14ac:dyDescent="0.45">
      <c r="B2274" s="441"/>
      <c r="C2274" s="417"/>
      <c r="D2274" s="400">
        <f>TrialBalance!C133</f>
        <v>0</v>
      </c>
      <c r="J2274" s="292"/>
      <c r="K2274" s="292"/>
      <c r="L2274" s="292"/>
      <c r="M2274" s="354">
        <f>TrialBalance!L133</f>
        <v>0</v>
      </c>
      <c r="N2274" s="298"/>
      <c r="O2274" s="367">
        <f>TrialBalance!N133</f>
        <v>0</v>
      </c>
      <c r="P2274" s="295"/>
      <c r="Q2274" s="442"/>
      <c r="R2274" s="403" t="str">
        <f t="shared" si="144"/>
        <v>DELETE</v>
      </c>
    </row>
    <row r="2275" spans="2:26" ht="31.5" customHeight="1" x14ac:dyDescent="0.45">
      <c r="B2275" s="441"/>
      <c r="C2275" s="417"/>
      <c r="D2275" s="400">
        <f>TrialBalance!C134</f>
        <v>0</v>
      </c>
      <c r="J2275" s="292"/>
      <c r="K2275" s="292"/>
      <c r="L2275" s="292"/>
      <c r="M2275" s="354">
        <f>TrialBalance!L134</f>
        <v>0</v>
      </c>
      <c r="N2275" s="298"/>
      <c r="O2275" s="367">
        <f>TrialBalance!N134</f>
        <v>0</v>
      </c>
      <c r="P2275" s="295"/>
      <c r="Q2275" s="442"/>
      <c r="R2275" s="403" t="str">
        <f t="shared" ref="R2275:R2278" si="150">IF(M2275+O2275=0,"DELETE"," ")</f>
        <v>DELETE</v>
      </c>
    </row>
    <row r="2276" spans="2:26" ht="31.5" customHeight="1" x14ac:dyDescent="0.45">
      <c r="B2276" s="441"/>
      <c r="C2276" s="417"/>
      <c r="D2276" s="400">
        <f>TrialBalance!C135</f>
        <v>0</v>
      </c>
      <c r="J2276" s="292"/>
      <c r="K2276" s="292"/>
      <c r="L2276" s="292"/>
      <c r="M2276" s="354">
        <f>TrialBalance!L135</f>
        <v>0</v>
      </c>
      <c r="N2276" s="298"/>
      <c r="O2276" s="367">
        <f>TrialBalance!N135</f>
        <v>0</v>
      </c>
      <c r="P2276" s="295"/>
      <c r="Q2276" s="442"/>
      <c r="R2276" s="403" t="str">
        <f t="shared" si="150"/>
        <v>DELETE</v>
      </c>
    </row>
    <row r="2277" spans="2:26" ht="31.5" customHeight="1" x14ac:dyDescent="0.45">
      <c r="B2277" s="441"/>
      <c r="C2277" s="417"/>
      <c r="D2277" s="400">
        <f>TrialBalance!C136</f>
        <v>0</v>
      </c>
      <c r="J2277" s="292"/>
      <c r="K2277" s="292"/>
      <c r="L2277" s="292"/>
      <c r="M2277" s="354">
        <f>TrialBalance!L136</f>
        <v>0</v>
      </c>
      <c r="N2277" s="298"/>
      <c r="O2277" s="367">
        <f>TrialBalance!N136</f>
        <v>0</v>
      </c>
      <c r="P2277" s="295"/>
      <c r="Q2277" s="442"/>
      <c r="R2277" s="403" t="str">
        <f t="shared" si="150"/>
        <v>DELETE</v>
      </c>
    </row>
    <row r="2278" spans="2:26" ht="31.5" customHeight="1" x14ac:dyDescent="0.45">
      <c r="B2278" s="441"/>
      <c r="C2278" s="417"/>
      <c r="D2278" s="400">
        <f>TrialBalance!C137</f>
        <v>0</v>
      </c>
      <c r="J2278" s="292"/>
      <c r="K2278" s="292"/>
      <c r="L2278" s="292"/>
      <c r="M2278" s="354">
        <f>TrialBalance!L137</f>
        <v>0</v>
      </c>
      <c r="N2278" s="298"/>
      <c r="O2278" s="367">
        <f>TrialBalance!N137</f>
        <v>0</v>
      </c>
      <c r="P2278" s="295"/>
      <c r="Q2278" s="442"/>
      <c r="R2278" s="403" t="str">
        <f t="shared" si="150"/>
        <v>DELETE</v>
      </c>
    </row>
    <row r="2279" spans="2:26" ht="31.5" customHeight="1" x14ac:dyDescent="0.45">
      <c r="B2279" s="441"/>
      <c r="C2279" s="417"/>
      <c r="D2279" s="400" t="str">
        <f>TrialBalance!C138</f>
        <v>Amortisation of prepaid lease agreement</v>
      </c>
      <c r="J2279" s="292"/>
      <c r="K2279" s="292"/>
      <c r="L2279" s="292"/>
      <c r="M2279" s="354">
        <f>TrialBalance!L138</f>
        <v>0</v>
      </c>
      <c r="N2279" s="298"/>
      <c r="O2279" s="367">
        <f>TrialBalance!N138</f>
        <v>0</v>
      </c>
      <c r="P2279" s="295"/>
      <c r="Q2279" s="442"/>
      <c r="R2279" s="403" t="str">
        <f t="shared" ref="R2279" si="151">IF(M2279+O2279=0,"DELETE"," ")</f>
        <v>DELETE</v>
      </c>
    </row>
    <row r="2280" spans="2:26" ht="31.5" customHeight="1" x14ac:dyDescent="0.45">
      <c r="B2280" s="441"/>
      <c r="C2280" s="417"/>
      <c r="D2280" s="400" t="str">
        <f>TrialBalance!C139</f>
        <v>Amortisation of goodwill</v>
      </c>
      <c r="J2280" s="292"/>
      <c r="K2280" s="292"/>
      <c r="L2280" s="292"/>
      <c r="M2280" s="354">
        <f>TrialBalance!L139</f>
        <v>0</v>
      </c>
      <c r="N2280" s="298"/>
      <c r="O2280" s="367">
        <f>TrialBalance!N139</f>
        <v>0</v>
      </c>
      <c r="P2280" s="295"/>
      <c r="Q2280" s="442"/>
      <c r="R2280" s="403" t="str">
        <f t="shared" ref="R2280" si="152">IF(M2280+O2280=0,"DELETE"," ")</f>
        <v>DELETE</v>
      </c>
    </row>
    <row r="2281" spans="2:26" ht="9" customHeight="1" x14ac:dyDescent="0.45">
      <c r="B2281" s="441"/>
      <c r="C2281" s="417"/>
      <c r="J2281" s="292"/>
      <c r="K2281" s="292"/>
      <c r="L2281" s="292"/>
      <c r="M2281" s="355"/>
      <c r="N2281" s="300"/>
      <c r="O2281" s="368"/>
      <c r="P2281" s="295"/>
      <c r="Q2281" s="442"/>
      <c r="R2281" s="403" t="str">
        <f>R2244</f>
        <v>DELETE</v>
      </c>
    </row>
    <row r="2282" spans="2:26" ht="9" customHeight="1" x14ac:dyDescent="0.45">
      <c r="B2282" s="441"/>
      <c r="C2282" s="417"/>
      <c r="J2282" s="292"/>
      <c r="K2282" s="292"/>
      <c r="L2282" s="292"/>
      <c r="M2282" s="349"/>
      <c r="N2282" s="300"/>
      <c r="O2282" s="349"/>
      <c r="P2282" s="295"/>
      <c r="Q2282" s="442"/>
    </row>
    <row r="2283" spans="2:26" ht="9" customHeight="1" x14ac:dyDescent="0.45">
      <c r="B2283" s="441"/>
      <c r="C2283" s="417"/>
      <c r="J2283" s="292"/>
      <c r="K2283" s="292"/>
      <c r="L2283" s="292"/>
      <c r="M2283" s="347"/>
      <c r="N2283" s="298"/>
      <c r="O2283" s="347"/>
      <c r="P2283" s="295"/>
      <c r="Q2283" s="442"/>
    </row>
    <row r="2284" spans="2:26" ht="31.5" customHeight="1" x14ac:dyDescent="0.45">
      <c r="B2284" s="441"/>
      <c r="C2284" s="315" t="str">
        <f>IF((Y2284+Z2284)=3,"OPERATING PROFIT/(LOSS) FOR THE YEAR",(IF((Y2284+Z2284=4),"OPERATING PROFIT FOR THE YEAR","OPERATING LOSS FOR THE YEAR")))</f>
        <v>OPERATING PROFIT FOR THE YEAR</v>
      </c>
      <c r="J2284" s="292"/>
      <c r="K2284" s="292">
        <f>B878</f>
        <v>5</v>
      </c>
      <c r="L2284" s="292"/>
      <c r="M2284" s="347">
        <f>SUM(S2158:S2281)</f>
        <v>0</v>
      </c>
      <c r="N2284" s="298"/>
      <c r="O2284" s="347">
        <f>SUM(U2158:U2281)</f>
        <v>0</v>
      </c>
      <c r="P2284" s="295"/>
      <c r="Q2284" s="442"/>
      <c r="Y2284" s="378">
        <f>IF(M2284&lt;0,1,IF(M2284=0,IF(O2284&lt;0,1,2),2))</f>
        <v>2</v>
      </c>
      <c r="Z2284" s="378">
        <f>IF(O2284&lt;0,1,IF(O2284=0,IF(M2284&lt;0,1,2),2))</f>
        <v>2</v>
      </c>
    </row>
    <row r="2285" spans="2:26" ht="31.5" customHeight="1" x14ac:dyDescent="0.45">
      <c r="B2285" s="441"/>
      <c r="C2285" s="417"/>
      <c r="J2285" s="292"/>
      <c r="K2285" s="292"/>
      <c r="L2285" s="292"/>
      <c r="M2285" s="347"/>
      <c r="N2285" s="298"/>
      <c r="O2285" s="347"/>
      <c r="P2285" s="295"/>
      <c r="Q2285" s="442"/>
    </row>
    <row r="2286" spans="2:26" ht="31.5" customHeight="1" x14ac:dyDescent="0.45">
      <c r="B2286" s="441"/>
      <c r="C2286" s="417" t="s">
        <v>114</v>
      </c>
      <c r="J2286" s="292"/>
      <c r="K2286" s="292">
        <f>B965</f>
        <v>6</v>
      </c>
      <c r="L2286" s="292"/>
      <c r="M2286" s="347">
        <f>SUM(M2289:M2296)</f>
        <v>0</v>
      </c>
      <c r="N2286" s="298"/>
      <c r="O2286" s="347">
        <f>SUM(O2289:O2296)</f>
        <v>0</v>
      </c>
      <c r="P2286" s="295"/>
      <c r="Q2286" s="442"/>
      <c r="R2286" s="403" t="str">
        <f>IF(M2286+O2286=0,"DELETE"," ")</f>
        <v>DELETE</v>
      </c>
      <c r="S2286" s="380">
        <f>M2286</f>
        <v>0</v>
      </c>
      <c r="T2286" s="380"/>
      <c r="U2286" s="380">
        <f>O2286</f>
        <v>0</v>
      </c>
      <c r="V2286" s="380"/>
      <c r="W2286" s="380"/>
      <c r="X2286" s="380"/>
    </row>
    <row r="2287" spans="2:26" ht="9" customHeight="1" x14ac:dyDescent="0.45">
      <c r="B2287" s="441"/>
      <c r="C2287" s="417"/>
      <c r="J2287" s="292"/>
      <c r="K2287" s="292"/>
      <c r="L2287" s="292"/>
      <c r="M2287" s="347"/>
      <c r="N2287" s="298"/>
      <c r="O2287" s="347"/>
      <c r="P2287" s="295"/>
      <c r="Q2287" s="442"/>
      <c r="R2287" s="403" t="str">
        <f>R2286</f>
        <v>DELETE</v>
      </c>
    </row>
    <row r="2288" spans="2:26" ht="9" customHeight="1" x14ac:dyDescent="0.45">
      <c r="B2288" s="441"/>
      <c r="C2288" s="417"/>
      <c r="J2288" s="292"/>
      <c r="K2288" s="292"/>
      <c r="L2288" s="292"/>
      <c r="M2288" s="353"/>
      <c r="N2288" s="299"/>
      <c r="O2288" s="366"/>
      <c r="P2288" s="295"/>
      <c r="Q2288" s="442"/>
      <c r="R2288" s="403" t="str">
        <f>R2287</f>
        <v>DELETE</v>
      </c>
    </row>
    <row r="2289" spans="2:26" ht="31.5" customHeight="1" x14ac:dyDescent="0.45">
      <c r="B2289" s="441"/>
      <c r="C2289" s="417"/>
      <c r="D2289" s="400" t="s">
        <v>205</v>
      </c>
      <c r="J2289" s="292"/>
      <c r="K2289" s="292"/>
      <c r="L2289" s="292"/>
      <c r="M2289" s="354">
        <f>-TrialBalance!L94</f>
        <v>0</v>
      </c>
      <c r="N2289" s="298"/>
      <c r="O2289" s="367">
        <f>-TrialBalance!N94</f>
        <v>0</v>
      </c>
      <c r="P2289" s="295"/>
      <c r="Q2289" s="442"/>
      <c r="R2289" s="403" t="str">
        <f t="shared" ref="R2289:R2294" si="153">IF(M2289+O2289=0,"DELETE"," ")</f>
        <v>DELETE</v>
      </c>
    </row>
    <row r="2290" spans="2:26" ht="31.5" customHeight="1" x14ac:dyDescent="0.45">
      <c r="B2290" s="441"/>
      <c r="C2290" s="417"/>
      <c r="D2290" s="400" t="s">
        <v>531</v>
      </c>
      <c r="J2290" s="292"/>
      <c r="K2290" s="292"/>
      <c r="L2290" s="292"/>
      <c r="M2290" s="354">
        <f>-SUM(TrialBalance!L90:L92)</f>
        <v>0</v>
      </c>
      <c r="N2290" s="298"/>
      <c r="O2290" s="367">
        <f>-SUM(TrialBalance!N90:N92)</f>
        <v>0</v>
      </c>
      <c r="P2290" s="295"/>
      <c r="Q2290" s="442"/>
      <c r="R2290" s="403" t="str">
        <f t="shared" si="153"/>
        <v>DELETE</v>
      </c>
    </row>
    <row r="2291" spans="2:26" ht="31.5" customHeight="1" x14ac:dyDescent="0.45">
      <c r="B2291" s="441"/>
      <c r="C2291" s="417"/>
      <c r="D2291" s="400" t="s">
        <v>532</v>
      </c>
      <c r="J2291" s="292"/>
      <c r="K2291" s="292"/>
      <c r="L2291" s="292"/>
      <c r="M2291" s="365">
        <f>-SUM(TrialBalance!L85:L88)</f>
        <v>0</v>
      </c>
      <c r="N2291" s="304"/>
      <c r="O2291" s="371">
        <f>-SUM(TrialBalance!N85:N88)</f>
        <v>0</v>
      </c>
      <c r="P2291" s="295"/>
      <c r="Q2291" s="442"/>
      <c r="R2291" s="403" t="str">
        <f t="shared" si="153"/>
        <v>DELETE</v>
      </c>
    </row>
    <row r="2292" spans="2:26" ht="31.5" customHeight="1" x14ac:dyDescent="0.45">
      <c r="B2292" s="441"/>
      <c r="C2292" s="417"/>
      <c r="D2292" s="400" t="s">
        <v>207</v>
      </c>
      <c r="J2292" s="292"/>
      <c r="K2292" s="292"/>
      <c r="L2292" s="292"/>
      <c r="M2292" s="365">
        <f>-SUM(TrialBalance!L95)</f>
        <v>0</v>
      </c>
      <c r="N2292" s="304"/>
      <c r="O2292" s="371">
        <f>-TrialBalance!N95</f>
        <v>0</v>
      </c>
      <c r="P2292" s="295"/>
      <c r="Q2292" s="442"/>
      <c r="R2292" s="403" t="str">
        <f t="shared" si="153"/>
        <v>DELETE</v>
      </c>
    </row>
    <row r="2293" spans="2:26" ht="31.5" customHeight="1" x14ac:dyDescent="0.45">
      <c r="B2293" s="441"/>
      <c r="C2293" s="417"/>
      <c r="D2293" s="400" t="s">
        <v>548</v>
      </c>
      <c r="J2293" s="292"/>
      <c r="K2293" s="292"/>
      <c r="L2293" s="292"/>
      <c r="M2293" s="354">
        <f>IF(TrialBalance!L93&lt;0,-TrialBalance!L93,0)</f>
        <v>0</v>
      </c>
      <c r="N2293" s="298"/>
      <c r="O2293" s="367">
        <f>IF(TrialBalance!N93&lt;0,-TrialBalance!N93,0)</f>
        <v>0</v>
      </c>
      <c r="P2293" s="295"/>
      <c r="Q2293" s="442"/>
      <c r="R2293" s="403" t="str">
        <f t="shared" si="153"/>
        <v>DELETE</v>
      </c>
    </row>
    <row r="2294" spans="2:26" ht="31.5" customHeight="1" x14ac:dyDescent="0.45">
      <c r="B2294" s="441"/>
      <c r="C2294" s="417"/>
      <c r="D2294" s="400" t="s">
        <v>359</v>
      </c>
      <c r="J2294" s="292"/>
      <c r="K2294" s="292"/>
      <c r="L2294" s="292"/>
      <c r="M2294" s="354">
        <f>-TrialBalance!L83</f>
        <v>0</v>
      </c>
      <c r="N2294" s="298"/>
      <c r="O2294" s="367">
        <f>-TrialBalance!N83</f>
        <v>0</v>
      </c>
      <c r="P2294" s="295"/>
      <c r="Q2294" s="442"/>
      <c r="R2294" s="403" t="str">
        <f t="shared" si="153"/>
        <v>DELETE</v>
      </c>
    </row>
    <row r="2295" spans="2:26" ht="31.5" customHeight="1" x14ac:dyDescent="0.45">
      <c r="B2295" s="441"/>
      <c r="C2295" s="417"/>
      <c r="D2295" s="400" t="str">
        <f>TrialBalance!C96</f>
        <v>Revaluation of investment property</v>
      </c>
      <c r="J2295" s="292"/>
      <c r="K2295" s="292"/>
      <c r="L2295" s="292"/>
      <c r="M2295" s="354">
        <f>-TrialBalance!L96</f>
        <v>0</v>
      </c>
      <c r="N2295" s="298"/>
      <c r="O2295" s="367">
        <f>-TrialBalance!N96</f>
        <v>0</v>
      </c>
      <c r="P2295" s="295"/>
      <c r="Q2295" s="442"/>
      <c r="R2295" s="403" t="str">
        <f>IF(M2295+O2295=0,"DELETE"," ")</f>
        <v>DELETE</v>
      </c>
    </row>
    <row r="2296" spans="2:26" ht="9" customHeight="1" x14ac:dyDescent="0.45">
      <c r="B2296" s="441"/>
      <c r="C2296" s="417"/>
      <c r="J2296" s="292"/>
      <c r="K2296" s="292"/>
      <c r="L2296" s="292"/>
      <c r="M2296" s="355"/>
      <c r="N2296" s="300"/>
      <c r="O2296" s="368"/>
      <c r="P2296" s="295"/>
      <c r="Q2296" s="442"/>
      <c r="R2296" s="403" t="str">
        <f>R2286</f>
        <v>DELETE</v>
      </c>
    </row>
    <row r="2297" spans="2:26" ht="9" customHeight="1" x14ac:dyDescent="0.45">
      <c r="B2297" s="441"/>
      <c r="C2297" s="417"/>
      <c r="J2297" s="292"/>
      <c r="K2297" s="292"/>
      <c r="L2297" s="292"/>
      <c r="M2297" s="349"/>
      <c r="N2297" s="300"/>
      <c r="O2297" s="349"/>
      <c r="P2297" s="295"/>
      <c r="Q2297" s="442"/>
      <c r="R2297" s="403" t="str">
        <f>R2296</f>
        <v>DELETE</v>
      </c>
    </row>
    <row r="2298" spans="2:26" ht="9" customHeight="1" x14ac:dyDescent="0.45">
      <c r="B2298" s="441"/>
      <c r="C2298" s="417"/>
      <c r="J2298" s="292"/>
      <c r="K2298" s="292"/>
      <c r="L2298" s="292"/>
      <c r="M2298" s="347"/>
      <c r="N2298" s="298"/>
      <c r="O2298" s="347"/>
      <c r="P2298" s="295"/>
      <c r="Q2298" s="442"/>
      <c r="R2298" s="403" t="str">
        <f>R2297</f>
        <v>DELETE</v>
      </c>
    </row>
    <row r="2299" spans="2:26" ht="31.5" customHeight="1" x14ac:dyDescent="0.45">
      <c r="B2299" s="441"/>
      <c r="C2299" s="417"/>
      <c r="J2299" s="292"/>
      <c r="K2299" s="292"/>
      <c r="L2299" s="292"/>
      <c r="M2299" s="347">
        <f>SUM(S2158:S2296)</f>
        <v>0</v>
      </c>
      <c r="N2299" s="298"/>
      <c r="O2299" s="347">
        <f>SUM(U2158:U2296)</f>
        <v>0</v>
      </c>
      <c r="P2299" s="295"/>
      <c r="Q2299" s="442"/>
      <c r="R2299" s="403" t="str">
        <f>R2298</f>
        <v>DELETE</v>
      </c>
    </row>
    <row r="2300" spans="2:26" ht="31.5" customHeight="1" x14ac:dyDescent="0.45">
      <c r="B2300" s="441"/>
      <c r="C2300" s="417"/>
      <c r="J2300" s="292"/>
      <c r="K2300" s="292"/>
      <c r="L2300" s="292"/>
      <c r="M2300" s="347"/>
      <c r="N2300" s="298"/>
      <c r="O2300" s="347"/>
      <c r="P2300" s="295"/>
      <c r="Q2300" s="442"/>
      <c r="R2300" s="403" t="str">
        <f>R2299</f>
        <v>DELETE</v>
      </c>
    </row>
    <row r="2301" spans="2:26" ht="31.5" customHeight="1" x14ac:dyDescent="0.45">
      <c r="B2301" s="441"/>
      <c r="C2301" s="417" t="s">
        <v>262</v>
      </c>
      <c r="J2301" s="292"/>
      <c r="K2301" s="292">
        <f>B1024</f>
        <v>7</v>
      </c>
      <c r="L2301" s="292"/>
      <c r="M2301" s="347">
        <f>SUM(TrialBalance!L142:L152)</f>
        <v>0</v>
      </c>
      <c r="N2301" s="298"/>
      <c r="O2301" s="347">
        <f>SUM(TrialBalance!N142:N152)</f>
        <v>0</v>
      </c>
      <c r="P2301" s="295"/>
      <c r="Q2301" s="442"/>
      <c r="R2301" s="403" t="str">
        <f>IF(M2301+O2301=0,"DELETE"," ")</f>
        <v>DELETE</v>
      </c>
      <c r="S2301" s="380">
        <f>-M2301</f>
        <v>0</v>
      </c>
      <c r="T2301" s="380"/>
      <c r="U2301" s="380">
        <f>-O2301</f>
        <v>0</v>
      </c>
      <c r="V2301" s="380"/>
      <c r="W2301" s="380"/>
      <c r="X2301" s="380"/>
    </row>
    <row r="2302" spans="2:26" ht="9" customHeight="1" x14ac:dyDescent="0.45">
      <c r="B2302" s="441"/>
      <c r="C2302" s="417"/>
      <c r="J2302" s="292"/>
      <c r="K2302" s="292"/>
      <c r="L2302" s="292"/>
      <c r="M2302" s="349"/>
      <c r="N2302" s="300"/>
      <c r="O2302" s="349"/>
      <c r="P2302" s="295"/>
      <c r="Q2302" s="442"/>
    </row>
    <row r="2303" spans="2:26" ht="9" customHeight="1" x14ac:dyDescent="0.45">
      <c r="B2303" s="441"/>
      <c r="C2303" s="417"/>
      <c r="J2303" s="292"/>
      <c r="K2303" s="292"/>
      <c r="L2303" s="292"/>
      <c r="M2303" s="347"/>
      <c r="N2303" s="298"/>
      <c r="O2303" s="347"/>
      <c r="P2303" s="295"/>
      <c r="Q2303" s="442"/>
    </row>
    <row r="2304" spans="2:26" ht="31.5" customHeight="1" x14ac:dyDescent="0.45">
      <c r="B2304" s="441"/>
      <c r="C2304" s="315" t="str">
        <f>IF((Y2304+Z2304)=3,"PROFIT/(LOSS) BEFORE TAXATION",(IF((Y2304+Z2304=4),"PROFIT BEFORE TAXATION","LOSS BEFORE TAXATION")))</f>
        <v>PROFIT BEFORE TAXATION</v>
      </c>
      <c r="J2304" s="292"/>
      <c r="K2304" s="292"/>
      <c r="L2304" s="292"/>
      <c r="M2304" s="347">
        <f>SUM(S2158:S2303)</f>
        <v>0</v>
      </c>
      <c r="N2304" s="298"/>
      <c r="O2304" s="347">
        <f>SUM(U2158:U2303)</f>
        <v>0</v>
      </c>
      <c r="P2304" s="295"/>
      <c r="Q2304" s="442"/>
      <c r="Y2304" s="378">
        <f>IF(M2304&lt;0,1,IF(M2304=0,IF(O2304&lt;0,1,2),2))</f>
        <v>2</v>
      </c>
      <c r="Z2304" s="378">
        <f>IF(O2304&lt;0,1,IF(O2304=0,IF(M2304&lt;0,1,2),2))</f>
        <v>2</v>
      </c>
    </row>
    <row r="2305" spans="2:26" ht="31.5" customHeight="1" x14ac:dyDescent="0.45">
      <c r="B2305" s="441"/>
      <c r="C2305" s="315"/>
      <c r="J2305" s="292"/>
      <c r="K2305" s="292"/>
      <c r="L2305" s="292"/>
      <c r="M2305" s="347"/>
      <c r="N2305" s="298"/>
      <c r="O2305" s="347"/>
      <c r="P2305" s="295"/>
      <c r="Q2305" s="442"/>
    </row>
    <row r="2306" spans="2:26" ht="31.5" customHeight="1" x14ac:dyDescent="0.45">
      <c r="B2306" s="441"/>
      <c r="C2306" s="315" t="s">
        <v>869</v>
      </c>
      <c r="J2306" s="292"/>
      <c r="K2306" s="292"/>
      <c r="L2306" s="292"/>
      <c r="M2306" s="347"/>
      <c r="N2306" s="298"/>
      <c r="O2306" s="347"/>
      <c r="P2306" s="295"/>
      <c r="Q2306" s="442"/>
      <c r="R2306" s="403" t="str">
        <f>IF(COUNTIF(M2307:M2309,"=0")=3,IF(COUNTIF(O2307:O2309,"=0")=3,"DELETE"," ")," ")</f>
        <v>DELETE</v>
      </c>
    </row>
    <row r="2307" spans="2:26" ht="31.5" customHeight="1" x14ac:dyDescent="0.45">
      <c r="B2307" s="441"/>
      <c r="C2307" s="315"/>
      <c r="D2307" s="399" t="str">
        <f>IF((Y2307+Z2307)=3,CONCATENATE("Net profit/(loss) - ",Criteria!H14),(IF((Y2307+Z2307=4),CONCATENATE("Net profit - ",Criteria!H14),CONCATENATE("Net loss - ",Criteria!H14))))</f>
        <v>Net profit - Subsidiary One 111 (Pty) Ltd</v>
      </c>
      <c r="K2307" s="400" t="s">
        <v>646</v>
      </c>
      <c r="M2307" s="347">
        <f>-SUM(TrialBalanceA!I5:I154)</f>
        <v>0</v>
      </c>
      <c r="N2307" s="298"/>
      <c r="O2307" s="347">
        <f>-SUM(TrialBalanceA!K5:K154)</f>
        <v>0</v>
      </c>
      <c r="Q2307" s="442"/>
      <c r="R2307" s="403" t="str">
        <f>IF(M2307=0,IF(O2307=0,"DELETE"," ")," ")</f>
        <v>DELETE</v>
      </c>
      <c r="S2307" s="380">
        <f>M2307</f>
        <v>0</v>
      </c>
      <c r="U2307" s="380">
        <f>O2307</f>
        <v>0</v>
      </c>
      <c r="Y2307" s="378">
        <f>IF(M2307&lt;0,1,IF(M2307=0,IF(O2307&lt;0,1,2),2))</f>
        <v>2</v>
      </c>
      <c r="Z2307" s="378">
        <f>IF(O2307&lt;0,1,IF(O2307=0,IF(M2307&lt;0,1,2),2))</f>
        <v>2</v>
      </c>
    </row>
    <row r="2308" spans="2:26" ht="31.5" customHeight="1" x14ac:dyDescent="0.45">
      <c r="B2308" s="441"/>
      <c r="C2308" s="315"/>
      <c r="D2308" s="399" t="str">
        <f>IF((Y2308+Z2308)=3,CONCATENATE("Net profit/(loss) - ",Criteria!H15),(IF((Y2308+Z2308=4),CONCATENATE("Net profit - ",Criteria!H15),CONCATENATE("Net loss - ",Criteria!H15))))</f>
        <v>Net profit - Subsidiary Two 15 (Pty) Ltd</v>
      </c>
      <c r="K2308" s="400" t="s">
        <v>647</v>
      </c>
      <c r="M2308" s="347">
        <f>-SUM(TrialBalanceB!I5:I154)</f>
        <v>0</v>
      </c>
      <c r="N2308" s="298"/>
      <c r="O2308" s="347">
        <f>-SUM(TrialBalanceB!K5:K154)</f>
        <v>0</v>
      </c>
      <c r="Q2308" s="442"/>
      <c r="R2308" s="403" t="str">
        <f t="shared" ref="R2308:R2309" si="154">IF(M2308=0,IF(O2308=0,"DELETE"," ")," ")</f>
        <v>DELETE</v>
      </c>
      <c r="S2308" s="380">
        <f t="shared" ref="S2308:S2309" si="155">M2308</f>
        <v>0</v>
      </c>
      <c r="U2308" s="380">
        <f t="shared" ref="U2308:U2309" si="156">O2308</f>
        <v>0</v>
      </c>
      <c r="Y2308" s="378">
        <f t="shared" ref="Y2308:Y2309" si="157">IF(M2308&lt;0,1,IF(M2308=0,IF(O2308&lt;0,1,2),2))</f>
        <v>2</v>
      </c>
      <c r="Z2308" s="378">
        <f t="shared" ref="Z2308:Z2309" si="158">IF(O2308&lt;0,1,IF(O2308=0,IF(M2308&lt;0,1,2),2))</f>
        <v>2</v>
      </c>
    </row>
    <row r="2309" spans="2:26" ht="31.5" customHeight="1" x14ac:dyDescent="0.45">
      <c r="B2309" s="441"/>
      <c r="C2309" s="315"/>
      <c r="D2309" s="399" t="str">
        <f>IF((Y2309+Z2309)=3,CONCATENATE("Net profit/(loss) - ",Criteria!H16),(IF((Y2309+Z2309=4),CONCATENATE("Net profit - ",Criteria!H16),CONCATENATE("Net loss - ",Criteria!H16))))</f>
        <v xml:space="preserve">Net profit - </v>
      </c>
      <c r="K2309" s="400" t="s">
        <v>648</v>
      </c>
      <c r="M2309" s="347">
        <f>-SUM(TrialBalanceC!I5:I154)</f>
        <v>0</v>
      </c>
      <c r="N2309" s="298"/>
      <c r="O2309" s="347">
        <f>-SUM(TrialBalanceC!K5:K154)</f>
        <v>0</v>
      </c>
      <c r="Q2309" s="442"/>
      <c r="R2309" s="403" t="str">
        <f t="shared" si="154"/>
        <v>DELETE</v>
      </c>
      <c r="S2309" s="380">
        <f t="shared" si="155"/>
        <v>0</v>
      </c>
      <c r="U2309" s="380">
        <f t="shared" si="156"/>
        <v>0</v>
      </c>
      <c r="Y2309" s="378">
        <f t="shared" si="157"/>
        <v>2</v>
      </c>
      <c r="Z2309" s="378">
        <f t="shared" si="158"/>
        <v>2</v>
      </c>
    </row>
    <row r="2310" spans="2:26" ht="9" customHeight="1" x14ac:dyDescent="0.45">
      <c r="B2310" s="441"/>
      <c r="C2310" s="315"/>
      <c r="J2310" s="292"/>
      <c r="K2310" s="292"/>
      <c r="L2310" s="292"/>
      <c r="M2310" s="349"/>
      <c r="N2310" s="300"/>
      <c r="O2310" s="349"/>
      <c r="P2310" s="295"/>
      <c r="Q2310" s="442"/>
      <c r="R2310" s="403" t="str">
        <f>R2312</f>
        <v>DELETE</v>
      </c>
    </row>
    <row r="2311" spans="2:26" ht="9" customHeight="1" x14ac:dyDescent="0.45">
      <c r="B2311" s="441"/>
      <c r="C2311" s="315"/>
      <c r="J2311" s="292"/>
      <c r="K2311" s="292"/>
      <c r="L2311" s="292"/>
      <c r="M2311" s="347"/>
      <c r="N2311" s="298"/>
      <c r="O2311" s="347"/>
      <c r="P2311" s="295"/>
      <c r="Q2311" s="442"/>
      <c r="R2311" s="403" t="str">
        <f>R2312</f>
        <v>DELETE</v>
      </c>
    </row>
    <row r="2312" spans="2:26" ht="31.5" customHeight="1" x14ac:dyDescent="0.45">
      <c r="B2312" s="441"/>
      <c r="C2312" s="315"/>
      <c r="J2312" s="292"/>
      <c r="K2312" s="292"/>
      <c r="L2312" s="292"/>
      <c r="M2312" s="347">
        <f>SUM(S2158:S2310)</f>
        <v>0</v>
      </c>
      <c r="N2312" s="298"/>
      <c r="O2312" s="347">
        <f>SUM(U2158:U2310)</f>
        <v>0</v>
      </c>
      <c r="P2312" s="295"/>
      <c r="Q2312" s="442"/>
      <c r="R2312" s="403" t="str">
        <f>R2306</f>
        <v>DELETE</v>
      </c>
    </row>
    <row r="2313" spans="2:26" ht="31.5" customHeight="1" x14ac:dyDescent="0.45">
      <c r="B2313" s="441"/>
      <c r="C2313" s="417"/>
      <c r="J2313" s="292"/>
      <c r="K2313" s="292"/>
      <c r="L2313" s="292"/>
      <c r="M2313" s="347"/>
      <c r="N2313" s="298"/>
      <c r="O2313" s="347"/>
      <c r="P2313" s="295"/>
      <c r="Q2313" s="442"/>
      <c r="R2313" s="403" t="str">
        <f>R2312</f>
        <v>DELETE</v>
      </c>
      <c r="V2313" s="381"/>
      <c r="W2313" s="381"/>
      <c r="X2313" s="381"/>
    </row>
    <row r="2314" spans="2:26" ht="31.5" customHeight="1" x14ac:dyDescent="0.45">
      <c r="B2314" s="441"/>
      <c r="C2314" s="417" t="s">
        <v>263</v>
      </c>
      <c r="J2314" s="292"/>
      <c r="K2314" s="292"/>
      <c r="L2314" s="292"/>
      <c r="M2314" s="347">
        <f>SUM(TrialBalance!L157:L162)</f>
        <v>0</v>
      </c>
      <c r="N2314" s="298"/>
      <c r="O2314" s="347">
        <f>SUM(TrialBalance!N157:N162)</f>
        <v>0</v>
      </c>
      <c r="P2314" s="295"/>
      <c r="Q2314" s="442"/>
      <c r="S2314" s="380">
        <f>-M2314</f>
        <v>0</v>
      </c>
      <c r="T2314" s="380"/>
      <c r="U2314" s="380">
        <f>-O2314</f>
        <v>0</v>
      </c>
    </row>
    <row r="2315" spans="2:26" ht="9" customHeight="1" x14ac:dyDescent="0.45">
      <c r="B2315" s="441"/>
      <c r="C2315" s="417"/>
      <c r="J2315" s="292"/>
      <c r="K2315" s="292"/>
      <c r="L2315" s="292"/>
      <c r="M2315" s="349"/>
      <c r="N2315" s="300"/>
      <c r="O2315" s="349"/>
      <c r="P2315" s="295"/>
      <c r="Q2315" s="442"/>
    </row>
    <row r="2316" spans="2:26" ht="9" customHeight="1" x14ac:dyDescent="0.45">
      <c r="B2316" s="441"/>
      <c r="C2316" s="417"/>
      <c r="J2316" s="292"/>
      <c r="K2316" s="292"/>
      <c r="L2316" s="292"/>
      <c r="M2316" s="347"/>
      <c r="N2316" s="298"/>
      <c r="O2316" s="347"/>
      <c r="P2316" s="295"/>
      <c r="Q2316" s="442"/>
    </row>
    <row r="2317" spans="2:26" ht="31.5" customHeight="1" x14ac:dyDescent="0.45">
      <c r="B2317" s="441"/>
      <c r="C2317" s="315" t="str">
        <f>IF((Y2317+Z2317)=3,"NET PROFIT/(LOSS) FOR THE YEAR AFTER TAXATION",(IF((Y2317+Z2317=4),"NET PROFIT FOR THE YEAR AFTER TAXATION","NET LOSS FOR THE YEAR AFTER TAXATION")))</f>
        <v>NET PROFIT FOR THE YEAR AFTER TAXATION</v>
      </c>
      <c r="J2317" s="292"/>
      <c r="K2317" s="292"/>
      <c r="L2317" s="292"/>
      <c r="M2317" s="347">
        <f>SUM(S2158:S2315)</f>
        <v>0</v>
      </c>
      <c r="N2317" s="298"/>
      <c r="O2317" s="347">
        <f>SUM(U2158:U2315)</f>
        <v>0</v>
      </c>
      <c r="P2317" s="295"/>
      <c r="Q2317" s="442"/>
      <c r="V2317" s="383" t="b">
        <f>-SUM(TrialBalance!L5:L162)=FS!M2317</f>
        <v>1</v>
      </c>
      <c r="X2317" s="378" t="b">
        <f>-SUM(TrialBalance!N5:N162)=FS!O2317</f>
        <v>1</v>
      </c>
      <c r="Y2317" s="378">
        <f>IF(M2317&lt;0,1,IF(M2317=0,IF(O2317&lt;0,1,2),2))</f>
        <v>2</v>
      </c>
      <c r="Z2317" s="378">
        <f>IF(O2317&lt;0,1,IF(O2317=0,IF(M2317&lt;0,1,2),2))</f>
        <v>2</v>
      </c>
    </row>
    <row r="2318" spans="2:26" ht="9" customHeight="1" thickBot="1" x14ac:dyDescent="0.5">
      <c r="B2318" s="441"/>
      <c r="C2318" s="417"/>
      <c r="J2318" s="292"/>
      <c r="K2318" s="292"/>
      <c r="L2318" s="292"/>
      <c r="M2318" s="351"/>
      <c r="N2318" s="301"/>
      <c r="O2318" s="351"/>
      <c r="P2318" s="295"/>
      <c r="Q2318" s="442"/>
    </row>
    <row r="2319" spans="2:26" ht="9" customHeight="1" thickTop="1" x14ac:dyDescent="0.45">
      <c r="B2319" s="441"/>
      <c r="C2319" s="417"/>
      <c r="J2319" s="292"/>
      <c r="K2319" s="292"/>
      <c r="L2319" s="292"/>
      <c r="M2319" s="347"/>
      <c r="N2319" s="298"/>
      <c r="O2319" s="347"/>
      <c r="P2319" s="295"/>
      <c r="Q2319" s="442"/>
    </row>
    <row r="2320" spans="2:26" ht="31.5" customHeight="1" x14ac:dyDescent="0.45">
      <c r="B2320" s="441"/>
      <c r="C2320" s="417"/>
      <c r="J2320" s="292"/>
      <c r="K2320" s="292"/>
      <c r="L2320" s="292"/>
      <c r="M2320" s="347"/>
      <c r="N2320" s="298"/>
      <c r="O2320" s="347"/>
      <c r="P2320" s="295"/>
      <c r="Q2320" s="442"/>
    </row>
    <row r="2321" spans="2:26" ht="31.5" customHeight="1" x14ac:dyDescent="0.45">
      <c r="B2321" s="445"/>
      <c r="C2321" s="429"/>
      <c r="D2321" s="429"/>
      <c r="E2321" s="429"/>
      <c r="F2321" s="429"/>
      <c r="G2321" s="429"/>
      <c r="H2321" s="429"/>
      <c r="I2321" s="429"/>
      <c r="J2321" s="429"/>
      <c r="K2321" s="429"/>
      <c r="L2321" s="429"/>
      <c r="M2321" s="437"/>
      <c r="N2321" s="461"/>
      <c r="O2321" s="437"/>
      <c r="P2321" s="433"/>
      <c r="Q2321" s="446"/>
    </row>
    <row r="2322" spans="2:26" ht="31.5" customHeight="1" x14ac:dyDescent="0.45">
      <c r="M2322" s="426"/>
      <c r="N2322" s="406"/>
      <c r="O2322" s="426"/>
    </row>
    <row r="2323" spans="2:26" ht="31.5" customHeight="1" x14ac:dyDescent="0.45">
      <c r="M2323" s="426"/>
      <c r="N2323" s="406"/>
      <c r="O2323" s="426"/>
      <c r="R2323" s="403" t="str">
        <f>IF(SUM(U2335:U2337)+SUM(U2355:U2362)+SUM(U2462:U2472)+O2480=0,"DELETE",IF(SUM(S2335:S2337)+SUM(U2335:U2337)+SUM(S2355:S2362)+SUM(U2355:U2362)+SUM(S2462:S2472)+SUM(U2462:U2472)+M2480+O2480=0,"DELETE"," "))</f>
        <v>DELETE</v>
      </c>
      <c r="T2323" s="381"/>
      <c r="V2323" s="382"/>
      <c r="W2323" s="382"/>
      <c r="X2323" s="382"/>
      <c r="Y2323" s="381"/>
    </row>
    <row r="2324" spans="2:26" ht="31.5" customHeight="1" x14ac:dyDescent="0.45">
      <c r="D2324" s="417" t="s">
        <v>526</v>
      </c>
      <c r="M2324" s="426"/>
      <c r="N2324" s="406"/>
      <c r="O2324" s="426"/>
      <c r="R2324" s="403" t="str">
        <f t="shared" ref="R2324:R2334" si="159">R$2323</f>
        <v>DELETE</v>
      </c>
      <c r="T2324" s="381"/>
      <c r="V2324" s="379"/>
      <c r="X2324" s="379"/>
      <c r="Z2324" s="379"/>
    </row>
    <row r="2325" spans="2:26" ht="31.5" customHeight="1" x14ac:dyDescent="0.45">
      <c r="M2325" s="426"/>
      <c r="N2325" s="406"/>
      <c r="O2325" s="426"/>
      <c r="R2325" s="403" t="str">
        <f t="shared" si="159"/>
        <v>DELETE</v>
      </c>
      <c r="T2325" s="381"/>
    </row>
    <row r="2326" spans="2:26" ht="31.5" customHeight="1" x14ac:dyDescent="0.45">
      <c r="D2326" s="417" t="str">
        <f>Criteria!E14</f>
        <v>SUBSIDIARY ONE 111 (PTY) LTD</v>
      </c>
      <c r="M2326" s="426"/>
      <c r="N2326" s="406"/>
      <c r="O2326" s="347" t="s">
        <v>96</v>
      </c>
      <c r="Q2326" s="292">
        <v>1</v>
      </c>
      <c r="R2326" s="403" t="str">
        <f t="shared" si="159"/>
        <v>DELETE</v>
      </c>
      <c r="T2326" s="381"/>
    </row>
    <row r="2327" spans="2:26" ht="31.5" customHeight="1" x14ac:dyDescent="0.45">
      <c r="D2327" s="405"/>
      <c r="M2327" s="426"/>
      <c r="N2327" s="406"/>
      <c r="O2327" s="426"/>
      <c r="R2327" s="403" t="str">
        <f t="shared" si="159"/>
        <v>DELETE</v>
      </c>
      <c r="T2327" s="381"/>
    </row>
    <row r="2328" spans="2:26" ht="31.5" customHeight="1" x14ac:dyDescent="0.45">
      <c r="M2328" s="426"/>
      <c r="N2328" s="406"/>
      <c r="O2328" s="426"/>
      <c r="R2328" s="403" t="str">
        <f t="shared" si="159"/>
        <v>DELETE</v>
      </c>
      <c r="T2328" s="381"/>
    </row>
    <row r="2329" spans="2:26" ht="31.5" customHeight="1" x14ac:dyDescent="0.45">
      <c r="D2329" s="417" t="s">
        <v>91</v>
      </c>
      <c r="M2329" s="426"/>
      <c r="N2329" s="406"/>
      <c r="O2329" s="426"/>
      <c r="R2329" s="403" t="str">
        <f t="shared" si="159"/>
        <v>DELETE</v>
      </c>
      <c r="T2329" s="381"/>
    </row>
    <row r="2330" spans="2:26" ht="31.5" customHeight="1" x14ac:dyDescent="0.45">
      <c r="D2330" s="417" t="str">
        <f>Criteria!E20</f>
        <v>29 FEBRUARY 2024</v>
      </c>
      <c r="M2330" s="426"/>
      <c r="N2330" s="406"/>
      <c r="O2330" s="426"/>
      <c r="R2330" s="403" t="str">
        <f t="shared" si="159"/>
        <v>DELETE</v>
      </c>
      <c r="T2330" s="381"/>
    </row>
    <row r="2331" spans="2:26" ht="31.5" customHeight="1" x14ac:dyDescent="0.45">
      <c r="M2331" s="426"/>
      <c r="N2331" s="406"/>
      <c r="O2331" s="426"/>
      <c r="R2331" s="403" t="str">
        <f t="shared" si="159"/>
        <v>DELETE</v>
      </c>
      <c r="T2331" s="381"/>
    </row>
    <row r="2332" spans="2:26" ht="31.5" customHeight="1" x14ac:dyDescent="0.45">
      <c r="B2332" s="438"/>
      <c r="C2332" s="439"/>
      <c r="D2332" s="439"/>
      <c r="E2332" s="439"/>
      <c r="F2332" s="439"/>
      <c r="G2332" s="439"/>
      <c r="H2332" s="439"/>
      <c r="I2332" s="439"/>
      <c r="J2332" s="439"/>
      <c r="K2332" s="439"/>
      <c r="L2332" s="439"/>
      <c r="M2332" s="469"/>
      <c r="N2332" s="470"/>
      <c r="O2332" s="469"/>
      <c r="P2332" s="448"/>
      <c r="Q2332" s="440"/>
      <c r="R2332" s="403" t="str">
        <f t="shared" si="159"/>
        <v>DELETE</v>
      </c>
      <c r="T2332" s="381"/>
    </row>
    <row r="2333" spans="2:26" ht="31.5" customHeight="1" x14ac:dyDescent="0.45">
      <c r="B2333" s="441"/>
      <c r="J2333" s="292"/>
      <c r="K2333" s="292" t="s">
        <v>104</v>
      </c>
      <c r="L2333" s="292"/>
      <c r="M2333" s="344">
        <f>Criteria!E22</f>
        <v>2024</v>
      </c>
      <c r="N2333" s="294"/>
      <c r="O2333" s="344">
        <f>Criteria!E27</f>
        <v>2023</v>
      </c>
      <c r="P2333" s="295"/>
      <c r="Q2333" s="442"/>
      <c r="R2333" s="403" t="str">
        <f t="shared" si="159"/>
        <v>DELETE</v>
      </c>
      <c r="T2333" s="381"/>
    </row>
    <row r="2334" spans="2:26" ht="31.5" customHeight="1" x14ac:dyDescent="0.45">
      <c r="B2334" s="441"/>
      <c r="J2334" s="292"/>
      <c r="K2334" s="292"/>
      <c r="L2334" s="292"/>
      <c r="M2334" s="347"/>
      <c r="N2334" s="298"/>
      <c r="O2334" s="347"/>
      <c r="P2334" s="295"/>
      <c r="Q2334" s="442"/>
      <c r="R2334" s="403" t="str">
        <f t="shared" si="159"/>
        <v>DELETE</v>
      </c>
      <c r="T2334" s="381"/>
    </row>
    <row r="2335" spans="2:26" ht="31.5" customHeight="1" x14ac:dyDescent="0.45">
      <c r="B2335" s="441"/>
      <c r="C2335" s="417" t="s">
        <v>112</v>
      </c>
      <c r="J2335" s="292"/>
      <c r="K2335" s="292"/>
      <c r="L2335" s="292"/>
      <c r="M2335" s="347">
        <f>-SUM(TrialBalanceA!I5:I10)</f>
        <v>0</v>
      </c>
      <c r="N2335" s="298"/>
      <c r="O2335" s="347">
        <f>-SUM(TrialBalanceA!K5:K10)</f>
        <v>0</v>
      </c>
      <c r="P2335" s="295"/>
      <c r="Q2335" s="442"/>
      <c r="R2335" s="403" t="str">
        <f>IF(R2323="DELETE","DELETE",IF(M2335+O2335=0,IF(M2337+O2337=0," ","DELETE")," "))</f>
        <v>DELETE</v>
      </c>
      <c r="S2335" s="380">
        <f>M2335</f>
        <v>0</v>
      </c>
      <c r="T2335" s="381"/>
      <c r="U2335" s="380">
        <f>O2335</f>
        <v>0</v>
      </c>
      <c r="V2335" s="380"/>
      <c r="W2335" s="380"/>
      <c r="X2335" s="380"/>
    </row>
    <row r="2336" spans="2:26" ht="31.5" customHeight="1" x14ac:dyDescent="0.45">
      <c r="B2336" s="441"/>
      <c r="C2336" s="417"/>
      <c r="J2336" s="292"/>
      <c r="K2336" s="292"/>
      <c r="L2336" s="292"/>
      <c r="M2336" s="347"/>
      <c r="N2336" s="298"/>
      <c r="O2336" s="347"/>
      <c r="P2336" s="295"/>
      <c r="Q2336" s="442"/>
      <c r="R2336" s="403" t="str">
        <f>R2335</f>
        <v>DELETE</v>
      </c>
      <c r="S2336" s="380"/>
      <c r="T2336" s="381"/>
      <c r="U2336" s="380"/>
      <c r="V2336" s="380"/>
      <c r="W2336" s="380"/>
      <c r="X2336" s="380"/>
    </row>
    <row r="2337" spans="2:24" ht="31.5" customHeight="1" x14ac:dyDescent="0.45">
      <c r="B2337" s="441"/>
      <c r="C2337" s="417" t="s">
        <v>525</v>
      </c>
      <c r="J2337" s="292"/>
      <c r="K2337" s="292"/>
      <c r="L2337" s="292"/>
      <c r="M2337" s="347">
        <f>-TrialBalanceA!I11</f>
        <v>0</v>
      </c>
      <c r="N2337" s="298"/>
      <c r="O2337" s="347">
        <f>-TrialBalanceA!K11</f>
        <v>0</v>
      </c>
      <c r="P2337" s="295"/>
      <c r="Q2337" s="442"/>
      <c r="R2337" s="403" t="str">
        <f>IF(R$2323="DELETE","DELETE",IF(M2337+O2337=0,"DELETE"," "))</f>
        <v>DELETE</v>
      </c>
      <c r="S2337" s="380">
        <f>M2337</f>
        <v>0</v>
      </c>
      <c r="T2337" s="381"/>
      <c r="U2337" s="380">
        <f>O2337</f>
        <v>0</v>
      </c>
      <c r="V2337" s="380"/>
      <c r="W2337" s="380"/>
      <c r="X2337" s="380"/>
    </row>
    <row r="2338" spans="2:24" ht="31.5" customHeight="1" x14ac:dyDescent="0.45">
      <c r="B2338" s="441"/>
      <c r="C2338" s="417"/>
      <c r="J2338" s="292"/>
      <c r="K2338" s="292"/>
      <c r="L2338" s="292"/>
      <c r="M2338" s="347"/>
      <c r="N2338" s="298"/>
      <c r="O2338" s="347"/>
      <c r="P2338" s="295"/>
      <c r="Q2338" s="442"/>
      <c r="R2338" s="403" t="str">
        <f>R2337</f>
        <v>DELETE</v>
      </c>
      <c r="T2338" s="381"/>
    </row>
    <row r="2339" spans="2:24" ht="31.5" customHeight="1" x14ac:dyDescent="0.45">
      <c r="B2339" s="441"/>
      <c r="C2339" s="417" t="s">
        <v>273</v>
      </c>
      <c r="J2339" s="292"/>
      <c r="K2339" s="292"/>
      <c r="L2339" s="292"/>
      <c r="M2339" s="347">
        <f>SUM(M2342:M2349)</f>
        <v>0</v>
      </c>
      <c r="N2339" s="298"/>
      <c r="O2339" s="347">
        <f>SUM(O2342:O2349)</f>
        <v>0</v>
      </c>
      <c r="P2339" s="295"/>
      <c r="Q2339" s="442"/>
      <c r="R2339" s="403" t="str">
        <f>IF(R$2323="DELETE","DELETE",IF(M2339=0,IF(O2339=0,"DELETE"," ")," "))</f>
        <v>DELETE</v>
      </c>
      <c r="S2339" s="380">
        <f>-M2339</f>
        <v>0</v>
      </c>
      <c r="T2339" s="381"/>
      <c r="U2339" s="380">
        <f>-O2339</f>
        <v>0</v>
      </c>
      <c r="V2339" s="380"/>
      <c r="W2339" s="380"/>
      <c r="X2339" s="380"/>
    </row>
    <row r="2340" spans="2:24" ht="9" customHeight="1" x14ac:dyDescent="0.45">
      <c r="B2340" s="441"/>
      <c r="C2340" s="417"/>
      <c r="J2340" s="292"/>
      <c r="K2340" s="292"/>
      <c r="L2340" s="292"/>
      <c r="M2340" s="347"/>
      <c r="N2340" s="298"/>
      <c r="O2340" s="347"/>
      <c r="P2340" s="295"/>
      <c r="Q2340" s="442"/>
      <c r="R2340" s="403" t="str">
        <f>R2339</f>
        <v>DELETE</v>
      </c>
      <c r="T2340" s="381"/>
    </row>
    <row r="2341" spans="2:24" ht="9" customHeight="1" x14ac:dyDescent="0.45">
      <c r="B2341" s="441"/>
      <c r="C2341" s="417"/>
      <c r="J2341" s="292"/>
      <c r="K2341" s="292"/>
      <c r="L2341" s="292"/>
      <c r="M2341" s="353"/>
      <c r="N2341" s="299"/>
      <c r="O2341" s="366"/>
      <c r="P2341" s="295"/>
      <c r="Q2341" s="442"/>
      <c r="R2341" s="403" t="str">
        <f>R2340</f>
        <v>DELETE</v>
      </c>
      <c r="T2341" s="381"/>
    </row>
    <row r="2342" spans="2:24" ht="31.5" customHeight="1" x14ac:dyDescent="0.45">
      <c r="B2342" s="441"/>
      <c r="C2342" s="417"/>
      <c r="D2342" s="400" t="s">
        <v>527</v>
      </c>
      <c r="J2342" s="292"/>
      <c r="K2342" s="292"/>
      <c r="L2342" s="292"/>
      <c r="M2342" s="354">
        <f>SUM(TrialBalanceA!I13:I16)</f>
        <v>0</v>
      </c>
      <c r="N2342" s="298"/>
      <c r="O2342" s="367">
        <f>SUM(TrialBalanceA!K13:K16)</f>
        <v>0</v>
      </c>
      <c r="P2342" s="295"/>
      <c r="Q2342" s="442"/>
      <c r="R2342" s="403" t="str">
        <f t="shared" ref="R2342:R2349" si="160">IF(R$2323="DELETE","DELETE",IF(M2342+O2342=0,"DELETE"," "))</f>
        <v>DELETE</v>
      </c>
      <c r="T2342" s="381"/>
    </row>
    <row r="2343" spans="2:24" ht="31.5" customHeight="1" x14ac:dyDescent="0.45">
      <c r="B2343" s="441"/>
      <c r="C2343" s="417"/>
      <c r="D2343" s="400" t="s">
        <v>274</v>
      </c>
      <c r="J2343" s="292"/>
      <c r="K2343" s="292"/>
      <c r="L2343" s="292"/>
      <c r="M2343" s="354">
        <f>TrialBalanceA!I17</f>
        <v>0</v>
      </c>
      <c r="N2343" s="298"/>
      <c r="O2343" s="367">
        <f>TrialBalanceA!K17</f>
        <v>0</v>
      </c>
      <c r="P2343" s="295"/>
      <c r="Q2343" s="442"/>
      <c r="R2343" s="403" t="str">
        <f t="shared" si="160"/>
        <v>DELETE</v>
      </c>
      <c r="T2343" s="381"/>
    </row>
    <row r="2344" spans="2:24" ht="31.5" customHeight="1" x14ac:dyDescent="0.45">
      <c r="B2344" s="441"/>
      <c r="C2344" s="417"/>
      <c r="D2344" s="400">
        <f>TrialBalanceA!C18</f>
        <v>0</v>
      </c>
      <c r="J2344" s="292"/>
      <c r="K2344" s="292"/>
      <c r="L2344" s="292"/>
      <c r="M2344" s="354">
        <f>TrialBalanceA!I18</f>
        <v>0</v>
      </c>
      <c r="N2344" s="298"/>
      <c r="O2344" s="367">
        <f>TrialBalanceA!K18</f>
        <v>0</v>
      </c>
      <c r="P2344" s="295"/>
      <c r="Q2344" s="442"/>
      <c r="R2344" s="403" t="str">
        <f t="shared" si="160"/>
        <v>DELETE</v>
      </c>
      <c r="T2344" s="381"/>
    </row>
    <row r="2345" spans="2:24" ht="31.5" customHeight="1" x14ac:dyDescent="0.45">
      <c r="B2345" s="441"/>
      <c r="C2345" s="417"/>
      <c r="D2345" s="400">
        <f>TrialBalanceA!C19</f>
        <v>0</v>
      </c>
      <c r="J2345" s="292"/>
      <c r="K2345" s="292"/>
      <c r="L2345" s="292"/>
      <c r="M2345" s="354">
        <f>TrialBalanceA!I19</f>
        <v>0</v>
      </c>
      <c r="N2345" s="298"/>
      <c r="O2345" s="367">
        <f>TrialBalanceA!K19</f>
        <v>0</v>
      </c>
      <c r="P2345" s="295"/>
      <c r="Q2345" s="442"/>
      <c r="R2345" s="403" t="str">
        <f t="shared" si="160"/>
        <v>DELETE</v>
      </c>
      <c r="T2345" s="381"/>
    </row>
    <row r="2346" spans="2:24" ht="31.5" customHeight="1" x14ac:dyDescent="0.45">
      <c r="B2346" s="441"/>
      <c r="C2346" s="417"/>
      <c r="D2346" s="400">
        <f>TrialBalanceA!C20</f>
        <v>0</v>
      </c>
      <c r="J2346" s="292"/>
      <c r="K2346" s="292"/>
      <c r="L2346" s="292"/>
      <c r="M2346" s="354">
        <f>TrialBalanceA!I20</f>
        <v>0</v>
      </c>
      <c r="N2346" s="298"/>
      <c r="O2346" s="367">
        <f>TrialBalanceA!K20</f>
        <v>0</v>
      </c>
      <c r="P2346" s="295"/>
      <c r="Q2346" s="442"/>
      <c r="R2346" s="403" t="str">
        <f t="shared" si="160"/>
        <v>DELETE</v>
      </c>
      <c r="T2346" s="381"/>
    </row>
    <row r="2347" spans="2:24" ht="31.5" customHeight="1" x14ac:dyDescent="0.45">
      <c r="B2347" s="441"/>
      <c r="C2347" s="417"/>
      <c r="D2347" s="400">
        <f>TrialBalanceA!C21</f>
        <v>0</v>
      </c>
      <c r="J2347" s="292"/>
      <c r="K2347" s="292"/>
      <c r="L2347" s="292"/>
      <c r="M2347" s="354">
        <f>TrialBalanceA!I21</f>
        <v>0</v>
      </c>
      <c r="N2347" s="298"/>
      <c r="O2347" s="367">
        <f>TrialBalanceA!K21</f>
        <v>0</v>
      </c>
      <c r="P2347" s="295"/>
      <c r="Q2347" s="442"/>
      <c r="R2347" s="403" t="str">
        <f t="shared" si="160"/>
        <v>DELETE</v>
      </c>
      <c r="T2347" s="381"/>
    </row>
    <row r="2348" spans="2:24" ht="31.5" customHeight="1" x14ac:dyDescent="0.45">
      <c r="B2348" s="441"/>
      <c r="C2348" s="417"/>
      <c r="D2348" s="400">
        <f>TrialBalanceA!C22</f>
        <v>0</v>
      </c>
      <c r="J2348" s="292"/>
      <c r="K2348" s="292"/>
      <c r="L2348" s="292"/>
      <c r="M2348" s="354">
        <f>TrialBalanceA!I22</f>
        <v>0</v>
      </c>
      <c r="N2348" s="298"/>
      <c r="O2348" s="367">
        <f>TrialBalanceA!K22</f>
        <v>0</v>
      </c>
      <c r="P2348" s="295"/>
      <c r="Q2348" s="442"/>
      <c r="R2348" s="403" t="str">
        <f t="shared" si="160"/>
        <v>DELETE</v>
      </c>
      <c r="T2348" s="381"/>
    </row>
    <row r="2349" spans="2:24" ht="31.5" customHeight="1" x14ac:dyDescent="0.45">
      <c r="B2349" s="441"/>
      <c r="C2349" s="417"/>
      <c r="D2349" s="400" t="s">
        <v>528</v>
      </c>
      <c r="J2349" s="292"/>
      <c r="K2349" s="292"/>
      <c r="L2349" s="292"/>
      <c r="M2349" s="354">
        <f>SUM(TrialBalanceA!I23:I26)</f>
        <v>0</v>
      </c>
      <c r="N2349" s="298"/>
      <c r="O2349" s="367">
        <f>SUM(TrialBalanceA!K23:K26)</f>
        <v>0</v>
      </c>
      <c r="P2349" s="295"/>
      <c r="Q2349" s="442"/>
      <c r="R2349" s="403" t="str">
        <f t="shared" si="160"/>
        <v>DELETE</v>
      </c>
      <c r="T2349" s="381"/>
    </row>
    <row r="2350" spans="2:24" ht="9" customHeight="1" x14ac:dyDescent="0.45">
      <c r="B2350" s="441"/>
      <c r="C2350" s="417"/>
      <c r="J2350" s="292"/>
      <c r="K2350" s="292"/>
      <c r="L2350" s="292"/>
      <c r="M2350" s="355"/>
      <c r="N2350" s="300"/>
      <c r="O2350" s="368"/>
      <c r="P2350" s="295"/>
      <c r="Q2350" s="442"/>
      <c r="R2350" s="403" t="str">
        <f>R2339</f>
        <v>DELETE</v>
      </c>
      <c r="T2350" s="381"/>
    </row>
    <row r="2351" spans="2:24" ht="9" customHeight="1" x14ac:dyDescent="0.45">
      <c r="B2351" s="441"/>
      <c r="C2351" s="417"/>
      <c r="J2351" s="292"/>
      <c r="K2351" s="292"/>
      <c r="L2351" s="292"/>
      <c r="M2351" s="349"/>
      <c r="N2351" s="300"/>
      <c r="O2351" s="349"/>
      <c r="P2351" s="295"/>
      <c r="Q2351" s="442"/>
      <c r="R2351" s="403" t="str">
        <f>R2339</f>
        <v>DELETE</v>
      </c>
      <c r="T2351" s="381"/>
    </row>
    <row r="2352" spans="2:24" ht="9" customHeight="1" x14ac:dyDescent="0.45">
      <c r="B2352" s="441"/>
      <c r="C2352" s="417"/>
      <c r="J2352" s="292"/>
      <c r="K2352" s="292"/>
      <c r="L2352" s="292"/>
      <c r="M2352" s="347"/>
      <c r="N2352" s="298"/>
      <c r="O2352" s="347"/>
      <c r="P2352" s="295"/>
      <c r="Q2352" s="442"/>
      <c r="R2352" s="403" t="str">
        <f>R2351</f>
        <v>DELETE</v>
      </c>
      <c r="T2352" s="381"/>
    </row>
    <row r="2353" spans="2:26" ht="31.5" customHeight="1" x14ac:dyDescent="0.45">
      <c r="B2353" s="441"/>
      <c r="C2353" s="315" t="str">
        <f>IF((Y2353+Z2353)=3,"GROSS PROFIT/(LOSS)",(IF((Y2353+Z2353=4),"GROSS PROFIT","GROSS LOSS")))</f>
        <v>GROSS PROFIT</v>
      </c>
      <c r="J2353" s="292"/>
      <c r="K2353" s="292"/>
      <c r="L2353" s="292"/>
      <c r="M2353" s="347">
        <f>SUM(S2335:S2350)</f>
        <v>0</v>
      </c>
      <c r="N2353" s="298"/>
      <c r="O2353" s="347">
        <f>SUM(U2335:U2350)</f>
        <v>0</v>
      </c>
      <c r="P2353" s="295"/>
      <c r="Q2353" s="442"/>
      <c r="R2353" s="403" t="str">
        <f>R2352</f>
        <v>DELETE</v>
      </c>
      <c r="T2353" s="381"/>
      <c r="Y2353" s="378">
        <f>IF(M2353&lt;0,1,IF(M2353=0,IF(O2353&lt;0,1,2),2))</f>
        <v>2</v>
      </c>
      <c r="Z2353" s="378">
        <f>IF(O2353&lt;0,1,IF(O2353=0,IF(M2353&lt;0,1,2),2))</f>
        <v>2</v>
      </c>
    </row>
    <row r="2354" spans="2:26" ht="31.5" customHeight="1" x14ac:dyDescent="0.45">
      <c r="B2354" s="441"/>
      <c r="C2354" s="417"/>
      <c r="J2354" s="292"/>
      <c r="K2354" s="292"/>
      <c r="L2354" s="292"/>
      <c r="M2354" s="347"/>
      <c r="N2354" s="298"/>
      <c r="O2354" s="347"/>
      <c r="P2354" s="295"/>
      <c r="Q2354" s="442"/>
      <c r="R2354" s="403" t="str">
        <f>R2353</f>
        <v>DELETE</v>
      </c>
      <c r="T2354" s="381"/>
    </row>
    <row r="2355" spans="2:26" ht="31.5" customHeight="1" x14ac:dyDescent="0.45">
      <c r="B2355" s="441"/>
      <c r="C2355" s="417" t="s">
        <v>323</v>
      </c>
      <c r="J2355" s="292"/>
      <c r="K2355" s="292"/>
      <c r="L2355" s="292"/>
      <c r="M2355" s="347">
        <f>SUM(M2357:M2364)</f>
        <v>0</v>
      </c>
      <c r="N2355" s="298"/>
      <c r="O2355" s="347">
        <f>SUM(O2357:O2364)</f>
        <v>0</v>
      </c>
      <c r="P2355" s="295"/>
      <c r="Q2355" s="442"/>
      <c r="R2355" s="403" t="str">
        <f t="shared" ref="R2355" si="161">IF(R$2323="DELETE","DELETE",IF(M2355+O2355=0,"DELETE"," "))</f>
        <v>DELETE</v>
      </c>
      <c r="S2355" s="380">
        <f>M2355</f>
        <v>0</v>
      </c>
      <c r="T2355" s="381"/>
      <c r="U2355" s="380">
        <f>O2355</f>
        <v>0</v>
      </c>
      <c r="V2355" s="380"/>
      <c r="W2355" s="380"/>
      <c r="X2355" s="380"/>
    </row>
    <row r="2356" spans="2:26" ht="9" customHeight="1" x14ac:dyDescent="0.45">
      <c r="B2356" s="441"/>
      <c r="C2356" s="417"/>
      <c r="J2356" s="292"/>
      <c r="K2356" s="292"/>
      <c r="L2356" s="292"/>
      <c r="M2356" s="347"/>
      <c r="N2356" s="298"/>
      <c r="O2356" s="347"/>
      <c r="P2356" s="295"/>
      <c r="Q2356" s="442"/>
      <c r="R2356" s="403" t="str">
        <f>R2355</f>
        <v>DELETE</v>
      </c>
      <c r="T2356" s="381"/>
    </row>
    <row r="2357" spans="2:26" ht="9" customHeight="1" x14ac:dyDescent="0.45">
      <c r="B2357" s="441"/>
      <c r="C2357" s="417"/>
      <c r="J2357" s="292"/>
      <c r="K2357" s="292"/>
      <c r="L2357" s="292"/>
      <c r="M2357" s="353"/>
      <c r="N2357" s="299"/>
      <c r="O2357" s="366"/>
      <c r="P2357" s="295"/>
      <c r="Q2357" s="442"/>
      <c r="R2357" s="403" t="str">
        <f>R2355</f>
        <v>DELETE</v>
      </c>
      <c r="T2357" s="381"/>
    </row>
    <row r="2358" spans="2:26" ht="31.5" customHeight="1" x14ac:dyDescent="0.45">
      <c r="B2358" s="441"/>
      <c r="C2358" s="417"/>
      <c r="D2358" s="400" t="str">
        <f>TrialBalanceA!C28</f>
        <v>Insurance claims - Subsidiary One 111 (Pty) Ltd</v>
      </c>
      <c r="J2358" s="292"/>
      <c r="K2358" s="292"/>
      <c r="L2358" s="292"/>
      <c r="M2358" s="354">
        <f>-TrialBalanceA!I28</f>
        <v>0</v>
      </c>
      <c r="N2358" s="298"/>
      <c r="O2358" s="367">
        <f>-TrialBalanceA!K28</f>
        <v>0</v>
      </c>
      <c r="P2358" s="295"/>
      <c r="Q2358" s="442"/>
      <c r="R2358" s="403" t="str">
        <f t="shared" ref="R2358:R2362" si="162">IF(R$2323="DELETE","DELETE",IF(M2358+O2358=0,"DELETE"," "))</f>
        <v>DELETE</v>
      </c>
      <c r="T2358" s="381"/>
    </row>
    <row r="2359" spans="2:26" ht="31.5" customHeight="1" x14ac:dyDescent="0.45">
      <c r="B2359" s="441"/>
      <c r="C2359" s="417"/>
      <c r="D2359" s="400" t="str">
        <f>TrialBalanceA!C29</f>
        <v>Government grants received</v>
      </c>
      <c r="J2359" s="292"/>
      <c r="K2359" s="292"/>
      <c r="L2359" s="292"/>
      <c r="M2359" s="354">
        <f>-TrialBalanceA!I29</f>
        <v>0</v>
      </c>
      <c r="N2359" s="298"/>
      <c r="O2359" s="367">
        <f>-TrialBalanceA!K29</f>
        <v>0</v>
      </c>
      <c r="P2359" s="295"/>
      <c r="Q2359" s="442"/>
      <c r="R2359" s="403" t="str">
        <f t="shared" si="162"/>
        <v>DELETE</v>
      </c>
      <c r="T2359" s="381"/>
    </row>
    <row r="2360" spans="2:26" ht="31.5" customHeight="1" x14ac:dyDescent="0.45">
      <c r="B2360" s="441"/>
      <c r="C2360" s="417"/>
      <c r="D2360" s="400">
        <f>TrialBalanceA!C30</f>
        <v>0</v>
      </c>
      <c r="J2360" s="292"/>
      <c r="K2360" s="292"/>
      <c r="L2360" s="292"/>
      <c r="M2360" s="354">
        <f>-TrialBalanceA!I30</f>
        <v>0</v>
      </c>
      <c r="N2360" s="298"/>
      <c r="O2360" s="367">
        <f>-TrialBalanceA!K30</f>
        <v>0</v>
      </c>
      <c r="P2360" s="295"/>
      <c r="Q2360" s="442"/>
      <c r="R2360" s="403" t="str">
        <f t="shared" si="162"/>
        <v>DELETE</v>
      </c>
      <c r="T2360" s="381"/>
    </row>
    <row r="2361" spans="2:26" ht="31.5" customHeight="1" x14ac:dyDescent="0.45">
      <c r="B2361" s="441"/>
      <c r="C2361" s="417"/>
      <c r="D2361" s="400">
        <f>TrialBalanceA!C31</f>
        <v>0</v>
      </c>
      <c r="J2361" s="292"/>
      <c r="K2361" s="292"/>
      <c r="L2361" s="292"/>
      <c r="M2361" s="354">
        <f>-TrialBalanceA!I31</f>
        <v>0</v>
      </c>
      <c r="N2361" s="298"/>
      <c r="O2361" s="367">
        <f>-TrialBalanceA!K31</f>
        <v>0</v>
      </c>
      <c r="P2361" s="295"/>
      <c r="Q2361" s="442"/>
      <c r="R2361" s="403" t="str">
        <f t="shared" si="162"/>
        <v>DELETE</v>
      </c>
      <c r="T2361" s="381"/>
    </row>
    <row r="2362" spans="2:26" ht="31.5" customHeight="1" x14ac:dyDescent="0.45">
      <c r="B2362" s="441"/>
      <c r="C2362" s="417"/>
      <c r="D2362" s="400">
        <f>TrialBalanceA!C32</f>
        <v>0</v>
      </c>
      <c r="J2362" s="292"/>
      <c r="K2362" s="292"/>
      <c r="L2362" s="292"/>
      <c r="M2362" s="354">
        <f>-TrialBalanceA!I32</f>
        <v>0</v>
      </c>
      <c r="N2362" s="298"/>
      <c r="O2362" s="367">
        <f>-TrialBalanceA!K32</f>
        <v>0</v>
      </c>
      <c r="P2362" s="295"/>
      <c r="Q2362" s="442"/>
      <c r="R2362" s="403" t="str">
        <f t="shared" si="162"/>
        <v>DELETE</v>
      </c>
      <c r="T2362" s="381"/>
    </row>
    <row r="2363" spans="2:26" ht="31.5" customHeight="1" x14ac:dyDescent="0.45">
      <c r="B2363" s="441"/>
      <c r="C2363" s="417"/>
      <c r="D2363" s="400" t="str">
        <f>TrialBalanceA!C33</f>
        <v>Recoupment of depreciation</v>
      </c>
      <c r="J2363" s="292"/>
      <c r="K2363" s="292"/>
      <c r="L2363" s="292"/>
      <c r="M2363" s="354">
        <f>-TrialBalanceA!I33</f>
        <v>0</v>
      </c>
      <c r="N2363" s="298"/>
      <c r="O2363" s="367">
        <f>-TrialBalanceA!K33</f>
        <v>0</v>
      </c>
      <c r="P2363" s="295"/>
      <c r="Q2363" s="442"/>
      <c r="R2363" s="403" t="str">
        <f t="shared" ref="R2363" si="163">IF(R$2323="DELETE","DELETE",IF(M2363+O2363=0,"DELETE"," "))</f>
        <v>DELETE</v>
      </c>
      <c r="T2363" s="381"/>
    </row>
    <row r="2364" spans="2:26" ht="9" customHeight="1" x14ac:dyDescent="0.45">
      <c r="B2364" s="441"/>
      <c r="C2364" s="417"/>
      <c r="J2364" s="292"/>
      <c r="K2364" s="292"/>
      <c r="L2364" s="292"/>
      <c r="M2364" s="355"/>
      <c r="N2364" s="300"/>
      <c r="O2364" s="368"/>
      <c r="P2364" s="295"/>
      <c r="Q2364" s="442"/>
      <c r="R2364" s="403" t="str">
        <f>R2355</f>
        <v>DELETE</v>
      </c>
      <c r="T2364" s="381"/>
    </row>
    <row r="2365" spans="2:26" ht="9" customHeight="1" x14ac:dyDescent="0.45">
      <c r="B2365" s="441"/>
      <c r="C2365" s="417"/>
      <c r="J2365" s="292"/>
      <c r="K2365" s="292"/>
      <c r="L2365" s="292"/>
      <c r="M2365" s="364"/>
      <c r="N2365" s="321"/>
      <c r="O2365" s="364"/>
      <c r="P2365" s="295"/>
      <c r="Q2365" s="442"/>
      <c r="R2365" s="403" t="str">
        <f>R2364</f>
        <v>DELETE</v>
      </c>
      <c r="T2365" s="381"/>
    </row>
    <row r="2366" spans="2:26" ht="9" customHeight="1" x14ac:dyDescent="0.45">
      <c r="B2366" s="441"/>
      <c r="C2366" s="417"/>
      <c r="J2366" s="292"/>
      <c r="K2366" s="292"/>
      <c r="L2366" s="292"/>
      <c r="M2366" s="347"/>
      <c r="N2366" s="298"/>
      <c r="O2366" s="347"/>
      <c r="P2366" s="295"/>
      <c r="Q2366" s="442"/>
      <c r="R2366" s="403" t="str">
        <f>R2365</f>
        <v>DELETE</v>
      </c>
      <c r="T2366" s="381"/>
    </row>
    <row r="2367" spans="2:26" ht="31.5" customHeight="1" x14ac:dyDescent="0.45">
      <c r="B2367" s="441"/>
      <c r="C2367" s="417"/>
      <c r="J2367" s="292"/>
      <c r="K2367" s="292"/>
      <c r="L2367" s="292"/>
      <c r="M2367" s="347">
        <f>SUM(S2335:S2355)</f>
        <v>0</v>
      </c>
      <c r="N2367" s="298"/>
      <c r="O2367" s="347">
        <f>SUM(U2335:U2355)</f>
        <v>0</v>
      </c>
      <c r="P2367" s="295"/>
      <c r="Q2367" s="442"/>
      <c r="R2367" s="403" t="str">
        <f>R2355</f>
        <v>DELETE</v>
      </c>
      <c r="T2367" s="381"/>
    </row>
    <row r="2368" spans="2:26" ht="31.5" customHeight="1" x14ac:dyDescent="0.45">
      <c r="B2368" s="441"/>
      <c r="C2368" s="417"/>
      <c r="J2368" s="292"/>
      <c r="K2368" s="292"/>
      <c r="L2368" s="292"/>
      <c r="M2368" s="347"/>
      <c r="N2368" s="298"/>
      <c r="O2368" s="347"/>
      <c r="P2368" s="295"/>
      <c r="Q2368" s="442"/>
      <c r="R2368" s="403" t="str">
        <f>R2367</f>
        <v>DELETE</v>
      </c>
      <c r="T2368" s="381"/>
    </row>
    <row r="2369" spans="2:24" ht="31.5" customHeight="1" x14ac:dyDescent="0.45">
      <c r="B2369" s="441"/>
      <c r="C2369" s="417" t="s">
        <v>996</v>
      </c>
      <c r="J2369" s="292"/>
      <c r="K2369" s="292"/>
      <c r="L2369" s="292"/>
      <c r="M2369" s="347">
        <f>SUM(M2371:M2399)</f>
        <v>0</v>
      </c>
      <c r="N2369" s="298"/>
      <c r="O2369" s="347">
        <f>SUM(O2371:O2399)</f>
        <v>0</v>
      </c>
      <c r="P2369" s="295"/>
      <c r="Q2369" s="442"/>
      <c r="R2369" s="403" t="str">
        <f t="shared" ref="R2369" si="164">IF(R$2323="DELETE","DELETE",IF(M2369+O2369=0,"DELETE"," "))</f>
        <v>DELETE</v>
      </c>
      <c r="S2369" s="380">
        <f>-M2369</f>
        <v>0</v>
      </c>
      <c r="T2369" s="381"/>
      <c r="U2369" s="380">
        <f>-O2369</f>
        <v>0</v>
      </c>
      <c r="V2369" s="380"/>
      <c r="W2369" s="380"/>
      <c r="X2369" s="380"/>
    </row>
    <row r="2370" spans="2:24" ht="9" customHeight="1" x14ac:dyDescent="0.45">
      <c r="B2370" s="441"/>
      <c r="C2370" s="417"/>
      <c r="J2370" s="292"/>
      <c r="K2370" s="292"/>
      <c r="L2370" s="292"/>
      <c r="M2370" s="347"/>
      <c r="N2370" s="298"/>
      <c r="O2370" s="347"/>
      <c r="P2370" s="295"/>
      <c r="Q2370" s="442"/>
      <c r="R2370" s="403" t="str">
        <f>R2369</f>
        <v>DELETE</v>
      </c>
      <c r="T2370" s="381"/>
    </row>
    <row r="2371" spans="2:24" ht="9" customHeight="1" x14ac:dyDescent="0.45">
      <c r="B2371" s="441"/>
      <c r="C2371" s="417"/>
      <c r="J2371" s="292"/>
      <c r="K2371" s="292"/>
      <c r="L2371" s="292"/>
      <c r="M2371" s="353"/>
      <c r="N2371" s="299"/>
      <c r="O2371" s="366"/>
      <c r="P2371" s="295"/>
      <c r="Q2371" s="442"/>
      <c r="R2371" s="403" t="str">
        <f>R2370</f>
        <v>DELETE</v>
      </c>
      <c r="T2371" s="381"/>
    </row>
    <row r="2372" spans="2:24" ht="31.5" customHeight="1" x14ac:dyDescent="0.45">
      <c r="B2372" s="441"/>
      <c r="C2372" s="417"/>
      <c r="D2372" s="400" t="s">
        <v>275</v>
      </c>
      <c r="J2372" s="292"/>
      <c r="K2372" s="292"/>
      <c r="L2372" s="292"/>
      <c r="M2372" s="354">
        <f>TrialBalanceA!I40</f>
        <v>0</v>
      </c>
      <c r="N2372" s="298"/>
      <c r="O2372" s="367">
        <f>TrialBalanceA!K40</f>
        <v>0</v>
      </c>
      <c r="P2372" s="295"/>
      <c r="Q2372" s="442"/>
      <c r="R2372" s="403" t="str">
        <f t="shared" ref="R2372:R2398" si="165">IF(R$2323="DELETE","DELETE",IF(M2372+O2372=0,"DELETE"," "))</f>
        <v>DELETE</v>
      </c>
      <c r="T2372" s="381"/>
    </row>
    <row r="2373" spans="2:24" ht="31.5" customHeight="1" x14ac:dyDescent="0.45">
      <c r="B2373" s="441"/>
      <c r="C2373" s="417"/>
      <c r="D2373" s="400" t="s">
        <v>702</v>
      </c>
      <c r="J2373" s="292"/>
      <c r="K2373" s="292"/>
      <c r="L2373" s="292"/>
      <c r="M2373" s="354">
        <f>TrialBalanceA!I41</f>
        <v>0</v>
      </c>
      <c r="N2373" s="298"/>
      <c r="O2373" s="367">
        <f>TrialBalanceA!K41</f>
        <v>0</v>
      </c>
      <c r="P2373" s="295"/>
      <c r="Q2373" s="442"/>
      <c r="R2373" s="403" t="str">
        <f t="shared" si="165"/>
        <v>DELETE</v>
      </c>
      <c r="T2373" s="381"/>
    </row>
    <row r="2374" spans="2:24" ht="31.5" customHeight="1" x14ac:dyDescent="0.45">
      <c r="B2374" s="441"/>
      <c r="C2374" s="417"/>
      <c r="D2374" s="400" t="s">
        <v>276</v>
      </c>
      <c r="J2374" s="292"/>
      <c r="K2374" s="292"/>
      <c r="L2374" s="292"/>
      <c r="M2374" s="354">
        <f>TrialBalanceA!I42</f>
        <v>0</v>
      </c>
      <c r="N2374" s="298"/>
      <c r="O2374" s="367">
        <f>TrialBalanceA!K42</f>
        <v>0</v>
      </c>
      <c r="P2374" s="295"/>
      <c r="Q2374" s="442"/>
      <c r="R2374" s="403" t="str">
        <f t="shared" si="165"/>
        <v>DELETE</v>
      </c>
      <c r="T2374" s="381"/>
    </row>
    <row r="2375" spans="2:24" ht="31.5" customHeight="1" x14ac:dyDescent="0.45">
      <c r="B2375" s="441"/>
      <c r="C2375" s="417"/>
      <c r="D2375" s="400" t="s">
        <v>277</v>
      </c>
      <c r="J2375" s="292"/>
      <c r="K2375" s="292">
        <f>C$940</f>
        <v>5.2999999999999989</v>
      </c>
      <c r="L2375" s="292"/>
      <c r="M2375" s="354">
        <f>SUM(TrialBalanceA!I44:I46)</f>
        <v>0</v>
      </c>
      <c r="N2375" s="298"/>
      <c r="O2375" s="367">
        <f>SUM(TrialBalanceA!K44:K46)</f>
        <v>0</v>
      </c>
      <c r="P2375" s="295"/>
      <c r="Q2375" s="442"/>
      <c r="R2375" s="403" t="str">
        <f t="shared" si="165"/>
        <v>DELETE</v>
      </c>
      <c r="T2375" s="381"/>
    </row>
    <row r="2376" spans="2:24" ht="31.5" customHeight="1" x14ac:dyDescent="0.45">
      <c r="B2376" s="441"/>
      <c r="C2376" s="417"/>
      <c r="D2376" s="400" t="s">
        <v>529</v>
      </c>
      <c r="J2376" s="292"/>
      <c r="K2376" s="292"/>
      <c r="L2376" s="292"/>
      <c r="M2376" s="354">
        <f>TrialBalanceA!I47</f>
        <v>0</v>
      </c>
      <c r="N2376" s="298"/>
      <c r="O2376" s="367">
        <f>TrialBalanceA!K47</f>
        <v>0</v>
      </c>
      <c r="P2376" s="295"/>
      <c r="Q2376" s="442"/>
      <c r="R2376" s="403" t="str">
        <f t="shared" si="165"/>
        <v>DELETE</v>
      </c>
      <c r="S2376" s="383"/>
      <c r="T2376" s="381"/>
      <c r="U2376" s="383"/>
      <c r="V2376" s="383"/>
      <c r="W2376" s="383"/>
      <c r="X2376" s="383"/>
    </row>
    <row r="2377" spans="2:24" ht="31.5" customHeight="1" x14ac:dyDescent="0.45">
      <c r="B2377" s="441"/>
      <c r="C2377" s="417"/>
      <c r="D2377" s="400" t="s">
        <v>725</v>
      </c>
      <c r="J2377" s="292"/>
      <c r="K2377" s="292"/>
      <c r="L2377" s="292"/>
      <c r="M2377" s="354">
        <f>TrialBalanceA!I48</f>
        <v>0</v>
      </c>
      <c r="N2377" s="298"/>
      <c r="O2377" s="367">
        <f>TrialBalanceA!K48</f>
        <v>0</v>
      </c>
      <c r="P2377" s="295"/>
      <c r="Q2377" s="442"/>
      <c r="R2377" s="403" t="str">
        <f t="shared" si="165"/>
        <v>DELETE</v>
      </c>
      <c r="T2377" s="381"/>
    </row>
    <row r="2378" spans="2:24" ht="31.5" customHeight="1" x14ac:dyDescent="0.45">
      <c r="B2378" s="441"/>
      <c r="C2378" s="417"/>
      <c r="D2378" s="400" t="s">
        <v>59</v>
      </c>
      <c r="J2378" s="292"/>
      <c r="K2378" s="292"/>
      <c r="L2378" s="292"/>
      <c r="M2378" s="354">
        <f>TrialBalanceA!I49</f>
        <v>0</v>
      </c>
      <c r="N2378" s="298"/>
      <c r="O2378" s="367">
        <f>TrialBalanceA!K49</f>
        <v>0</v>
      </c>
      <c r="P2378" s="295"/>
      <c r="Q2378" s="442"/>
      <c r="R2378" s="403" t="str">
        <f t="shared" si="165"/>
        <v>DELETE</v>
      </c>
      <c r="T2378" s="381"/>
    </row>
    <row r="2379" spans="2:24" ht="31.5" customHeight="1" x14ac:dyDescent="0.45">
      <c r="B2379" s="441"/>
      <c r="C2379" s="417"/>
      <c r="D2379" s="400" t="s">
        <v>278</v>
      </c>
      <c r="J2379" s="292"/>
      <c r="K2379" s="292"/>
      <c r="L2379" s="292"/>
      <c r="M2379" s="354">
        <f>TrialBalanceA!I50</f>
        <v>0</v>
      </c>
      <c r="N2379" s="298"/>
      <c r="O2379" s="367">
        <f>TrialBalanceA!K50</f>
        <v>0</v>
      </c>
      <c r="P2379" s="295"/>
      <c r="Q2379" s="442"/>
      <c r="R2379" s="403" t="str">
        <f t="shared" si="165"/>
        <v>DELETE</v>
      </c>
      <c r="T2379" s="381"/>
    </row>
    <row r="2380" spans="2:24" ht="31.5" customHeight="1" x14ac:dyDescent="0.45">
      <c r="B2380" s="441"/>
      <c r="C2380" s="417"/>
      <c r="D2380" s="400" t="s">
        <v>546</v>
      </c>
      <c r="J2380" s="292"/>
      <c r="K2380" s="292"/>
      <c r="L2380" s="292"/>
      <c r="M2380" s="354">
        <f>SUM(TrialBalanceA!I51:I52)</f>
        <v>0</v>
      </c>
      <c r="N2380" s="298"/>
      <c r="O2380" s="367">
        <f>SUM(TrialBalanceA!K51:K52)</f>
        <v>0</v>
      </c>
      <c r="P2380" s="295"/>
      <c r="Q2380" s="442"/>
      <c r="R2380" s="403" t="str">
        <f t="shared" si="165"/>
        <v>DELETE</v>
      </c>
      <c r="T2380" s="381"/>
    </row>
    <row r="2381" spans="2:24" ht="31.5" customHeight="1" x14ac:dyDescent="0.45">
      <c r="B2381" s="441"/>
      <c r="C2381" s="417"/>
      <c r="D2381" s="400" t="s">
        <v>545</v>
      </c>
      <c r="J2381" s="292"/>
      <c r="K2381" s="292"/>
      <c r="L2381" s="292"/>
      <c r="M2381" s="354">
        <f>TrialBalanceA!I53</f>
        <v>0</v>
      </c>
      <c r="N2381" s="298"/>
      <c r="O2381" s="367">
        <f>TrialBalanceA!K53</f>
        <v>0</v>
      </c>
      <c r="P2381" s="295"/>
      <c r="Q2381" s="442"/>
      <c r="R2381" s="403" t="str">
        <f t="shared" si="165"/>
        <v>DELETE</v>
      </c>
      <c r="T2381" s="381"/>
    </row>
    <row r="2382" spans="2:24" ht="31.5" customHeight="1" x14ac:dyDescent="0.45">
      <c r="B2382" s="441"/>
      <c r="C2382" s="417"/>
      <c r="D2382" s="400" t="s">
        <v>530</v>
      </c>
      <c r="J2382" s="292"/>
      <c r="K2382" s="292"/>
      <c r="L2382" s="292"/>
      <c r="M2382" s="354">
        <f>SUM(TrialBalanceA!I55:I59)</f>
        <v>0</v>
      </c>
      <c r="N2382" s="298"/>
      <c r="O2382" s="367">
        <f>SUM(TrialBalanceA!K55:K59)</f>
        <v>0</v>
      </c>
      <c r="P2382" s="295"/>
      <c r="Q2382" s="442"/>
      <c r="R2382" s="403" t="str">
        <f t="shared" si="165"/>
        <v>DELETE</v>
      </c>
      <c r="T2382" s="381"/>
    </row>
    <row r="2383" spans="2:24" ht="31.5" customHeight="1" x14ac:dyDescent="0.45">
      <c r="B2383" s="441"/>
      <c r="C2383" s="417"/>
      <c r="D2383" s="400" t="s">
        <v>512</v>
      </c>
      <c r="J2383" s="292"/>
      <c r="K2383" s="292">
        <f>FS!C$908</f>
        <v>5.1999999999999993</v>
      </c>
      <c r="L2383" s="292"/>
      <c r="M2383" s="354">
        <f>SUM(TrialBalanceA!I61:I63)</f>
        <v>0</v>
      </c>
      <c r="N2383" s="298"/>
      <c r="O2383" s="367">
        <f>SUM(TrialBalanceA!K61:K63)</f>
        <v>0</v>
      </c>
      <c r="P2383" s="295"/>
      <c r="Q2383" s="442"/>
      <c r="R2383" s="403" t="str">
        <f t="shared" si="165"/>
        <v>DELETE</v>
      </c>
      <c r="T2383" s="381"/>
    </row>
    <row r="2384" spans="2:24" ht="31.5" customHeight="1" x14ac:dyDescent="0.45">
      <c r="B2384" s="441"/>
      <c r="C2384" s="417"/>
      <c r="D2384" s="400" t="s">
        <v>62</v>
      </c>
      <c r="J2384" s="292"/>
      <c r="K2384" s="292"/>
      <c r="L2384" s="292"/>
      <c r="M2384" s="354">
        <f>TrialBalanceA!I64</f>
        <v>0</v>
      </c>
      <c r="N2384" s="298"/>
      <c r="O2384" s="367">
        <f>TrialBalanceA!K64</f>
        <v>0</v>
      </c>
      <c r="P2384" s="295"/>
      <c r="Q2384" s="442"/>
      <c r="R2384" s="403" t="str">
        <f t="shared" si="165"/>
        <v>DELETE</v>
      </c>
      <c r="T2384" s="381"/>
    </row>
    <row r="2385" spans="2:20" ht="31.5" customHeight="1" x14ac:dyDescent="0.45">
      <c r="B2385" s="441"/>
      <c r="C2385" s="417"/>
      <c r="D2385" s="400" t="s">
        <v>253</v>
      </c>
      <c r="J2385" s="292"/>
      <c r="K2385" s="292"/>
      <c r="L2385" s="292"/>
      <c r="M2385" s="354">
        <f>SUM(TrialBalanceA!I65:I67)</f>
        <v>0</v>
      </c>
      <c r="N2385" s="298"/>
      <c r="O2385" s="367">
        <f>SUM(TrialBalanceA!K65:K67)</f>
        <v>0</v>
      </c>
      <c r="P2385" s="295"/>
      <c r="Q2385" s="442"/>
      <c r="R2385" s="403" t="str">
        <f t="shared" si="165"/>
        <v>DELETE</v>
      </c>
      <c r="T2385" s="381"/>
    </row>
    <row r="2386" spans="2:20" ht="31.5" customHeight="1" x14ac:dyDescent="0.45">
      <c r="B2386" s="441"/>
      <c r="C2386" s="417"/>
      <c r="D2386" s="400" t="s">
        <v>726</v>
      </c>
      <c r="J2386" s="292"/>
      <c r="K2386" s="292"/>
      <c r="L2386" s="292"/>
      <c r="M2386" s="354">
        <f>SUM(TrialBalanceA!I68:I69)</f>
        <v>0</v>
      </c>
      <c r="N2386" s="298"/>
      <c r="O2386" s="367">
        <f>SUM(TrialBalanceA!K68:K69)</f>
        <v>0</v>
      </c>
      <c r="P2386" s="295"/>
      <c r="Q2386" s="442"/>
      <c r="R2386" s="403" t="str">
        <f t="shared" si="165"/>
        <v>DELETE</v>
      </c>
      <c r="T2386" s="381"/>
    </row>
    <row r="2387" spans="2:20" ht="31.5" customHeight="1" x14ac:dyDescent="0.45">
      <c r="B2387" s="441"/>
      <c r="C2387" s="417"/>
      <c r="D2387" s="400" t="s">
        <v>254</v>
      </c>
      <c r="J2387" s="292"/>
      <c r="K2387" s="292"/>
      <c r="L2387" s="292"/>
      <c r="M2387" s="354">
        <f>TrialBalanceA!I70</f>
        <v>0</v>
      </c>
      <c r="N2387" s="298"/>
      <c r="O2387" s="367">
        <f>TrialBalanceA!K70</f>
        <v>0</v>
      </c>
      <c r="P2387" s="295"/>
      <c r="Q2387" s="442"/>
      <c r="R2387" s="403" t="str">
        <f t="shared" si="165"/>
        <v>DELETE</v>
      </c>
      <c r="T2387" s="381"/>
    </row>
    <row r="2388" spans="2:20" ht="31.5" customHeight="1" x14ac:dyDescent="0.45">
      <c r="B2388" s="441"/>
      <c r="C2388" s="417"/>
      <c r="D2388" s="400" t="s">
        <v>387</v>
      </c>
      <c r="J2388" s="292"/>
      <c r="K2388" s="292"/>
      <c r="L2388" s="292"/>
      <c r="M2388" s="354">
        <f>TrialBalanceA!I71</f>
        <v>0</v>
      </c>
      <c r="N2388" s="298"/>
      <c r="O2388" s="367">
        <f>TrialBalanceA!K71</f>
        <v>0</v>
      </c>
      <c r="P2388" s="295"/>
      <c r="Q2388" s="442"/>
      <c r="R2388" s="403" t="str">
        <f t="shared" si="165"/>
        <v>DELETE</v>
      </c>
      <c r="T2388" s="381"/>
    </row>
    <row r="2389" spans="2:20" ht="31.5" customHeight="1" x14ac:dyDescent="0.45">
      <c r="B2389" s="441"/>
      <c r="C2389" s="417"/>
      <c r="D2389" s="400">
        <f>TrialBalanceA!C72</f>
        <v>0</v>
      </c>
      <c r="J2389" s="292"/>
      <c r="K2389" s="292"/>
      <c r="L2389" s="292"/>
      <c r="M2389" s="354">
        <f>TrialBalanceA!I72</f>
        <v>0</v>
      </c>
      <c r="N2389" s="298"/>
      <c r="O2389" s="367">
        <f>TrialBalanceA!K72</f>
        <v>0</v>
      </c>
      <c r="P2389" s="295"/>
      <c r="Q2389" s="442"/>
      <c r="R2389" s="403" t="str">
        <f t="shared" si="165"/>
        <v>DELETE</v>
      </c>
      <c r="T2389" s="381"/>
    </row>
    <row r="2390" spans="2:20" ht="31.5" customHeight="1" x14ac:dyDescent="0.45">
      <c r="B2390" s="441"/>
      <c r="C2390" s="417"/>
      <c r="D2390" s="400">
        <f>TrialBalanceA!C73</f>
        <v>0</v>
      </c>
      <c r="J2390" s="292"/>
      <c r="K2390" s="292"/>
      <c r="L2390" s="292"/>
      <c r="M2390" s="354">
        <f>TrialBalanceA!I73</f>
        <v>0</v>
      </c>
      <c r="N2390" s="298"/>
      <c r="O2390" s="367">
        <f>TrialBalanceA!K73</f>
        <v>0</v>
      </c>
      <c r="P2390" s="295"/>
      <c r="Q2390" s="442"/>
      <c r="R2390" s="403" t="str">
        <f t="shared" si="165"/>
        <v>DELETE</v>
      </c>
      <c r="T2390" s="381"/>
    </row>
    <row r="2391" spans="2:20" ht="31.5" customHeight="1" x14ac:dyDescent="0.45">
      <c r="B2391" s="441"/>
      <c r="C2391" s="417"/>
      <c r="D2391" s="400">
        <f>TrialBalanceA!C74</f>
        <v>0</v>
      </c>
      <c r="J2391" s="292"/>
      <c r="K2391" s="292"/>
      <c r="L2391" s="292"/>
      <c r="M2391" s="354">
        <f>TrialBalanceA!I74</f>
        <v>0</v>
      </c>
      <c r="N2391" s="298"/>
      <c r="O2391" s="367">
        <f>TrialBalanceA!K74</f>
        <v>0</v>
      </c>
      <c r="P2391" s="295"/>
      <c r="Q2391" s="442"/>
      <c r="R2391" s="403" t="str">
        <f t="shared" si="165"/>
        <v>DELETE</v>
      </c>
      <c r="T2391" s="381"/>
    </row>
    <row r="2392" spans="2:20" ht="31.5" customHeight="1" x14ac:dyDescent="0.45">
      <c r="B2392" s="441"/>
      <c r="C2392" s="417"/>
      <c r="D2392" s="400">
        <f>TrialBalanceA!C75</f>
        <v>0</v>
      </c>
      <c r="J2392" s="292"/>
      <c r="K2392" s="292"/>
      <c r="L2392" s="292"/>
      <c r="M2392" s="354">
        <f>TrialBalanceA!I75</f>
        <v>0</v>
      </c>
      <c r="N2392" s="298"/>
      <c r="O2392" s="367">
        <f>TrialBalanceA!K75</f>
        <v>0</v>
      </c>
      <c r="P2392" s="295"/>
      <c r="Q2392" s="442"/>
      <c r="R2392" s="403" t="str">
        <f t="shared" si="165"/>
        <v>DELETE</v>
      </c>
      <c r="T2392" s="381"/>
    </row>
    <row r="2393" spans="2:20" ht="31.5" customHeight="1" x14ac:dyDescent="0.45">
      <c r="B2393" s="441"/>
      <c r="C2393" s="417"/>
      <c r="D2393" s="400">
        <f>TrialBalanceA!C76</f>
        <v>0</v>
      </c>
      <c r="J2393" s="292"/>
      <c r="K2393" s="292"/>
      <c r="L2393" s="292"/>
      <c r="M2393" s="354">
        <f>TrialBalanceA!I76</f>
        <v>0</v>
      </c>
      <c r="N2393" s="298"/>
      <c r="O2393" s="367">
        <f>TrialBalanceA!K76</f>
        <v>0</v>
      </c>
      <c r="P2393" s="295"/>
      <c r="Q2393" s="442"/>
      <c r="R2393" s="403" t="str">
        <f t="shared" si="165"/>
        <v>DELETE</v>
      </c>
      <c r="T2393" s="381"/>
    </row>
    <row r="2394" spans="2:20" ht="31.5" customHeight="1" x14ac:dyDescent="0.45">
      <c r="B2394" s="441"/>
      <c r="C2394" s="417"/>
      <c r="D2394" s="400">
        <f>TrialBalanceA!C77</f>
        <v>0</v>
      </c>
      <c r="J2394" s="292"/>
      <c r="K2394" s="292"/>
      <c r="L2394" s="292"/>
      <c r="M2394" s="354">
        <f>TrialBalanceA!I77</f>
        <v>0</v>
      </c>
      <c r="N2394" s="298"/>
      <c r="O2394" s="367">
        <f>TrialBalanceA!K77</f>
        <v>0</v>
      </c>
      <c r="P2394" s="295"/>
      <c r="Q2394" s="442"/>
      <c r="R2394" s="403" t="str">
        <f t="shared" si="165"/>
        <v>DELETE</v>
      </c>
      <c r="T2394" s="381"/>
    </row>
    <row r="2395" spans="2:20" ht="31.5" customHeight="1" x14ac:dyDescent="0.45">
      <c r="B2395" s="441"/>
      <c r="C2395" s="417"/>
      <c r="D2395" s="400">
        <f>TrialBalanceA!C78</f>
        <v>0</v>
      </c>
      <c r="J2395" s="292"/>
      <c r="K2395" s="292"/>
      <c r="L2395" s="292"/>
      <c r="M2395" s="354">
        <f>TrialBalanceA!I78</f>
        <v>0</v>
      </c>
      <c r="N2395" s="298"/>
      <c r="O2395" s="367">
        <f>TrialBalanceA!K78</f>
        <v>0</v>
      </c>
      <c r="P2395" s="295"/>
      <c r="Q2395" s="442"/>
      <c r="R2395" s="403" t="str">
        <f t="shared" si="165"/>
        <v>DELETE</v>
      </c>
      <c r="T2395" s="381"/>
    </row>
    <row r="2396" spans="2:20" ht="31.5" customHeight="1" x14ac:dyDescent="0.45">
      <c r="B2396" s="441"/>
      <c r="C2396" s="417"/>
      <c r="D2396" s="400">
        <f>TrialBalanceA!C79</f>
        <v>0</v>
      </c>
      <c r="J2396" s="292"/>
      <c r="K2396" s="292"/>
      <c r="L2396" s="292"/>
      <c r="M2396" s="354">
        <f>TrialBalanceA!I79</f>
        <v>0</v>
      </c>
      <c r="N2396" s="298"/>
      <c r="O2396" s="367">
        <f>TrialBalanceA!K79</f>
        <v>0</v>
      </c>
      <c r="P2396" s="295"/>
      <c r="Q2396" s="442"/>
      <c r="R2396" s="403" t="str">
        <f t="shared" si="165"/>
        <v>DELETE</v>
      </c>
      <c r="T2396" s="381"/>
    </row>
    <row r="2397" spans="2:20" ht="31.5" customHeight="1" x14ac:dyDescent="0.45">
      <c r="B2397" s="441"/>
      <c r="C2397" s="417"/>
      <c r="D2397" s="400">
        <f>TrialBalanceA!C80</f>
        <v>0</v>
      </c>
      <c r="J2397" s="292"/>
      <c r="K2397" s="292"/>
      <c r="L2397" s="292"/>
      <c r="M2397" s="354">
        <f>TrialBalanceA!I80</f>
        <v>0</v>
      </c>
      <c r="N2397" s="298"/>
      <c r="O2397" s="367">
        <f>TrialBalanceA!K80</f>
        <v>0</v>
      </c>
      <c r="P2397" s="295"/>
      <c r="Q2397" s="442"/>
      <c r="R2397" s="403" t="str">
        <f t="shared" si="165"/>
        <v>DELETE</v>
      </c>
      <c r="T2397" s="381"/>
    </row>
    <row r="2398" spans="2:20" ht="31.5" customHeight="1" x14ac:dyDescent="0.45">
      <c r="B2398" s="441"/>
      <c r="C2398" s="417"/>
      <c r="D2398" s="400">
        <f>TrialBalanceA!C81</f>
        <v>0</v>
      </c>
      <c r="J2398" s="292"/>
      <c r="K2398" s="292"/>
      <c r="L2398" s="292"/>
      <c r="M2398" s="354">
        <f>TrialBalanceA!I81</f>
        <v>0</v>
      </c>
      <c r="N2398" s="298"/>
      <c r="O2398" s="367">
        <f>TrialBalanceA!K81</f>
        <v>0</v>
      </c>
      <c r="P2398" s="295"/>
      <c r="Q2398" s="442"/>
      <c r="R2398" s="403" t="str">
        <f t="shared" si="165"/>
        <v>DELETE</v>
      </c>
      <c r="T2398" s="381"/>
    </row>
    <row r="2399" spans="2:20" ht="9" customHeight="1" x14ac:dyDescent="0.45">
      <c r="B2399" s="441"/>
      <c r="C2399" s="417"/>
      <c r="J2399" s="292"/>
      <c r="K2399" s="292"/>
      <c r="L2399" s="292"/>
      <c r="M2399" s="355"/>
      <c r="N2399" s="300"/>
      <c r="O2399" s="368"/>
      <c r="P2399" s="295"/>
      <c r="Q2399" s="442"/>
      <c r="R2399" s="403" t="str">
        <f>R2369</f>
        <v>DELETE</v>
      </c>
      <c r="T2399" s="381"/>
    </row>
    <row r="2400" spans="2:20" ht="9" customHeight="1" x14ac:dyDescent="0.45">
      <c r="B2400" s="441"/>
      <c r="C2400" s="417"/>
      <c r="J2400" s="292"/>
      <c r="K2400" s="292"/>
      <c r="L2400" s="292"/>
      <c r="M2400" s="349"/>
      <c r="N2400" s="300"/>
      <c r="O2400" s="349"/>
      <c r="P2400" s="295"/>
      <c r="Q2400" s="442"/>
      <c r="R2400" s="403" t="str">
        <f t="shared" ref="R2400:R2420" si="166">R$2323</f>
        <v>DELETE</v>
      </c>
      <c r="T2400" s="381"/>
    </row>
    <row r="2401" spans="2:26" ht="9" customHeight="1" x14ac:dyDescent="0.45">
      <c r="B2401" s="441"/>
      <c r="C2401" s="417"/>
      <c r="J2401" s="292"/>
      <c r="K2401" s="292"/>
      <c r="L2401" s="292"/>
      <c r="M2401" s="347"/>
      <c r="N2401" s="298"/>
      <c r="O2401" s="347"/>
      <c r="P2401" s="295"/>
      <c r="Q2401" s="442"/>
      <c r="R2401" s="403" t="str">
        <f t="shared" si="166"/>
        <v>DELETE</v>
      </c>
      <c r="T2401" s="381"/>
    </row>
    <row r="2402" spans="2:26" ht="31.5" customHeight="1" x14ac:dyDescent="0.45">
      <c r="B2402" s="441"/>
      <c r="C2402" s="315" t="str">
        <f>IF((Y2402+Z2402)=3,"OPERATING PROFIT/(LOSS)",(IF((Y2402+Z2402=4),"OPERATING PROFIT","OPERATING LOSS")))</f>
        <v>OPERATING PROFIT</v>
      </c>
      <c r="J2402" s="292"/>
      <c r="K2402" s="292"/>
      <c r="L2402" s="292"/>
      <c r="M2402" s="347">
        <f>SUM(S2335:S2400)</f>
        <v>0</v>
      </c>
      <c r="N2402" s="298"/>
      <c r="O2402" s="347">
        <f>SUM(U2335:U2400)</f>
        <v>0</v>
      </c>
      <c r="P2402" s="295"/>
      <c r="Q2402" s="442"/>
      <c r="R2402" s="403" t="str">
        <f t="shared" si="166"/>
        <v>DELETE</v>
      </c>
      <c r="T2402" s="381"/>
      <c r="Y2402" s="378">
        <f>IF(M2402&lt;0,1,IF(M2402=0,IF(O2402&lt;0,1,2),2))</f>
        <v>2</v>
      </c>
      <c r="Z2402" s="378">
        <f>IF(O2402&lt;0,1,IF(O2402=0,IF(M2402&lt;0,1,2),2))</f>
        <v>2</v>
      </c>
    </row>
    <row r="2403" spans="2:26" ht="31.5" customHeight="1" x14ac:dyDescent="0.45">
      <c r="B2403" s="441"/>
      <c r="C2403" s="417"/>
      <c r="D2403" s="400" t="s">
        <v>256</v>
      </c>
      <c r="J2403" s="292"/>
      <c r="K2403" s="292"/>
      <c r="L2403" s="292"/>
      <c r="M2403" s="347"/>
      <c r="N2403" s="298"/>
      <c r="O2403" s="347"/>
      <c r="P2403" s="295"/>
      <c r="Q2403" s="442"/>
      <c r="R2403" s="403" t="str">
        <f t="shared" si="166"/>
        <v>DELETE</v>
      </c>
      <c r="T2403" s="381"/>
    </row>
    <row r="2404" spans="2:26" ht="31.5" customHeight="1" x14ac:dyDescent="0.45">
      <c r="B2404" s="441"/>
      <c r="C2404" s="417"/>
      <c r="J2404" s="292"/>
      <c r="K2404" s="292"/>
      <c r="L2404" s="292"/>
      <c r="M2404" s="347"/>
      <c r="N2404" s="298"/>
      <c r="O2404" s="347"/>
      <c r="P2404" s="295"/>
      <c r="Q2404" s="442"/>
      <c r="R2404" s="403" t="str">
        <f t="shared" si="166"/>
        <v>DELETE</v>
      </c>
      <c r="T2404" s="381"/>
    </row>
    <row r="2405" spans="2:26" ht="31.5" customHeight="1" x14ac:dyDescent="0.45">
      <c r="B2405" s="441"/>
      <c r="C2405" s="417"/>
      <c r="J2405" s="292"/>
      <c r="K2405" s="292"/>
      <c r="L2405" s="292"/>
      <c r="M2405" s="347"/>
      <c r="N2405" s="298"/>
      <c r="O2405" s="347"/>
      <c r="P2405" s="295"/>
      <c r="Q2405" s="442"/>
      <c r="R2405" s="403" t="str">
        <f t="shared" si="166"/>
        <v>DELETE</v>
      </c>
      <c r="T2405" s="381"/>
    </row>
    <row r="2406" spans="2:26" ht="31.5" customHeight="1" x14ac:dyDescent="0.45">
      <c r="B2406" s="445"/>
      <c r="C2406" s="465"/>
      <c r="D2406" s="429"/>
      <c r="E2406" s="429"/>
      <c r="F2406" s="429"/>
      <c r="G2406" s="429"/>
      <c r="H2406" s="429"/>
      <c r="I2406" s="429"/>
      <c r="J2406" s="306"/>
      <c r="K2406" s="306"/>
      <c r="L2406" s="306"/>
      <c r="M2406" s="349"/>
      <c r="N2406" s="300"/>
      <c r="O2406" s="349"/>
      <c r="P2406" s="307"/>
      <c r="Q2406" s="446"/>
      <c r="R2406" s="403" t="str">
        <f t="shared" si="166"/>
        <v>DELETE</v>
      </c>
      <c r="T2406" s="381"/>
    </row>
    <row r="2407" spans="2:26" ht="31.5" customHeight="1" x14ac:dyDescent="0.45">
      <c r="C2407" s="417"/>
      <c r="J2407" s="292"/>
      <c r="K2407" s="292"/>
      <c r="L2407" s="292"/>
      <c r="M2407" s="347"/>
      <c r="N2407" s="298"/>
      <c r="O2407" s="347"/>
      <c r="P2407" s="295"/>
      <c r="R2407" s="403" t="str">
        <f t="shared" si="166"/>
        <v>DELETE</v>
      </c>
      <c r="T2407" s="381"/>
    </row>
    <row r="2408" spans="2:26" ht="31.5" customHeight="1" x14ac:dyDescent="0.45">
      <c r="C2408" s="417"/>
      <c r="J2408" s="292"/>
      <c r="K2408" s="292"/>
      <c r="L2408" s="292"/>
      <c r="M2408" s="347"/>
      <c r="N2408" s="298"/>
      <c r="O2408" s="347"/>
      <c r="P2408" s="295"/>
      <c r="R2408" s="403" t="str">
        <f t="shared" si="166"/>
        <v>DELETE</v>
      </c>
      <c r="T2408" s="381"/>
    </row>
    <row r="2409" spans="2:26" ht="31.5" customHeight="1" x14ac:dyDescent="0.45">
      <c r="C2409" s="417"/>
      <c r="D2409" s="417" t="str">
        <f>Criteria!E14</f>
        <v>SUBSIDIARY ONE 111 (PTY) LTD</v>
      </c>
      <c r="J2409" s="292"/>
      <c r="K2409" s="292"/>
      <c r="L2409" s="292"/>
      <c r="M2409" s="347"/>
      <c r="N2409" s="298"/>
      <c r="O2409" s="347" t="s">
        <v>96</v>
      </c>
      <c r="P2409" s="295"/>
      <c r="Q2409" s="292">
        <f>MAX($Q$2326:Q2408)+1</f>
        <v>2</v>
      </c>
      <c r="R2409" s="403" t="str">
        <f t="shared" si="166"/>
        <v>DELETE</v>
      </c>
      <c r="T2409" s="381"/>
    </row>
    <row r="2410" spans="2:26" ht="31.5" customHeight="1" x14ac:dyDescent="0.45">
      <c r="C2410" s="417"/>
      <c r="D2410" s="405"/>
      <c r="J2410" s="292"/>
      <c r="K2410" s="292"/>
      <c r="L2410" s="292"/>
      <c r="M2410" s="347"/>
      <c r="N2410" s="298"/>
      <c r="O2410" s="347"/>
      <c r="P2410" s="295"/>
      <c r="R2410" s="403" t="str">
        <f t="shared" si="166"/>
        <v>DELETE</v>
      </c>
      <c r="T2410" s="381"/>
    </row>
    <row r="2411" spans="2:26" ht="31.5" customHeight="1" x14ac:dyDescent="0.45">
      <c r="C2411" s="417"/>
      <c r="J2411" s="292"/>
      <c r="K2411" s="292"/>
      <c r="L2411" s="292"/>
      <c r="M2411" s="347"/>
      <c r="N2411" s="298"/>
      <c r="O2411" s="347"/>
      <c r="P2411" s="295"/>
      <c r="R2411" s="403" t="str">
        <f t="shared" si="166"/>
        <v>DELETE</v>
      </c>
      <c r="T2411" s="381"/>
    </row>
    <row r="2412" spans="2:26" ht="31.5" customHeight="1" x14ac:dyDescent="0.45">
      <c r="C2412" s="417"/>
      <c r="D2412" s="417" t="s">
        <v>91</v>
      </c>
      <c r="J2412" s="292"/>
      <c r="K2412" s="292"/>
      <c r="L2412" s="292"/>
      <c r="M2412" s="347"/>
      <c r="N2412" s="298"/>
      <c r="O2412" s="347"/>
      <c r="P2412" s="295"/>
      <c r="R2412" s="403" t="str">
        <f t="shared" si="166"/>
        <v>DELETE</v>
      </c>
      <c r="T2412" s="381"/>
    </row>
    <row r="2413" spans="2:26" ht="31.5" customHeight="1" x14ac:dyDescent="0.45">
      <c r="C2413" s="417"/>
      <c r="D2413" s="417" t="str">
        <f>D2330</f>
        <v>29 FEBRUARY 2024</v>
      </c>
      <c r="H2413" s="400" t="s">
        <v>102</v>
      </c>
      <c r="J2413" s="292"/>
      <c r="K2413" s="292"/>
      <c r="L2413" s="292"/>
      <c r="M2413" s="347"/>
      <c r="N2413" s="298"/>
      <c r="O2413" s="347"/>
      <c r="P2413" s="295"/>
      <c r="R2413" s="403" t="str">
        <f t="shared" si="166"/>
        <v>DELETE</v>
      </c>
      <c r="T2413" s="381"/>
    </row>
    <row r="2414" spans="2:26" ht="31.5" customHeight="1" x14ac:dyDescent="0.45">
      <c r="C2414" s="417"/>
      <c r="J2414" s="292"/>
      <c r="K2414" s="306"/>
      <c r="L2414" s="306"/>
      <c r="M2414" s="349"/>
      <c r="N2414" s="300"/>
      <c r="O2414" s="349"/>
      <c r="P2414" s="295"/>
      <c r="R2414" s="403" t="str">
        <f t="shared" si="166"/>
        <v>DELETE</v>
      </c>
      <c r="T2414" s="381"/>
    </row>
    <row r="2415" spans="2:26" ht="31.5" customHeight="1" x14ac:dyDescent="0.45">
      <c r="B2415" s="438"/>
      <c r="C2415" s="458"/>
      <c r="D2415" s="439"/>
      <c r="E2415" s="439"/>
      <c r="F2415" s="439"/>
      <c r="G2415" s="439"/>
      <c r="H2415" s="439"/>
      <c r="I2415" s="439"/>
      <c r="J2415" s="320"/>
      <c r="M2415" s="426"/>
      <c r="N2415" s="406"/>
      <c r="O2415" s="426"/>
      <c r="P2415" s="319"/>
      <c r="Q2415" s="440"/>
      <c r="R2415" s="403" t="str">
        <f t="shared" si="166"/>
        <v>DELETE</v>
      </c>
      <c r="T2415" s="381"/>
    </row>
    <row r="2416" spans="2:26" ht="31.5" customHeight="1" x14ac:dyDescent="0.45">
      <c r="B2416" s="441"/>
      <c r="C2416" s="417"/>
      <c r="J2416" s="292"/>
      <c r="K2416" s="292"/>
      <c r="L2416" s="292"/>
      <c r="M2416" s="344">
        <f>Criteria!E22</f>
        <v>2024</v>
      </c>
      <c r="N2416" s="294"/>
      <c r="O2416" s="344">
        <f>Criteria!E27</f>
        <v>2023</v>
      </c>
      <c r="P2416" s="295"/>
      <c r="Q2416" s="442"/>
      <c r="R2416" s="403" t="str">
        <f t="shared" si="166"/>
        <v>DELETE</v>
      </c>
      <c r="T2416" s="381"/>
    </row>
    <row r="2417" spans="2:26" ht="31.5" customHeight="1" x14ac:dyDescent="0.45">
      <c r="B2417" s="441"/>
      <c r="C2417" s="417"/>
      <c r="J2417" s="292"/>
      <c r="K2417" s="292"/>
      <c r="L2417" s="292"/>
      <c r="M2417" s="347"/>
      <c r="N2417" s="298"/>
      <c r="O2417" s="347"/>
      <c r="P2417" s="295"/>
      <c r="Q2417" s="442"/>
      <c r="R2417" s="403" t="str">
        <f t="shared" si="166"/>
        <v>DELETE</v>
      </c>
      <c r="T2417" s="381"/>
    </row>
    <row r="2418" spans="2:26" ht="31.5" customHeight="1" x14ac:dyDescent="0.45">
      <c r="B2418" s="441"/>
      <c r="C2418" s="315" t="str">
        <f>IF((Y2418+Z2418)=3,"OPERATING PROFIT/(LOSS)",(IF((Y2418+Z2418=4),"OPERATING PROFIT","OPERATING LOSS")))</f>
        <v>OPERATING PROFIT</v>
      </c>
      <c r="J2418" s="292"/>
      <c r="K2418" s="292"/>
      <c r="L2418" s="292"/>
      <c r="M2418" s="347">
        <f>SUM(S2335:S2399)</f>
        <v>0</v>
      </c>
      <c r="N2418" s="298"/>
      <c r="O2418" s="347">
        <f>SUM(U2335:U2399)</f>
        <v>0</v>
      </c>
      <c r="P2418" s="295"/>
      <c r="Q2418" s="442"/>
      <c r="R2418" s="403" t="str">
        <f t="shared" si="166"/>
        <v>DELETE</v>
      </c>
      <c r="T2418" s="381"/>
      <c r="V2418" s="378" t="b">
        <f>M2418=M2402</f>
        <v>1</v>
      </c>
      <c r="X2418" s="378" t="b">
        <f>O2418=O2402</f>
        <v>1</v>
      </c>
      <c r="Y2418" s="378">
        <f>IF(M2418&lt;0,1,IF(M2418=0,IF(O2418&lt;0,1,2),2))</f>
        <v>2</v>
      </c>
      <c r="Z2418" s="378">
        <f>IF(O2418&lt;0,1,IF(O2418=0,IF(M2418&lt;0,1,2),2))</f>
        <v>2</v>
      </c>
    </row>
    <row r="2419" spans="2:26" ht="31.5" customHeight="1" x14ac:dyDescent="0.45">
      <c r="B2419" s="441"/>
      <c r="C2419" s="417"/>
      <c r="D2419" s="400" t="s">
        <v>257</v>
      </c>
      <c r="J2419" s="292"/>
      <c r="K2419" s="292"/>
      <c r="L2419" s="292"/>
      <c r="M2419" s="347"/>
      <c r="N2419" s="298"/>
      <c r="O2419" s="347"/>
      <c r="P2419" s="295"/>
      <c r="Q2419" s="442"/>
      <c r="R2419" s="403" t="str">
        <f t="shared" si="166"/>
        <v>DELETE</v>
      </c>
      <c r="T2419" s="381"/>
    </row>
    <row r="2420" spans="2:26" ht="31.5" customHeight="1" x14ac:dyDescent="0.45">
      <c r="B2420" s="441"/>
      <c r="C2420" s="417"/>
      <c r="J2420" s="292"/>
      <c r="K2420" s="292"/>
      <c r="L2420" s="292"/>
      <c r="M2420" s="347"/>
      <c r="N2420" s="298"/>
      <c r="O2420" s="347"/>
      <c r="P2420" s="295"/>
      <c r="Q2420" s="442"/>
      <c r="R2420" s="403" t="str">
        <f t="shared" si="166"/>
        <v>DELETE</v>
      </c>
      <c r="T2420" s="381"/>
    </row>
    <row r="2421" spans="2:26" ht="31.5" customHeight="1" x14ac:dyDescent="0.45">
      <c r="B2421" s="441"/>
      <c r="C2421" s="417" t="s">
        <v>906</v>
      </c>
      <c r="J2421" s="292"/>
      <c r="K2421" s="292"/>
      <c r="L2421" s="292"/>
      <c r="M2421" s="347">
        <f>SUM(M2424:M2457)</f>
        <v>0</v>
      </c>
      <c r="N2421" s="298"/>
      <c r="O2421" s="347">
        <f>SUM(O2424:O2457)</f>
        <v>0</v>
      </c>
      <c r="P2421" s="295"/>
      <c r="Q2421" s="442"/>
      <c r="R2421" s="403" t="str">
        <f t="shared" ref="R2421" si="167">IF(R$2323="DELETE","DELETE",IF(M2421+O2421=0,"DELETE"," "))</f>
        <v>DELETE</v>
      </c>
      <c r="S2421" s="380">
        <f>-M2421</f>
        <v>0</v>
      </c>
      <c r="T2421" s="381"/>
      <c r="U2421" s="380">
        <f>-O2421</f>
        <v>0</v>
      </c>
      <c r="V2421" s="380"/>
      <c r="W2421" s="380"/>
      <c r="X2421" s="380"/>
    </row>
    <row r="2422" spans="2:26" ht="9" customHeight="1" x14ac:dyDescent="0.45">
      <c r="B2422" s="441"/>
      <c r="C2422" s="417"/>
      <c r="J2422" s="292"/>
      <c r="K2422" s="292"/>
      <c r="L2422" s="292"/>
      <c r="M2422" s="347"/>
      <c r="N2422" s="298"/>
      <c r="O2422" s="347"/>
      <c r="P2422" s="295"/>
      <c r="Q2422" s="442"/>
      <c r="R2422" s="403" t="str">
        <f>R2421</f>
        <v>DELETE</v>
      </c>
      <c r="T2422" s="381"/>
    </row>
    <row r="2423" spans="2:26" ht="9" customHeight="1" x14ac:dyDescent="0.45">
      <c r="B2423" s="441"/>
      <c r="C2423" s="417"/>
      <c r="J2423" s="292"/>
      <c r="K2423" s="292"/>
      <c r="L2423" s="292"/>
      <c r="M2423" s="353"/>
      <c r="N2423" s="299"/>
      <c r="O2423" s="366"/>
      <c r="P2423" s="295"/>
      <c r="Q2423" s="442"/>
      <c r="R2423" s="403" t="str">
        <f>R2422</f>
        <v>DELETE</v>
      </c>
      <c r="T2423" s="381"/>
    </row>
    <row r="2424" spans="2:26" ht="31.5" customHeight="1" x14ac:dyDescent="0.45">
      <c r="B2424" s="441"/>
      <c r="C2424" s="417"/>
      <c r="D2424" s="400" t="s">
        <v>215</v>
      </c>
      <c r="J2424" s="292"/>
      <c r="K2424" s="292"/>
      <c r="L2424" s="292"/>
      <c r="M2424" s="354">
        <f>SUM(TrialBalanceA!I98:I101)</f>
        <v>0</v>
      </c>
      <c r="N2424" s="298"/>
      <c r="O2424" s="367">
        <f>SUM(TrialBalanceA!K98:K101)</f>
        <v>0</v>
      </c>
      <c r="P2424" s="295"/>
      <c r="Q2424" s="442"/>
      <c r="R2424" s="403" t="str">
        <f t="shared" ref="R2424:R2455" si="168">IF(R$2323="DELETE","DELETE",IF(M2424+O2424=0,"DELETE"," "))</f>
        <v>DELETE</v>
      </c>
      <c r="T2424" s="381"/>
    </row>
    <row r="2425" spans="2:26" ht="31.5" customHeight="1" x14ac:dyDescent="0.45">
      <c r="B2425" s="441"/>
      <c r="C2425" s="417"/>
      <c r="D2425" s="400" t="s">
        <v>219</v>
      </c>
      <c r="J2425" s="292"/>
      <c r="K2425" s="292"/>
      <c r="L2425" s="292"/>
      <c r="M2425" s="354">
        <f>TrialBalanceA!I103</f>
        <v>0</v>
      </c>
      <c r="N2425" s="298"/>
      <c r="O2425" s="367">
        <f>TrialBalanceA!K103</f>
        <v>0</v>
      </c>
      <c r="P2425" s="295"/>
      <c r="Q2425" s="442"/>
      <c r="R2425" s="403" t="str">
        <f t="shared" ref="R2425" si="169">IF(R$2323="DELETE","DELETE",IF(M2425+O2425=0,"DELETE"," "))</f>
        <v>DELETE</v>
      </c>
      <c r="T2425" s="381"/>
    </row>
    <row r="2426" spans="2:26" ht="31.5" customHeight="1" x14ac:dyDescent="0.45">
      <c r="B2426" s="441"/>
      <c r="C2426" s="417"/>
      <c r="D2426" s="400" t="s">
        <v>217</v>
      </c>
      <c r="J2426" s="292"/>
      <c r="K2426" s="292"/>
      <c r="L2426" s="292"/>
      <c r="M2426" s="354">
        <f>TrialBalanceA!I102</f>
        <v>0</v>
      </c>
      <c r="N2426" s="298"/>
      <c r="O2426" s="367">
        <f>TrialBalanceA!K102</f>
        <v>0</v>
      </c>
      <c r="P2426" s="295"/>
      <c r="Q2426" s="442"/>
      <c r="R2426" s="403" t="str">
        <f t="shared" si="168"/>
        <v>DELETE</v>
      </c>
      <c r="T2426" s="381"/>
    </row>
    <row r="2427" spans="2:26" ht="31.5" customHeight="1" x14ac:dyDescent="0.45">
      <c r="B2427" s="441"/>
      <c r="C2427" s="417"/>
      <c r="D2427" s="400" t="s">
        <v>258</v>
      </c>
      <c r="J2427" s="292"/>
      <c r="K2427" s="292"/>
      <c r="L2427" s="292"/>
      <c r="M2427" s="354">
        <f>TrialBalanceA!I104</f>
        <v>0</v>
      </c>
      <c r="N2427" s="298"/>
      <c r="O2427" s="367">
        <f>TrialBalanceA!K104</f>
        <v>0</v>
      </c>
      <c r="P2427" s="295"/>
      <c r="Q2427" s="442"/>
      <c r="R2427" s="403" t="str">
        <f t="shared" si="168"/>
        <v>DELETE</v>
      </c>
      <c r="T2427" s="381"/>
    </row>
    <row r="2428" spans="2:26" ht="31.5" customHeight="1" x14ac:dyDescent="0.45">
      <c r="B2428" s="441"/>
      <c r="C2428" s="417"/>
      <c r="D2428" s="400" t="s">
        <v>222</v>
      </c>
      <c r="J2428" s="292"/>
      <c r="K2428" s="292"/>
      <c r="L2428" s="292"/>
      <c r="M2428" s="354">
        <f>TrialBalanceA!I105</f>
        <v>0</v>
      </c>
      <c r="N2428" s="298"/>
      <c r="O2428" s="367">
        <f>TrialBalanceA!K105</f>
        <v>0</v>
      </c>
      <c r="P2428" s="295"/>
      <c r="Q2428" s="442"/>
      <c r="R2428" s="403" t="str">
        <f t="shared" si="168"/>
        <v>DELETE</v>
      </c>
      <c r="T2428" s="381"/>
    </row>
    <row r="2429" spans="2:26" ht="31.5" customHeight="1" x14ac:dyDescent="0.45">
      <c r="B2429" s="441"/>
      <c r="C2429" s="417"/>
      <c r="D2429" s="400" t="s">
        <v>727</v>
      </c>
      <c r="J2429" s="292"/>
      <c r="K2429" s="292"/>
      <c r="L2429" s="292"/>
      <c r="M2429" s="354">
        <f>TrialBalanceA!I106</f>
        <v>0</v>
      </c>
      <c r="N2429" s="298"/>
      <c r="O2429" s="367">
        <f>TrialBalanceA!K106</f>
        <v>0</v>
      </c>
      <c r="P2429" s="295"/>
      <c r="Q2429" s="442"/>
      <c r="R2429" s="403" t="str">
        <f t="shared" si="168"/>
        <v>DELETE</v>
      </c>
      <c r="T2429" s="381"/>
    </row>
    <row r="2430" spans="2:26" ht="31.5" customHeight="1" x14ac:dyDescent="0.45">
      <c r="B2430" s="441"/>
      <c r="C2430" s="417"/>
      <c r="D2430" s="400" t="s">
        <v>277</v>
      </c>
      <c r="J2430" s="292"/>
      <c r="K2430" s="292">
        <f>C$940</f>
        <v>5.2999999999999989</v>
      </c>
      <c r="L2430" s="292"/>
      <c r="M2430" s="354">
        <f>SUM(TrialBalanceA!I108:I109)</f>
        <v>0</v>
      </c>
      <c r="N2430" s="298"/>
      <c r="O2430" s="367">
        <f>SUM(TrialBalanceA!K108:K109)</f>
        <v>0</v>
      </c>
      <c r="P2430" s="295"/>
      <c r="Q2430" s="442"/>
      <c r="R2430" s="403" t="str">
        <f t="shared" si="168"/>
        <v>DELETE</v>
      </c>
      <c r="T2430" s="381"/>
    </row>
    <row r="2431" spans="2:26" ht="31.5" customHeight="1" x14ac:dyDescent="0.45">
      <c r="B2431" s="441"/>
      <c r="C2431" s="417"/>
      <c r="D2431" s="400" t="str">
        <f>IF(MAX(Criteria!I38:I42)&gt;1,"Directors' remuneration","Director's remuneration")</f>
        <v>Director's remuneration</v>
      </c>
      <c r="J2431" s="292"/>
      <c r="K2431" s="292">
        <f>C$881</f>
        <v>5.0999999999999996</v>
      </c>
      <c r="L2431" s="292"/>
      <c r="M2431" s="354">
        <f>SUM(TrialBalanceA!I111:I115)</f>
        <v>0</v>
      </c>
      <c r="N2431" s="298"/>
      <c r="O2431" s="367">
        <f>SUM(TrialBalanceA!K111:K115)</f>
        <v>0</v>
      </c>
      <c r="P2431" s="295"/>
      <c r="Q2431" s="442"/>
      <c r="R2431" s="403" t="str">
        <f t="shared" si="168"/>
        <v>DELETE</v>
      </c>
      <c r="T2431" s="381"/>
    </row>
    <row r="2432" spans="2:26" ht="31.5" customHeight="1" x14ac:dyDescent="0.45">
      <c r="B2432" s="441"/>
      <c r="C2432" s="417"/>
      <c r="D2432" s="400" t="s">
        <v>259</v>
      </c>
      <c r="J2432" s="292"/>
      <c r="K2432" s="292"/>
      <c r="L2432" s="292"/>
      <c r="M2432" s="354">
        <f>TrialBalanceA!I116</f>
        <v>0</v>
      </c>
      <c r="N2432" s="298"/>
      <c r="O2432" s="367">
        <f>TrialBalanceA!K116</f>
        <v>0</v>
      </c>
      <c r="P2432" s="295"/>
      <c r="Q2432" s="442"/>
      <c r="R2432" s="403" t="str">
        <f t="shared" si="168"/>
        <v>DELETE</v>
      </c>
      <c r="T2432" s="381"/>
    </row>
    <row r="2433" spans="2:20" ht="31.5" customHeight="1" x14ac:dyDescent="0.45">
      <c r="B2433" s="441"/>
      <c r="C2433" s="417"/>
      <c r="D2433" s="400" t="s">
        <v>369</v>
      </c>
      <c r="J2433" s="292"/>
      <c r="K2433" s="292"/>
      <c r="L2433" s="292"/>
      <c r="M2433" s="354">
        <f>TrialBalanceA!I117</f>
        <v>0</v>
      </c>
      <c r="N2433" s="298"/>
      <c r="O2433" s="367">
        <f>TrialBalanceA!K117</f>
        <v>0</v>
      </c>
      <c r="P2433" s="295"/>
      <c r="Q2433" s="442"/>
      <c r="R2433" s="403" t="str">
        <f t="shared" si="168"/>
        <v>DELETE</v>
      </c>
      <c r="T2433" s="381"/>
    </row>
    <row r="2434" spans="2:20" ht="31.5" customHeight="1" x14ac:dyDescent="0.45">
      <c r="B2434" s="441"/>
      <c r="C2434" s="417"/>
      <c r="D2434" s="400" t="s">
        <v>330</v>
      </c>
      <c r="J2434" s="292"/>
      <c r="K2434" s="292"/>
      <c r="L2434" s="292"/>
      <c r="M2434" s="354">
        <f>TrialBalanceA!I118</f>
        <v>0</v>
      </c>
      <c r="N2434" s="298"/>
      <c r="O2434" s="367">
        <f>TrialBalanceA!K118</f>
        <v>0</v>
      </c>
      <c r="P2434" s="295"/>
      <c r="Q2434" s="442"/>
      <c r="R2434" s="403" t="str">
        <f t="shared" si="168"/>
        <v>DELETE</v>
      </c>
      <c r="T2434" s="381"/>
    </row>
    <row r="2435" spans="2:20" ht="31.5" customHeight="1" x14ac:dyDescent="0.45">
      <c r="B2435" s="441"/>
      <c r="C2435" s="417"/>
      <c r="D2435" s="400" t="s">
        <v>371</v>
      </c>
      <c r="J2435" s="292"/>
      <c r="K2435" s="292"/>
      <c r="L2435" s="292"/>
      <c r="M2435" s="354">
        <f>TrialBalanceA!I119</f>
        <v>0</v>
      </c>
      <c r="N2435" s="298"/>
      <c r="O2435" s="367">
        <f>TrialBalanceA!K119</f>
        <v>0</v>
      </c>
      <c r="P2435" s="295"/>
      <c r="Q2435" s="442"/>
      <c r="R2435" s="403" t="str">
        <f t="shared" si="168"/>
        <v>DELETE</v>
      </c>
      <c r="T2435" s="381"/>
    </row>
    <row r="2436" spans="2:20" ht="31.5" customHeight="1" x14ac:dyDescent="0.45">
      <c r="B2436" s="441"/>
      <c r="C2436" s="417"/>
      <c r="D2436" s="400" t="s">
        <v>1062</v>
      </c>
      <c r="J2436" s="292"/>
      <c r="K2436" s="292"/>
      <c r="L2436" s="292"/>
      <c r="M2436" s="354">
        <f>TrialBalanceA!I154</f>
        <v>0</v>
      </c>
      <c r="N2436" s="298"/>
      <c r="O2436" s="367">
        <f>TrialBalanceA!K154</f>
        <v>0</v>
      </c>
      <c r="P2436" s="295"/>
      <c r="Q2436" s="442"/>
      <c r="R2436" s="403" t="str">
        <f>IF(R$2323="DELETE","DELETE",IF(M2436+O2436=0,"DELETE"," "))</f>
        <v>DELETE</v>
      </c>
      <c r="T2436" s="381"/>
    </row>
    <row r="2437" spans="2:20" ht="31.5" customHeight="1" x14ac:dyDescent="0.45">
      <c r="B2437" s="441"/>
      <c r="C2437" s="417"/>
      <c r="D2437" s="400" t="s">
        <v>524</v>
      </c>
      <c r="J2437" s="292"/>
      <c r="K2437" s="292"/>
      <c r="L2437" s="292"/>
      <c r="M2437" s="354">
        <f>TrialBalanceA!I120+TrialBalanceA!I121</f>
        <v>0</v>
      </c>
      <c r="N2437" s="298"/>
      <c r="O2437" s="367">
        <f>TrialBalanceA!K120+TrialBalanceA!K121</f>
        <v>0</v>
      </c>
      <c r="P2437" s="295"/>
      <c r="Q2437" s="442"/>
      <c r="R2437" s="403" t="str">
        <f t="shared" si="168"/>
        <v>DELETE</v>
      </c>
      <c r="T2437" s="381"/>
    </row>
    <row r="2438" spans="2:20" ht="31.5" customHeight="1" x14ac:dyDescent="0.45">
      <c r="B2438" s="441"/>
      <c r="C2438" s="417"/>
      <c r="D2438" s="400" t="s">
        <v>547</v>
      </c>
      <c r="J2438" s="292"/>
      <c r="K2438" s="292"/>
      <c r="L2438" s="292"/>
      <c r="M2438" s="354">
        <f>IF(TrialBalanceA!I93&gt;0,TrialBalanceA!I93,0)</f>
        <v>0</v>
      </c>
      <c r="N2438" s="298"/>
      <c r="O2438" s="367">
        <f>IF(TrialBalanceA!K93&gt;0,TrialBalanceA!K93,0)</f>
        <v>0</v>
      </c>
      <c r="P2438" s="295"/>
      <c r="Q2438" s="442"/>
      <c r="R2438" s="403" t="str">
        <f>IF(R$2323="DELETE","DELETE",IF(M2438+O2438=0,"DELETE"," "))</f>
        <v>DELETE</v>
      </c>
      <c r="T2438" s="381"/>
    </row>
    <row r="2439" spans="2:20" ht="31.5" customHeight="1" x14ac:dyDescent="0.45">
      <c r="B2439" s="441"/>
      <c r="C2439" s="417"/>
      <c r="D2439" s="400" t="s">
        <v>728</v>
      </c>
      <c r="J2439" s="292"/>
      <c r="K2439" s="292"/>
      <c r="L2439" s="292"/>
      <c r="M2439" s="354">
        <f>TrialBalanceA!I122</f>
        <v>0</v>
      </c>
      <c r="N2439" s="298"/>
      <c r="O2439" s="367">
        <f>TrialBalanceA!K122</f>
        <v>0</v>
      </c>
      <c r="P2439" s="295"/>
      <c r="Q2439" s="442"/>
      <c r="R2439" s="403" t="str">
        <f>IF(R$2323="DELETE","DELETE",IF(M2439+O2439=0,"DELETE"," "))</f>
        <v>DELETE</v>
      </c>
      <c r="T2439" s="381"/>
    </row>
    <row r="2440" spans="2:20" ht="31.5" customHeight="1" x14ac:dyDescent="0.45">
      <c r="B2440" s="441"/>
      <c r="C2440" s="417"/>
      <c r="D2440" s="400" t="s">
        <v>260</v>
      </c>
      <c r="J2440" s="292"/>
      <c r="K2440" s="292"/>
      <c r="L2440" s="292"/>
      <c r="M2440" s="354">
        <f>TrialBalanceA!I123</f>
        <v>0</v>
      </c>
      <c r="N2440" s="298"/>
      <c r="O2440" s="367">
        <f>TrialBalanceA!K123</f>
        <v>0</v>
      </c>
      <c r="P2440" s="295"/>
      <c r="Q2440" s="442"/>
      <c r="R2440" s="403" t="str">
        <f t="shared" si="168"/>
        <v>DELETE</v>
      </c>
      <c r="T2440" s="381"/>
    </row>
    <row r="2441" spans="2:20" ht="31.5" customHeight="1" x14ac:dyDescent="0.45">
      <c r="B2441" s="441"/>
      <c r="C2441" s="417"/>
      <c r="D2441" s="400" t="s">
        <v>1081</v>
      </c>
      <c r="J2441" s="292"/>
      <c r="K2441" s="292"/>
      <c r="L2441" s="292"/>
      <c r="M2441" s="354">
        <f>TrialBalanceA!I155</f>
        <v>0</v>
      </c>
      <c r="N2441" s="298"/>
      <c r="O2441" s="367">
        <f>TrialBalanceA!K155</f>
        <v>0</v>
      </c>
      <c r="P2441" s="295"/>
      <c r="Q2441" s="442"/>
      <c r="R2441" s="403" t="str">
        <f t="shared" si="168"/>
        <v>DELETE</v>
      </c>
      <c r="T2441" s="381"/>
    </row>
    <row r="2442" spans="2:20" ht="31.5" customHeight="1" x14ac:dyDescent="0.45">
      <c r="B2442" s="441"/>
      <c r="C2442" s="417"/>
      <c r="D2442" s="400" t="s">
        <v>253</v>
      </c>
      <c r="J2442" s="292"/>
      <c r="K2442" s="292"/>
      <c r="L2442" s="292"/>
      <c r="M2442" s="354">
        <f>SUM(TrialBalanceA!I124:I125)</f>
        <v>0</v>
      </c>
      <c r="N2442" s="298"/>
      <c r="O2442" s="367">
        <f>SUM(TrialBalanceA!K124:K125)</f>
        <v>0</v>
      </c>
      <c r="P2442" s="295"/>
      <c r="Q2442" s="442"/>
      <c r="R2442" s="403" t="str">
        <f t="shared" si="168"/>
        <v>DELETE</v>
      </c>
      <c r="T2442" s="381"/>
    </row>
    <row r="2443" spans="2:20" ht="31.5" customHeight="1" x14ac:dyDescent="0.45">
      <c r="B2443" s="441"/>
      <c r="C2443" s="417"/>
      <c r="D2443" s="400" t="s">
        <v>261</v>
      </c>
      <c r="J2443" s="292"/>
      <c r="K2443" s="292"/>
      <c r="L2443" s="292"/>
      <c r="M2443" s="354">
        <f>TrialBalanceA!I126</f>
        <v>0</v>
      </c>
      <c r="N2443" s="298"/>
      <c r="O2443" s="367">
        <f>TrialBalanceA!K126</f>
        <v>0</v>
      </c>
      <c r="P2443" s="295"/>
      <c r="Q2443" s="442"/>
      <c r="R2443" s="403" t="str">
        <f t="shared" si="168"/>
        <v>DELETE</v>
      </c>
      <c r="T2443" s="381"/>
    </row>
    <row r="2444" spans="2:20" ht="31.5" customHeight="1" x14ac:dyDescent="0.45">
      <c r="B2444" s="441"/>
      <c r="C2444" s="417"/>
      <c r="D2444" s="400" t="s">
        <v>729</v>
      </c>
      <c r="J2444" s="292"/>
      <c r="K2444" s="292"/>
      <c r="L2444" s="292"/>
      <c r="M2444" s="354">
        <f>TrialBalanceA!I127</f>
        <v>0</v>
      </c>
      <c r="N2444" s="298"/>
      <c r="O2444" s="367">
        <f>TrialBalanceA!K127</f>
        <v>0</v>
      </c>
      <c r="P2444" s="295"/>
      <c r="Q2444" s="442"/>
      <c r="R2444" s="403" t="str">
        <f t="shared" si="168"/>
        <v>DELETE</v>
      </c>
      <c r="T2444" s="381"/>
    </row>
    <row r="2445" spans="2:20" ht="31.5" customHeight="1" x14ac:dyDescent="0.45">
      <c r="B2445" s="441"/>
      <c r="C2445" s="417"/>
      <c r="D2445" s="400" t="s">
        <v>79</v>
      </c>
      <c r="J2445" s="292"/>
      <c r="K2445" s="292"/>
      <c r="L2445" s="292"/>
      <c r="M2445" s="354">
        <f>TrialBalanceA!I128</f>
        <v>0</v>
      </c>
      <c r="N2445" s="298"/>
      <c r="O2445" s="367">
        <f>TrialBalanceA!K128</f>
        <v>0</v>
      </c>
      <c r="P2445" s="295"/>
      <c r="Q2445" s="442"/>
      <c r="R2445" s="403" t="str">
        <f t="shared" si="168"/>
        <v>DELETE</v>
      </c>
      <c r="T2445" s="381"/>
    </row>
    <row r="2446" spans="2:20" ht="31.5" customHeight="1" x14ac:dyDescent="0.45">
      <c r="B2446" s="441"/>
      <c r="C2446" s="417"/>
      <c r="D2446" s="400">
        <f>TrialBalanceA!C129</f>
        <v>0</v>
      </c>
      <c r="J2446" s="292"/>
      <c r="K2446" s="292"/>
      <c r="L2446" s="292"/>
      <c r="M2446" s="354">
        <f>TrialBalanceA!I129</f>
        <v>0</v>
      </c>
      <c r="N2446" s="298"/>
      <c r="O2446" s="367">
        <f>TrialBalanceA!K129</f>
        <v>0</v>
      </c>
      <c r="P2446" s="295"/>
      <c r="Q2446" s="442"/>
      <c r="R2446" s="403" t="str">
        <f t="shared" si="168"/>
        <v>DELETE</v>
      </c>
      <c r="T2446" s="381"/>
    </row>
    <row r="2447" spans="2:20" ht="31.5" customHeight="1" x14ac:dyDescent="0.45">
      <c r="B2447" s="441"/>
      <c r="C2447" s="417"/>
      <c r="D2447" s="400">
        <f>TrialBalanceA!C130</f>
        <v>0</v>
      </c>
      <c r="J2447" s="292"/>
      <c r="K2447" s="292"/>
      <c r="L2447" s="292"/>
      <c r="M2447" s="354">
        <f>TrialBalanceA!I130</f>
        <v>0</v>
      </c>
      <c r="N2447" s="298"/>
      <c r="O2447" s="367">
        <f>TrialBalanceA!K130</f>
        <v>0</v>
      </c>
      <c r="P2447" s="295"/>
      <c r="Q2447" s="442"/>
      <c r="R2447" s="403" t="str">
        <f t="shared" si="168"/>
        <v>DELETE</v>
      </c>
      <c r="T2447" s="381"/>
    </row>
    <row r="2448" spans="2:20" ht="31.5" customHeight="1" x14ac:dyDescent="0.45">
      <c r="B2448" s="441"/>
      <c r="C2448" s="417"/>
      <c r="D2448" s="400">
        <f>TrialBalanceA!C131</f>
        <v>0</v>
      </c>
      <c r="J2448" s="292"/>
      <c r="K2448" s="292"/>
      <c r="L2448" s="292"/>
      <c r="M2448" s="354">
        <f>TrialBalanceA!I131</f>
        <v>0</v>
      </c>
      <c r="N2448" s="298"/>
      <c r="O2448" s="367">
        <f>TrialBalanceA!K131</f>
        <v>0</v>
      </c>
      <c r="P2448" s="295"/>
      <c r="Q2448" s="442"/>
      <c r="R2448" s="403" t="str">
        <f t="shared" si="168"/>
        <v>DELETE</v>
      </c>
      <c r="T2448" s="381"/>
    </row>
    <row r="2449" spans="2:26" ht="31.5" customHeight="1" x14ac:dyDescent="0.45">
      <c r="B2449" s="441"/>
      <c r="C2449" s="417"/>
      <c r="D2449" s="400">
        <f>TrialBalanceA!C132</f>
        <v>0</v>
      </c>
      <c r="J2449" s="292"/>
      <c r="K2449" s="292"/>
      <c r="L2449" s="292"/>
      <c r="M2449" s="354">
        <f>TrialBalanceA!I132</f>
        <v>0</v>
      </c>
      <c r="N2449" s="298"/>
      <c r="O2449" s="367">
        <f>TrialBalanceA!K132</f>
        <v>0</v>
      </c>
      <c r="P2449" s="295"/>
      <c r="Q2449" s="442"/>
      <c r="R2449" s="403" t="str">
        <f t="shared" si="168"/>
        <v>DELETE</v>
      </c>
      <c r="T2449" s="381"/>
    </row>
    <row r="2450" spans="2:26" ht="31.5" customHeight="1" x14ac:dyDescent="0.45">
      <c r="B2450" s="441"/>
      <c r="C2450" s="417"/>
      <c r="D2450" s="400">
        <f>TrialBalanceA!C133</f>
        <v>0</v>
      </c>
      <c r="J2450" s="292"/>
      <c r="K2450" s="292"/>
      <c r="L2450" s="292"/>
      <c r="M2450" s="354">
        <f>TrialBalanceA!I133</f>
        <v>0</v>
      </c>
      <c r="N2450" s="298"/>
      <c r="O2450" s="367">
        <f>TrialBalanceA!K133</f>
        <v>0</v>
      </c>
      <c r="P2450" s="295"/>
      <c r="Q2450" s="442"/>
      <c r="R2450" s="403" t="str">
        <f t="shared" si="168"/>
        <v>DELETE</v>
      </c>
      <c r="T2450" s="381"/>
    </row>
    <row r="2451" spans="2:26" ht="31.5" customHeight="1" x14ac:dyDescent="0.45">
      <c r="B2451" s="441"/>
      <c r="C2451" s="417"/>
      <c r="D2451" s="400">
        <f>TrialBalanceA!C134</f>
        <v>0</v>
      </c>
      <c r="J2451" s="292"/>
      <c r="K2451" s="292"/>
      <c r="L2451" s="292"/>
      <c r="M2451" s="354">
        <f>TrialBalanceA!I134</f>
        <v>0</v>
      </c>
      <c r="N2451" s="298"/>
      <c r="O2451" s="367">
        <f>TrialBalanceA!K134</f>
        <v>0</v>
      </c>
      <c r="P2451" s="295"/>
      <c r="Q2451" s="442"/>
      <c r="R2451" s="403" t="str">
        <f t="shared" si="168"/>
        <v>DELETE</v>
      </c>
      <c r="T2451" s="381"/>
    </row>
    <row r="2452" spans="2:26" ht="31.5" customHeight="1" x14ac:dyDescent="0.45">
      <c r="B2452" s="441"/>
      <c r="C2452" s="417"/>
      <c r="D2452" s="400">
        <f>TrialBalanceA!C135</f>
        <v>0</v>
      </c>
      <c r="J2452" s="292"/>
      <c r="K2452" s="292"/>
      <c r="L2452" s="292"/>
      <c r="M2452" s="354">
        <f>TrialBalanceA!I135</f>
        <v>0</v>
      </c>
      <c r="N2452" s="298"/>
      <c r="O2452" s="367">
        <f>TrialBalanceA!K135</f>
        <v>0</v>
      </c>
      <c r="P2452" s="295"/>
      <c r="Q2452" s="442"/>
      <c r="R2452" s="403" t="str">
        <f t="shared" si="168"/>
        <v>DELETE</v>
      </c>
      <c r="T2452" s="381"/>
    </row>
    <row r="2453" spans="2:26" ht="31.5" customHeight="1" x14ac:dyDescent="0.45">
      <c r="B2453" s="441"/>
      <c r="C2453" s="417"/>
      <c r="D2453" s="400">
        <f>TrialBalanceA!C136</f>
        <v>0</v>
      </c>
      <c r="J2453" s="292"/>
      <c r="K2453" s="292"/>
      <c r="L2453" s="292"/>
      <c r="M2453" s="354">
        <f>TrialBalanceA!I136</f>
        <v>0</v>
      </c>
      <c r="N2453" s="298"/>
      <c r="O2453" s="367">
        <f>TrialBalanceA!K136</f>
        <v>0</v>
      </c>
      <c r="P2453" s="295"/>
      <c r="Q2453" s="442"/>
      <c r="R2453" s="403" t="str">
        <f t="shared" si="168"/>
        <v>DELETE</v>
      </c>
      <c r="T2453" s="381"/>
    </row>
    <row r="2454" spans="2:26" ht="31.5" customHeight="1" x14ac:dyDescent="0.45">
      <c r="B2454" s="441"/>
      <c r="C2454" s="417"/>
      <c r="D2454" s="400">
        <f>TrialBalanceA!C137</f>
        <v>0</v>
      </c>
      <c r="J2454" s="292"/>
      <c r="K2454" s="292"/>
      <c r="L2454" s="292"/>
      <c r="M2454" s="354">
        <f>TrialBalanceA!I137</f>
        <v>0</v>
      </c>
      <c r="N2454" s="298"/>
      <c r="O2454" s="367">
        <f>TrialBalanceA!K137</f>
        <v>0</v>
      </c>
      <c r="P2454" s="295"/>
      <c r="Q2454" s="442"/>
      <c r="R2454" s="403" t="str">
        <f t="shared" si="168"/>
        <v>DELETE</v>
      </c>
      <c r="T2454" s="381"/>
    </row>
    <row r="2455" spans="2:26" ht="31.5" customHeight="1" x14ac:dyDescent="0.45">
      <c r="B2455" s="441"/>
      <c r="C2455" s="417"/>
      <c r="D2455" s="400" t="str">
        <f>TrialBalanceA!C138</f>
        <v>Amortisation of prepaid lease agreement</v>
      </c>
      <c r="J2455" s="292"/>
      <c r="K2455" s="292"/>
      <c r="L2455" s="292"/>
      <c r="M2455" s="354">
        <f>TrialBalanceA!I138</f>
        <v>0</v>
      </c>
      <c r="N2455" s="298"/>
      <c r="O2455" s="367">
        <f>TrialBalanceA!K138</f>
        <v>0</v>
      </c>
      <c r="P2455" s="295"/>
      <c r="Q2455" s="442"/>
      <c r="R2455" s="403" t="str">
        <f t="shared" si="168"/>
        <v>DELETE</v>
      </c>
      <c r="T2455" s="381"/>
    </row>
    <row r="2456" spans="2:26" ht="31.5" customHeight="1" x14ac:dyDescent="0.45">
      <c r="B2456" s="441"/>
      <c r="C2456" s="417"/>
      <c r="D2456" s="400" t="str">
        <f>TrialBalanceA!C139</f>
        <v>Amortisation of goodwill</v>
      </c>
      <c r="J2456" s="292"/>
      <c r="K2456" s="292"/>
      <c r="L2456" s="292"/>
      <c r="M2456" s="354">
        <f>TrialBalanceA!I139</f>
        <v>0</v>
      </c>
      <c r="N2456" s="298"/>
      <c r="O2456" s="367">
        <f>TrialBalanceA!K139</f>
        <v>0</v>
      </c>
      <c r="P2456" s="295"/>
      <c r="Q2456" s="442"/>
      <c r="R2456" s="403" t="str">
        <f t="shared" ref="R2456" si="170">IF(R$2323="DELETE","DELETE",IF(M2456+O2456=0,"DELETE"," "))</f>
        <v>DELETE</v>
      </c>
      <c r="T2456" s="381"/>
    </row>
    <row r="2457" spans="2:26" ht="9" customHeight="1" x14ac:dyDescent="0.45">
      <c r="B2457" s="441"/>
      <c r="C2457" s="417"/>
      <c r="J2457" s="292"/>
      <c r="K2457" s="292"/>
      <c r="L2457" s="292"/>
      <c r="M2457" s="355"/>
      <c r="N2457" s="300"/>
      <c r="O2457" s="368"/>
      <c r="P2457" s="295"/>
      <c r="Q2457" s="442"/>
      <c r="R2457" s="403" t="str">
        <f>R2421</f>
        <v>DELETE</v>
      </c>
      <c r="T2457" s="381"/>
    </row>
    <row r="2458" spans="2:26" ht="9" customHeight="1" x14ac:dyDescent="0.45">
      <c r="B2458" s="441"/>
      <c r="C2458" s="417"/>
      <c r="J2458" s="292"/>
      <c r="K2458" s="292"/>
      <c r="L2458" s="292"/>
      <c r="M2458" s="349"/>
      <c r="N2458" s="300"/>
      <c r="O2458" s="349"/>
      <c r="P2458" s="295"/>
      <c r="Q2458" s="442"/>
      <c r="R2458" s="403" t="str">
        <f>R$2323</f>
        <v>DELETE</v>
      </c>
      <c r="T2458" s="381"/>
    </row>
    <row r="2459" spans="2:26" ht="9" customHeight="1" x14ac:dyDescent="0.45">
      <c r="B2459" s="441"/>
      <c r="C2459" s="417"/>
      <c r="J2459" s="292"/>
      <c r="K2459" s="292"/>
      <c r="L2459" s="292"/>
      <c r="M2459" s="347"/>
      <c r="N2459" s="298"/>
      <c r="O2459" s="347"/>
      <c r="P2459" s="295"/>
      <c r="Q2459" s="442"/>
      <c r="R2459" s="403" t="str">
        <f>R$2323</f>
        <v>DELETE</v>
      </c>
      <c r="T2459" s="381"/>
    </row>
    <row r="2460" spans="2:26" ht="31.5" customHeight="1" x14ac:dyDescent="0.45">
      <c r="B2460" s="441"/>
      <c r="C2460" s="315" t="str">
        <f>IF((Y2460+Z2460)=3,"OPERATING PROFIT/(LOSS) FOR THE YEAR",(IF((Y2460+Z2460=4),"OPERATING PROFIT FOR THE YEAR","OPERATING LOSS FOR THE YEAR")))</f>
        <v>OPERATING PROFIT FOR THE YEAR</v>
      </c>
      <c r="J2460" s="292"/>
      <c r="K2460" s="292">
        <f>FS!B878</f>
        <v>5</v>
      </c>
      <c r="L2460" s="292"/>
      <c r="M2460" s="347">
        <f>SUM(S2335:S2457)</f>
        <v>0</v>
      </c>
      <c r="N2460" s="298"/>
      <c r="O2460" s="347">
        <f>SUM(U2335:U2457)</f>
        <v>0</v>
      </c>
      <c r="P2460" s="295"/>
      <c r="Q2460" s="442"/>
      <c r="R2460" s="403" t="str">
        <f>R$2323</f>
        <v>DELETE</v>
      </c>
      <c r="T2460" s="381"/>
      <c r="Y2460" s="378">
        <f>IF(M2460&lt;0,1,IF(M2460=0,IF(O2460&lt;0,1,2),2))</f>
        <v>2</v>
      </c>
      <c r="Z2460" s="378">
        <f>IF(O2460&lt;0,1,IF(O2460=0,IF(M2460&lt;0,1,2),2))</f>
        <v>2</v>
      </c>
    </row>
    <row r="2461" spans="2:26" ht="31.5" customHeight="1" x14ac:dyDescent="0.45">
      <c r="B2461" s="441"/>
      <c r="C2461" s="417"/>
      <c r="J2461" s="292"/>
      <c r="K2461" s="292"/>
      <c r="L2461" s="292"/>
      <c r="M2461" s="347"/>
      <c r="N2461" s="298"/>
      <c r="O2461" s="347"/>
      <c r="P2461" s="295"/>
      <c r="Q2461" s="442"/>
      <c r="R2461" s="403" t="str">
        <f>R$2323</f>
        <v>DELETE</v>
      </c>
      <c r="T2461" s="381"/>
    </row>
    <row r="2462" spans="2:26" ht="31.5" customHeight="1" x14ac:dyDescent="0.45">
      <c r="B2462" s="441"/>
      <c r="C2462" s="417" t="s">
        <v>114</v>
      </c>
      <c r="J2462" s="292"/>
      <c r="K2462" s="292">
        <f>FS!B965</f>
        <v>6</v>
      </c>
      <c r="L2462" s="292"/>
      <c r="M2462" s="347">
        <f>SUM(M2465:M2472)</f>
        <v>0</v>
      </c>
      <c r="N2462" s="298"/>
      <c r="O2462" s="347">
        <f>SUM(O2465:O2472)</f>
        <v>0</v>
      </c>
      <c r="P2462" s="295"/>
      <c r="Q2462" s="442"/>
      <c r="R2462" s="403" t="str">
        <f t="shared" ref="R2462" si="171">IF(R$2323="DELETE","DELETE",IF(M2462+O2462=0,"DELETE"," "))</f>
        <v>DELETE</v>
      </c>
      <c r="S2462" s="380">
        <f>M2462</f>
        <v>0</v>
      </c>
      <c r="T2462" s="381"/>
      <c r="U2462" s="380">
        <f>O2462</f>
        <v>0</v>
      </c>
      <c r="V2462" s="380"/>
      <c r="W2462" s="380"/>
      <c r="X2462" s="380"/>
    </row>
    <row r="2463" spans="2:26" ht="9" customHeight="1" x14ac:dyDescent="0.45">
      <c r="B2463" s="441"/>
      <c r="C2463" s="417"/>
      <c r="J2463" s="292"/>
      <c r="K2463" s="292"/>
      <c r="L2463" s="292"/>
      <c r="M2463" s="347"/>
      <c r="N2463" s="298"/>
      <c r="O2463" s="347"/>
      <c r="P2463" s="295"/>
      <c r="Q2463" s="442"/>
      <c r="R2463" s="403" t="str">
        <f>R2462</f>
        <v>DELETE</v>
      </c>
      <c r="T2463" s="381"/>
    </row>
    <row r="2464" spans="2:26" ht="9" customHeight="1" x14ac:dyDescent="0.45">
      <c r="B2464" s="441"/>
      <c r="C2464" s="417"/>
      <c r="J2464" s="292"/>
      <c r="K2464" s="292"/>
      <c r="L2464" s="292"/>
      <c r="M2464" s="353"/>
      <c r="N2464" s="299"/>
      <c r="O2464" s="366"/>
      <c r="P2464" s="295"/>
      <c r="Q2464" s="442"/>
      <c r="R2464" s="403" t="str">
        <f>R2463</f>
        <v>DELETE</v>
      </c>
      <c r="T2464" s="381"/>
    </row>
    <row r="2465" spans="2:26" ht="31.5" customHeight="1" x14ac:dyDescent="0.45">
      <c r="B2465" s="441"/>
      <c r="C2465" s="417"/>
      <c r="D2465" s="400" t="s">
        <v>205</v>
      </c>
      <c r="J2465" s="292"/>
      <c r="K2465" s="292"/>
      <c r="L2465" s="292"/>
      <c r="M2465" s="354">
        <f>-TrialBalanceA!I94</f>
        <v>0</v>
      </c>
      <c r="N2465" s="298"/>
      <c r="O2465" s="367">
        <f>-TrialBalanceA!K94</f>
        <v>0</v>
      </c>
      <c r="P2465" s="295"/>
      <c r="Q2465" s="442"/>
      <c r="R2465" s="403" t="str">
        <f t="shared" ref="R2465:R2470" si="172">IF(R$2323="DELETE","DELETE",IF(M2465+O2465=0,"DELETE"," "))</f>
        <v>DELETE</v>
      </c>
      <c r="T2465" s="381"/>
    </row>
    <row r="2466" spans="2:26" ht="31.5" customHeight="1" x14ac:dyDescent="0.45">
      <c r="B2466" s="441"/>
      <c r="C2466" s="417"/>
      <c r="D2466" s="400" t="s">
        <v>531</v>
      </c>
      <c r="J2466" s="292"/>
      <c r="K2466" s="292"/>
      <c r="L2466" s="292"/>
      <c r="M2466" s="354">
        <f>-SUM(TrialBalanceA!I90:I92)</f>
        <v>0</v>
      </c>
      <c r="N2466" s="298"/>
      <c r="O2466" s="367">
        <f>-SUM(TrialBalanceA!K90:K92)</f>
        <v>0</v>
      </c>
      <c r="P2466" s="295"/>
      <c r="Q2466" s="442"/>
      <c r="R2466" s="403" t="str">
        <f t="shared" si="172"/>
        <v>DELETE</v>
      </c>
      <c r="T2466" s="381"/>
    </row>
    <row r="2467" spans="2:26" ht="31.5" customHeight="1" x14ac:dyDescent="0.45">
      <c r="B2467" s="441"/>
      <c r="C2467" s="417"/>
      <c r="D2467" s="400" t="s">
        <v>532</v>
      </c>
      <c r="J2467" s="292"/>
      <c r="K2467" s="292"/>
      <c r="L2467" s="292"/>
      <c r="M2467" s="365">
        <f>-SUM(TrialBalanceA!I85:I88)</f>
        <v>0</v>
      </c>
      <c r="N2467" s="304"/>
      <c r="O2467" s="371">
        <f>-SUM(TrialBalanceA!K85:K88)</f>
        <v>0</v>
      </c>
      <c r="P2467" s="295"/>
      <c r="Q2467" s="442"/>
      <c r="R2467" s="403" t="str">
        <f t="shared" si="172"/>
        <v>DELETE</v>
      </c>
      <c r="T2467" s="381"/>
    </row>
    <row r="2468" spans="2:26" ht="31.5" customHeight="1" x14ac:dyDescent="0.45">
      <c r="B2468" s="441"/>
      <c r="C2468" s="417"/>
      <c r="D2468" s="400" t="s">
        <v>207</v>
      </c>
      <c r="J2468" s="292"/>
      <c r="K2468" s="292"/>
      <c r="L2468" s="292"/>
      <c r="M2468" s="365">
        <f>-SUM(TrialBalanceA!I95)</f>
        <v>0</v>
      </c>
      <c r="N2468" s="304"/>
      <c r="O2468" s="371">
        <f>-TrialBalanceA!K95</f>
        <v>0</v>
      </c>
      <c r="P2468" s="295"/>
      <c r="Q2468" s="442"/>
      <c r="R2468" s="403" t="str">
        <f t="shared" si="172"/>
        <v>DELETE</v>
      </c>
      <c r="T2468" s="381"/>
    </row>
    <row r="2469" spans="2:26" ht="31.5" customHeight="1" x14ac:dyDescent="0.45">
      <c r="B2469" s="441"/>
      <c r="C2469" s="417"/>
      <c r="D2469" s="400" t="s">
        <v>548</v>
      </c>
      <c r="J2469" s="292"/>
      <c r="K2469" s="292"/>
      <c r="L2469" s="292"/>
      <c r="M2469" s="354">
        <f>IF(TrialBalanceA!I93&lt;0,-TrialBalanceA!I93,0)</f>
        <v>0</v>
      </c>
      <c r="N2469" s="298"/>
      <c r="O2469" s="367">
        <f>IF(TrialBalanceA!K93&lt;0,-TrialBalanceA!K93,0)</f>
        <v>0</v>
      </c>
      <c r="P2469" s="295"/>
      <c r="Q2469" s="442"/>
      <c r="R2469" s="403" t="str">
        <f t="shared" si="172"/>
        <v>DELETE</v>
      </c>
      <c r="T2469" s="381"/>
    </row>
    <row r="2470" spans="2:26" ht="31.5" customHeight="1" x14ac:dyDescent="0.45">
      <c r="B2470" s="441"/>
      <c r="C2470" s="417"/>
      <c r="D2470" s="400" t="s">
        <v>359</v>
      </c>
      <c r="J2470" s="292"/>
      <c r="K2470" s="292"/>
      <c r="L2470" s="292"/>
      <c r="M2470" s="354">
        <f>-TrialBalanceA!I83</f>
        <v>0</v>
      </c>
      <c r="N2470" s="298"/>
      <c r="O2470" s="367">
        <f>-TrialBalanceA!K83</f>
        <v>0</v>
      </c>
      <c r="P2470" s="295"/>
      <c r="Q2470" s="442"/>
      <c r="R2470" s="403" t="str">
        <f t="shared" si="172"/>
        <v>DELETE</v>
      </c>
      <c r="T2470" s="381"/>
    </row>
    <row r="2471" spans="2:26" ht="31.5" customHeight="1" x14ac:dyDescent="0.45">
      <c r="B2471" s="441"/>
      <c r="C2471" s="417"/>
      <c r="D2471" s="400" t="str">
        <f>TrialBalance!C96</f>
        <v>Revaluation of investment property</v>
      </c>
      <c r="J2471" s="292"/>
      <c r="K2471" s="292"/>
      <c r="L2471" s="292"/>
      <c r="M2471" s="354">
        <f>-TrialBalanceA!I96</f>
        <v>0</v>
      </c>
      <c r="N2471" s="298"/>
      <c r="O2471" s="367">
        <f>-TrialBalanceA!K96</f>
        <v>0</v>
      </c>
      <c r="P2471" s="295"/>
      <c r="Q2471" s="442"/>
      <c r="R2471" s="403" t="str">
        <f t="shared" ref="R2471" si="173">IF(R$2323="DELETE","DELETE",IF(M2471+O2471=0,"DELETE"," "))</f>
        <v>DELETE</v>
      </c>
      <c r="T2471" s="381"/>
    </row>
    <row r="2472" spans="2:26" ht="9" customHeight="1" x14ac:dyDescent="0.45">
      <c r="B2472" s="441"/>
      <c r="C2472" s="417"/>
      <c r="J2472" s="292"/>
      <c r="K2472" s="292"/>
      <c r="L2472" s="292"/>
      <c r="M2472" s="355"/>
      <c r="N2472" s="300"/>
      <c r="O2472" s="368"/>
      <c r="P2472" s="295"/>
      <c r="Q2472" s="442"/>
      <c r="R2472" s="403" t="str">
        <f>R2462</f>
        <v>DELETE</v>
      </c>
      <c r="T2472" s="381"/>
    </row>
    <row r="2473" spans="2:26" ht="9" customHeight="1" x14ac:dyDescent="0.45">
      <c r="B2473" s="441"/>
      <c r="C2473" s="417"/>
      <c r="J2473" s="292"/>
      <c r="K2473" s="292"/>
      <c r="L2473" s="292"/>
      <c r="M2473" s="349"/>
      <c r="N2473" s="300"/>
      <c r="O2473" s="349"/>
      <c r="P2473" s="295"/>
      <c r="Q2473" s="442"/>
      <c r="R2473" s="403" t="str">
        <f>R2472</f>
        <v>DELETE</v>
      </c>
      <c r="T2473" s="381"/>
    </row>
    <row r="2474" spans="2:26" ht="9" customHeight="1" x14ac:dyDescent="0.45">
      <c r="B2474" s="441"/>
      <c r="C2474" s="417"/>
      <c r="J2474" s="292"/>
      <c r="K2474" s="292"/>
      <c r="L2474" s="292"/>
      <c r="M2474" s="347"/>
      <c r="N2474" s="298"/>
      <c r="O2474" s="347"/>
      <c r="P2474" s="295"/>
      <c r="Q2474" s="442"/>
      <c r="R2474" s="403" t="str">
        <f>R2473</f>
        <v>DELETE</v>
      </c>
      <c r="T2474" s="381"/>
    </row>
    <row r="2475" spans="2:26" ht="31.5" customHeight="1" x14ac:dyDescent="0.45">
      <c r="B2475" s="441"/>
      <c r="C2475" s="417"/>
      <c r="J2475" s="292"/>
      <c r="K2475" s="292"/>
      <c r="L2475" s="292"/>
      <c r="M2475" s="347">
        <f>SUM(S2335:S2472)</f>
        <v>0</v>
      </c>
      <c r="N2475" s="298"/>
      <c r="O2475" s="347">
        <f>SUM(U2335:U2472)</f>
        <v>0</v>
      </c>
      <c r="P2475" s="295"/>
      <c r="Q2475" s="442"/>
      <c r="R2475" s="403" t="str">
        <f>R2474</f>
        <v>DELETE</v>
      </c>
      <c r="T2475" s="381"/>
    </row>
    <row r="2476" spans="2:26" ht="31.5" customHeight="1" x14ac:dyDescent="0.45">
      <c r="B2476" s="441"/>
      <c r="C2476" s="417"/>
      <c r="J2476" s="292"/>
      <c r="K2476" s="292"/>
      <c r="L2476" s="292"/>
      <c r="M2476" s="347"/>
      <c r="N2476" s="298"/>
      <c r="O2476" s="347"/>
      <c r="P2476" s="295"/>
      <c r="Q2476" s="442"/>
      <c r="R2476" s="403" t="str">
        <f>R2475</f>
        <v>DELETE</v>
      </c>
      <c r="T2476" s="381"/>
    </row>
    <row r="2477" spans="2:26" ht="31.5" customHeight="1" x14ac:dyDescent="0.45">
      <c r="B2477" s="441"/>
      <c r="C2477" s="417" t="s">
        <v>262</v>
      </c>
      <c r="J2477" s="292"/>
      <c r="K2477" s="292">
        <f>FS!B1024</f>
        <v>7</v>
      </c>
      <c r="L2477" s="292"/>
      <c r="M2477" s="347">
        <f>SUM(TrialBalanceA!I142:I152)</f>
        <v>0</v>
      </c>
      <c r="N2477" s="298"/>
      <c r="O2477" s="347">
        <f>SUM(TrialBalanceA!K142:K152)</f>
        <v>0</v>
      </c>
      <c r="P2477" s="295"/>
      <c r="Q2477" s="442"/>
      <c r="R2477" s="403" t="str">
        <f t="shared" ref="R2477" si="174">IF(R$2323="DELETE","DELETE",IF(M2477+O2477=0,"DELETE"," "))</f>
        <v>DELETE</v>
      </c>
      <c r="S2477" s="380">
        <f>-M2477</f>
        <v>0</v>
      </c>
      <c r="T2477" s="381"/>
      <c r="U2477" s="380">
        <f>-O2477</f>
        <v>0</v>
      </c>
      <c r="V2477" s="380"/>
      <c r="W2477" s="380"/>
      <c r="X2477" s="380"/>
    </row>
    <row r="2478" spans="2:26" ht="9" customHeight="1" x14ac:dyDescent="0.45">
      <c r="B2478" s="441"/>
      <c r="C2478" s="417"/>
      <c r="J2478" s="292"/>
      <c r="K2478" s="292"/>
      <c r="L2478" s="292"/>
      <c r="M2478" s="349"/>
      <c r="N2478" s="300"/>
      <c r="O2478" s="349"/>
      <c r="P2478" s="295"/>
      <c r="Q2478" s="442"/>
      <c r="R2478" s="403" t="str">
        <f t="shared" ref="R2478:R2486" si="175">R$2323</f>
        <v>DELETE</v>
      </c>
      <c r="T2478" s="381"/>
    </row>
    <row r="2479" spans="2:26" ht="9" customHeight="1" x14ac:dyDescent="0.45">
      <c r="B2479" s="441"/>
      <c r="C2479" s="417"/>
      <c r="J2479" s="292"/>
      <c r="K2479" s="292"/>
      <c r="L2479" s="292"/>
      <c r="M2479" s="347"/>
      <c r="N2479" s="298"/>
      <c r="O2479" s="347"/>
      <c r="P2479" s="295"/>
      <c r="Q2479" s="442"/>
      <c r="R2479" s="403" t="str">
        <f t="shared" si="175"/>
        <v>DELETE</v>
      </c>
      <c r="T2479" s="381"/>
    </row>
    <row r="2480" spans="2:26" ht="31.5" customHeight="1" x14ac:dyDescent="0.45">
      <c r="B2480" s="441"/>
      <c r="C2480" s="315" t="str">
        <f>IF((Y2480+Z2480)=3,"PROFIT/(LOSS) BEFORE TAXATION",(IF((Y2480+Z2480=4),"PROFIT BEFORE TAXATION","LOSS BEFORE TAXATION")))</f>
        <v>PROFIT BEFORE TAXATION</v>
      </c>
      <c r="J2480" s="292"/>
      <c r="K2480" s="292"/>
      <c r="L2480" s="292"/>
      <c r="M2480" s="347">
        <f>SUM(S2335:S2479)</f>
        <v>0</v>
      </c>
      <c r="N2480" s="298"/>
      <c r="O2480" s="347">
        <f>SUM(U2335:U2479)</f>
        <v>0</v>
      </c>
      <c r="P2480" s="295"/>
      <c r="Q2480" s="442"/>
      <c r="R2480" s="403" t="str">
        <f t="shared" si="175"/>
        <v>DELETE</v>
      </c>
      <c r="T2480" s="381"/>
      <c r="V2480" s="378" t="b">
        <f>M2480=FS!M2307</f>
        <v>1</v>
      </c>
      <c r="X2480" s="378" t="b">
        <f>O2480=FS!O2307</f>
        <v>1</v>
      </c>
      <c r="Y2480" s="378">
        <f>IF(M2480&lt;0,1,IF(M2480=0,IF(O2480&lt;0,1,2),2))</f>
        <v>2</v>
      </c>
      <c r="Z2480" s="378">
        <f>IF(O2480&lt;0,1,IF(O2480=0,IF(M2480&lt;0,1,2),2))</f>
        <v>2</v>
      </c>
    </row>
    <row r="2481" spans="2:26" ht="9" customHeight="1" thickBot="1" x14ac:dyDescent="0.5">
      <c r="B2481" s="441"/>
      <c r="C2481" s="417"/>
      <c r="J2481" s="292"/>
      <c r="K2481" s="292"/>
      <c r="L2481" s="292"/>
      <c r="M2481" s="351"/>
      <c r="N2481" s="301"/>
      <c r="O2481" s="351"/>
      <c r="P2481" s="295"/>
      <c r="Q2481" s="442"/>
      <c r="R2481" s="403" t="str">
        <f t="shared" si="175"/>
        <v>DELETE</v>
      </c>
      <c r="T2481" s="381"/>
    </row>
    <row r="2482" spans="2:26" ht="9" customHeight="1" thickTop="1" x14ac:dyDescent="0.45">
      <c r="B2482" s="441"/>
      <c r="C2482" s="417"/>
      <c r="J2482" s="292"/>
      <c r="K2482" s="292"/>
      <c r="L2482" s="292"/>
      <c r="M2482" s="363"/>
      <c r="N2482" s="314"/>
      <c r="O2482" s="363"/>
      <c r="P2482" s="295"/>
      <c r="Q2482" s="442"/>
      <c r="R2482" s="403" t="str">
        <f t="shared" si="175"/>
        <v>DELETE</v>
      </c>
      <c r="T2482" s="381"/>
    </row>
    <row r="2483" spans="2:26" ht="31.5" customHeight="1" x14ac:dyDescent="0.45">
      <c r="B2483" s="441"/>
      <c r="C2483" s="417"/>
      <c r="J2483" s="292"/>
      <c r="K2483" s="292"/>
      <c r="L2483" s="292"/>
      <c r="M2483" s="347"/>
      <c r="N2483" s="298"/>
      <c r="O2483" s="347"/>
      <c r="P2483" s="295"/>
      <c r="Q2483" s="442"/>
      <c r="R2483" s="403" t="str">
        <f t="shared" si="175"/>
        <v>DELETE</v>
      </c>
      <c r="T2483" s="381"/>
    </row>
    <row r="2484" spans="2:26" ht="31.5" customHeight="1" x14ac:dyDescent="0.45">
      <c r="B2484" s="441"/>
      <c r="C2484" s="417"/>
      <c r="J2484" s="292"/>
      <c r="K2484" s="292"/>
      <c r="L2484" s="292"/>
      <c r="M2484" s="347"/>
      <c r="N2484" s="298"/>
      <c r="O2484" s="347"/>
      <c r="P2484" s="295"/>
      <c r="Q2484" s="442"/>
      <c r="R2484" s="403" t="str">
        <f t="shared" si="175"/>
        <v>DELETE</v>
      </c>
      <c r="T2484" s="381"/>
    </row>
    <row r="2485" spans="2:26" ht="31.5" customHeight="1" x14ac:dyDescent="0.45">
      <c r="B2485" s="445"/>
      <c r="C2485" s="429"/>
      <c r="D2485" s="429"/>
      <c r="E2485" s="429"/>
      <c r="F2485" s="429"/>
      <c r="G2485" s="429"/>
      <c r="H2485" s="429"/>
      <c r="I2485" s="429"/>
      <c r="J2485" s="429"/>
      <c r="K2485" s="429"/>
      <c r="L2485" s="429"/>
      <c r="M2485" s="437"/>
      <c r="N2485" s="461"/>
      <c r="O2485" s="437"/>
      <c r="P2485" s="433"/>
      <c r="Q2485" s="446"/>
      <c r="R2485" s="403" t="str">
        <f t="shared" si="175"/>
        <v>DELETE</v>
      </c>
      <c r="T2485" s="381"/>
    </row>
    <row r="2486" spans="2:26" ht="31.5" customHeight="1" x14ac:dyDescent="0.45">
      <c r="M2486" s="426"/>
      <c r="N2486" s="406"/>
      <c r="O2486" s="426"/>
      <c r="R2486" s="403" t="str">
        <f t="shared" si="175"/>
        <v>DELETE</v>
      </c>
      <c r="T2486" s="381"/>
    </row>
    <row r="2487" spans="2:26" ht="31.5" customHeight="1" x14ac:dyDescent="0.45">
      <c r="M2487" s="426"/>
      <c r="N2487" s="406"/>
      <c r="O2487" s="426"/>
      <c r="R2487" s="403" t="str">
        <f>IF(SUM(U2335:U2339)+SUM(U2355:U2364)+SUM(U2462:U2472)+O2480=0,IF(SUM(S2499:S2501)+SUM(S2519:S2526)+SUM(S2626:S2636)+O2644=0,"DELETE"," "),"DELETE")</f>
        <v>DELETE</v>
      </c>
      <c r="T2487" s="381"/>
      <c r="V2487" s="382"/>
      <c r="W2487" s="382"/>
      <c r="X2487" s="382"/>
      <c r="Y2487" s="381"/>
    </row>
    <row r="2488" spans="2:26" ht="31.5" customHeight="1" x14ac:dyDescent="0.45">
      <c r="D2488" s="417" t="s">
        <v>526</v>
      </c>
      <c r="M2488" s="426"/>
      <c r="N2488" s="406"/>
      <c r="O2488" s="426"/>
      <c r="R2488" s="403" t="str">
        <f t="shared" ref="R2488:R2498" si="176">R$2487</f>
        <v>DELETE</v>
      </c>
      <c r="T2488" s="381"/>
      <c r="V2488" s="379"/>
      <c r="X2488" s="379"/>
      <c r="Z2488" s="379"/>
    </row>
    <row r="2489" spans="2:26" ht="31.5" customHeight="1" x14ac:dyDescent="0.45">
      <c r="M2489" s="426"/>
      <c r="N2489" s="406"/>
      <c r="O2489" s="426"/>
      <c r="R2489" s="403" t="str">
        <f t="shared" si="176"/>
        <v>DELETE</v>
      </c>
      <c r="T2489" s="381"/>
    </row>
    <row r="2490" spans="2:26" ht="31.5" customHeight="1" x14ac:dyDescent="0.45">
      <c r="D2490" s="417" t="str">
        <f>Criteria!E14</f>
        <v>SUBSIDIARY ONE 111 (PTY) LTD</v>
      </c>
      <c r="M2490" s="426"/>
      <c r="N2490" s="406"/>
      <c r="O2490" s="347" t="s">
        <v>96</v>
      </c>
      <c r="Q2490" s="292">
        <v>1</v>
      </c>
      <c r="R2490" s="403" t="str">
        <f t="shared" si="176"/>
        <v>DELETE</v>
      </c>
      <c r="T2490" s="381"/>
    </row>
    <row r="2491" spans="2:26" ht="31.5" customHeight="1" x14ac:dyDescent="0.45">
      <c r="D2491" s="405"/>
      <c r="M2491" s="426"/>
      <c r="N2491" s="406"/>
      <c r="O2491" s="426"/>
      <c r="R2491" s="403" t="str">
        <f t="shared" si="176"/>
        <v>DELETE</v>
      </c>
      <c r="T2491" s="381"/>
    </row>
    <row r="2492" spans="2:26" ht="31.5" customHeight="1" x14ac:dyDescent="0.45">
      <c r="M2492" s="426"/>
      <c r="N2492" s="406"/>
      <c r="O2492" s="426"/>
      <c r="R2492" s="403" t="str">
        <f t="shared" si="176"/>
        <v>DELETE</v>
      </c>
      <c r="T2492" s="381"/>
    </row>
    <row r="2493" spans="2:26" ht="31.5" customHeight="1" x14ac:dyDescent="0.45">
      <c r="D2493" s="417" t="s">
        <v>91</v>
      </c>
      <c r="M2493" s="426"/>
      <c r="N2493" s="406"/>
      <c r="O2493" s="426"/>
      <c r="R2493" s="403" t="str">
        <f t="shared" si="176"/>
        <v>DELETE</v>
      </c>
      <c r="T2493" s="381"/>
    </row>
    <row r="2494" spans="2:26" ht="31.5" customHeight="1" x14ac:dyDescent="0.45">
      <c r="D2494" s="417" t="str">
        <f>Criteria!E20</f>
        <v>29 FEBRUARY 2024</v>
      </c>
      <c r="M2494" s="426"/>
      <c r="N2494" s="406"/>
      <c r="O2494" s="426"/>
      <c r="R2494" s="403" t="str">
        <f t="shared" si="176"/>
        <v>DELETE</v>
      </c>
      <c r="T2494" s="381"/>
    </row>
    <row r="2495" spans="2:26" ht="31.5" customHeight="1" x14ac:dyDescent="0.45">
      <c r="M2495" s="426"/>
      <c r="N2495" s="406"/>
      <c r="O2495" s="426"/>
      <c r="R2495" s="403" t="str">
        <f t="shared" si="176"/>
        <v>DELETE</v>
      </c>
      <c r="T2495" s="381"/>
    </row>
    <row r="2496" spans="2:26" ht="31.5" customHeight="1" x14ac:dyDescent="0.45">
      <c r="B2496" s="438"/>
      <c r="C2496" s="439"/>
      <c r="D2496" s="439"/>
      <c r="E2496" s="439"/>
      <c r="F2496" s="439"/>
      <c r="G2496" s="439"/>
      <c r="H2496" s="439"/>
      <c r="I2496" s="439"/>
      <c r="J2496" s="439"/>
      <c r="K2496" s="439"/>
      <c r="L2496" s="439"/>
      <c r="M2496" s="469"/>
      <c r="N2496" s="470"/>
      <c r="O2496" s="469"/>
      <c r="P2496" s="448"/>
      <c r="Q2496" s="440"/>
      <c r="R2496" s="403" t="str">
        <f t="shared" si="176"/>
        <v>DELETE</v>
      </c>
      <c r="T2496" s="381"/>
    </row>
    <row r="2497" spans="2:24" ht="31.5" customHeight="1" x14ac:dyDescent="0.45">
      <c r="B2497" s="441"/>
      <c r="J2497" s="292"/>
      <c r="K2497" s="292" t="s">
        <v>104</v>
      </c>
      <c r="L2497" s="405"/>
      <c r="M2497" s="421"/>
      <c r="N2497" s="292"/>
      <c r="O2497" s="344">
        <f>Criteria!E22</f>
        <v>2024</v>
      </c>
      <c r="P2497" s="295"/>
      <c r="Q2497" s="442"/>
      <c r="R2497" s="403" t="str">
        <f t="shared" si="176"/>
        <v>DELETE</v>
      </c>
      <c r="T2497" s="381"/>
    </row>
    <row r="2498" spans="2:24" ht="31.5" customHeight="1" x14ac:dyDescent="0.45">
      <c r="B2498" s="441"/>
      <c r="J2498" s="292"/>
      <c r="K2498" s="292"/>
      <c r="L2498" s="405"/>
      <c r="M2498" s="421"/>
      <c r="N2498" s="292"/>
      <c r="O2498" s="347"/>
      <c r="P2498" s="295"/>
      <c r="Q2498" s="442"/>
      <c r="R2498" s="403" t="str">
        <f t="shared" si="176"/>
        <v>DELETE</v>
      </c>
      <c r="T2498" s="381"/>
    </row>
    <row r="2499" spans="2:24" ht="31.5" customHeight="1" x14ac:dyDescent="0.45">
      <c r="B2499" s="441"/>
      <c r="C2499" s="417" t="s">
        <v>112</v>
      </c>
      <c r="J2499" s="292"/>
      <c r="K2499" s="292"/>
      <c r="L2499" s="405"/>
      <c r="M2499" s="421"/>
      <c r="N2499" s="292"/>
      <c r="O2499" s="347">
        <f>-SUM(TrialBalanceA!I5:I10)</f>
        <v>0</v>
      </c>
      <c r="P2499" s="295"/>
      <c r="Q2499" s="442"/>
      <c r="R2499" s="403" t="str">
        <f>IF(R2487="DELETE","DELETE",IF(O2499=0,IF(O2501=0," ","DELETE")," "))</f>
        <v>DELETE</v>
      </c>
      <c r="S2499" s="380">
        <f>O2499</f>
        <v>0</v>
      </c>
      <c r="T2499" s="381"/>
      <c r="U2499" s="380"/>
      <c r="V2499" s="380"/>
      <c r="W2499" s="380"/>
      <c r="X2499" s="380"/>
    </row>
    <row r="2500" spans="2:24" ht="31.5" customHeight="1" x14ac:dyDescent="0.45">
      <c r="B2500" s="441"/>
      <c r="C2500" s="417"/>
      <c r="J2500" s="292"/>
      <c r="K2500" s="292"/>
      <c r="L2500" s="405"/>
      <c r="M2500" s="421"/>
      <c r="N2500" s="292"/>
      <c r="O2500" s="347"/>
      <c r="P2500" s="295"/>
      <c r="Q2500" s="442"/>
      <c r="R2500" s="403" t="str">
        <f>R2499</f>
        <v>DELETE</v>
      </c>
      <c r="S2500" s="380"/>
      <c r="T2500" s="381"/>
      <c r="U2500" s="380"/>
      <c r="V2500" s="380"/>
      <c r="W2500" s="380"/>
      <c r="X2500" s="380"/>
    </row>
    <row r="2501" spans="2:24" ht="31.5" customHeight="1" x14ac:dyDescent="0.45">
      <c r="B2501" s="441"/>
      <c r="C2501" s="417" t="s">
        <v>525</v>
      </c>
      <c r="J2501" s="292"/>
      <c r="K2501" s="292"/>
      <c r="L2501" s="405"/>
      <c r="M2501" s="421"/>
      <c r="N2501" s="292"/>
      <c r="O2501" s="347">
        <f>-TrialBalanceA!I11</f>
        <v>0</v>
      </c>
      <c r="P2501" s="295"/>
      <c r="Q2501" s="442"/>
      <c r="R2501" s="403" t="str">
        <f>IF(R$2487="DELETE","DELETE",IF(O2501=0,"DELETE"," "))</f>
        <v>DELETE</v>
      </c>
      <c r="S2501" s="380">
        <f>O2501</f>
        <v>0</v>
      </c>
      <c r="T2501" s="381"/>
      <c r="U2501" s="380"/>
      <c r="V2501" s="380"/>
      <c r="W2501" s="380"/>
      <c r="X2501" s="380"/>
    </row>
    <row r="2502" spans="2:24" ht="31.5" customHeight="1" x14ac:dyDescent="0.45">
      <c r="B2502" s="441"/>
      <c r="C2502" s="417"/>
      <c r="J2502" s="292"/>
      <c r="K2502" s="292"/>
      <c r="L2502" s="405"/>
      <c r="M2502" s="421"/>
      <c r="N2502" s="292"/>
      <c r="O2502" s="347"/>
      <c r="P2502" s="295"/>
      <c r="Q2502" s="442"/>
      <c r="R2502" s="403" t="str">
        <f>R2501</f>
        <v>DELETE</v>
      </c>
      <c r="T2502" s="381"/>
    </row>
    <row r="2503" spans="2:24" ht="31.5" customHeight="1" x14ac:dyDescent="0.45">
      <c r="B2503" s="441"/>
      <c r="C2503" s="417" t="s">
        <v>273</v>
      </c>
      <c r="J2503" s="292"/>
      <c r="K2503" s="292"/>
      <c r="L2503" s="405"/>
      <c r="M2503" s="421"/>
      <c r="N2503" s="292"/>
      <c r="O2503" s="347">
        <f>SUM(O2506:O2513)</f>
        <v>0</v>
      </c>
      <c r="P2503" s="295"/>
      <c r="Q2503" s="442"/>
      <c r="R2503" s="403" t="str">
        <f>IF(R$2487="DELETE","DELETE",IF(O2503=0,"DELETE"," "))</f>
        <v>DELETE</v>
      </c>
      <c r="S2503" s="380">
        <f>-O2503</f>
        <v>0</v>
      </c>
      <c r="T2503" s="381"/>
      <c r="U2503" s="380"/>
      <c r="V2503" s="380"/>
      <c r="W2503" s="380"/>
      <c r="X2503" s="380"/>
    </row>
    <row r="2504" spans="2:24" ht="9" customHeight="1" x14ac:dyDescent="0.45">
      <c r="B2504" s="441"/>
      <c r="C2504" s="417"/>
      <c r="J2504" s="292"/>
      <c r="K2504" s="292"/>
      <c r="L2504" s="405"/>
      <c r="M2504" s="421"/>
      <c r="N2504" s="292"/>
      <c r="O2504" s="347"/>
      <c r="P2504" s="295"/>
      <c r="Q2504" s="442"/>
      <c r="R2504" s="403" t="str">
        <f>R2503</f>
        <v>DELETE</v>
      </c>
      <c r="T2504" s="381"/>
    </row>
    <row r="2505" spans="2:24" ht="9" customHeight="1" x14ac:dyDescent="0.45">
      <c r="B2505" s="441"/>
      <c r="C2505" s="417"/>
      <c r="J2505" s="292"/>
      <c r="K2505" s="292"/>
      <c r="L2505" s="405"/>
      <c r="M2505" s="421"/>
      <c r="N2505" s="292"/>
      <c r="O2505" s="372"/>
      <c r="P2505" s="295"/>
      <c r="Q2505" s="442"/>
      <c r="R2505" s="403" t="str">
        <f>R2504</f>
        <v>DELETE</v>
      </c>
      <c r="T2505" s="381"/>
    </row>
    <row r="2506" spans="2:24" ht="31.5" customHeight="1" x14ac:dyDescent="0.45">
      <c r="B2506" s="441"/>
      <c r="C2506" s="417"/>
      <c r="D2506" s="400" t="s">
        <v>527</v>
      </c>
      <c r="J2506" s="292"/>
      <c r="K2506" s="292"/>
      <c r="L2506" s="405"/>
      <c r="M2506" s="421"/>
      <c r="N2506" s="292"/>
      <c r="O2506" s="373">
        <f>SUM(TrialBalanceA!I13:I16)</f>
        <v>0</v>
      </c>
      <c r="P2506" s="295"/>
      <c r="Q2506" s="442"/>
      <c r="R2506" s="403" t="str">
        <f t="shared" ref="R2506:R2513" si="177">IF(R$2487="DELETE","DELETE",IF(O2506=0,"DELETE"," "))</f>
        <v>DELETE</v>
      </c>
      <c r="T2506" s="381"/>
    </row>
    <row r="2507" spans="2:24" ht="31.5" customHeight="1" x14ac:dyDescent="0.45">
      <c r="B2507" s="441"/>
      <c r="C2507" s="417"/>
      <c r="D2507" s="400" t="s">
        <v>274</v>
      </c>
      <c r="J2507" s="292"/>
      <c r="K2507" s="292"/>
      <c r="L2507" s="405"/>
      <c r="M2507" s="421"/>
      <c r="N2507" s="292"/>
      <c r="O2507" s="373">
        <f>TrialBalanceA!I17</f>
        <v>0</v>
      </c>
      <c r="P2507" s="295"/>
      <c r="Q2507" s="442"/>
      <c r="R2507" s="403" t="str">
        <f t="shared" si="177"/>
        <v>DELETE</v>
      </c>
      <c r="T2507" s="381"/>
    </row>
    <row r="2508" spans="2:24" ht="31.5" customHeight="1" x14ac:dyDescent="0.45">
      <c r="B2508" s="441"/>
      <c r="C2508" s="417"/>
      <c r="D2508" s="400">
        <f>TrialBalanceA!C18</f>
        <v>0</v>
      </c>
      <c r="J2508" s="292"/>
      <c r="K2508" s="292"/>
      <c r="L2508" s="405"/>
      <c r="M2508" s="421"/>
      <c r="N2508" s="292"/>
      <c r="O2508" s="373">
        <f>TrialBalanceA!I18</f>
        <v>0</v>
      </c>
      <c r="P2508" s="295"/>
      <c r="Q2508" s="442"/>
      <c r="R2508" s="403" t="str">
        <f t="shared" si="177"/>
        <v>DELETE</v>
      </c>
      <c r="T2508" s="381"/>
    </row>
    <row r="2509" spans="2:24" ht="31.5" customHeight="1" x14ac:dyDescent="0.45">
      <c r="B2509" s="441"/>
      <c r="C2509" s="417"/>
      <c r="D2509" s="400">
        <f>TrialBalanceA!C19</f>
        <v>0</v>
      </c>
      <c r="J2509" s="292"/>
      <c r="K2509" s="292"/>
      <c r="L2509" s="405"/>
      <c r="M2509" s="421"/>
      <c r="N2509" s="292"/>
      <c r="O2509" s="373">
        <f>TrialBalanceA!I19</f>
        <v>0</v>
      </c>
      <c r="P2509" s="295"/>
      <c r="Q2509" s="442"/>
      <c r="R2509" s="403" t="str">
        <f t="shared" si="177"/>
        <v>DELETE</v>
      </c>
      <c r="T2509" s="381"/>
    </row>
    <row r="2510" spans="2:24" ht="31.5" customHeight="1" x14ac:dyDescent="0.45">
      <c r="B2510" s="441"/>
      <c r="C2510" s="417"/>
      <c r="D2510" s="400">
        <f>TrialBalanceA!C20</f>
        <v>0</v>
      </c>
      <c r="J2510" s="292"/>
      <c r="K2510" s="292"/>
      <c r="L2510" s="405"/>
      <c r="M2510" s="421"/>
      <c r="N2510" s="292"/>
      <c r="O2510" s="373">
        <f>TrialBalanceA!I20</f>
        <v>0</v>
      </c>
      <c r="P2510" s="295"/>
      <c r="Q2510" s="442"/>
      <c r="R2510" s="403" t="str">
        <f t="shared" si="177"/>
        <v>DELETE</v>
      </c>
      <c r="T2510" s="381"/>
    </row>
    <row r="2511" spans="2:24" ht="31.5" customHeight="1" x14ac:dyDescent="0.45">
      <c r="B2511" s="441"/>
      <c r="C2511" s="417"/>
      <c r="D2511" s="400">
        <f>TrialBalanceA!C21</f>
        <v>0</v>
      </c>
      <c r="J2511" s="292"/>
      <c r="K2511" s="292"/>
      <c r="L2511" s="405"/>
      <c r="M2511" s="421"/>
      <c r="N2511" s="292"/>
      <c r="O2511" s="373">
        <f>TrialBalanceA!I21</f>
        <v>0</v>
      </c>
      <c r="P2511" s="295"/>
      <c r="Q2511" s="442"/>
      <c r="R2511" s="403" t="str">
        <f t="shared" si="177"/>
        <v>DELETE</v>
      </c>
      <c r="T2511" s="381"/>
    </row>
    <row r="2512" spans="2:24" ht="31.5" customHeight="1" x14ac:dyDescent="0.45">
      <c r="B2512" s="441"/>
      <c r="C2512" s="417"/>
      <c r="D2512" s="400">
        <f>TrialBalanceA!C22</f>
        <v>0</v>
      </c>
      <c r="J2512" s="292"/>
      <c r="K2512" s="292"/>
      <c r="L2512" s="405"/>
      <c r="M2512" s="421"/>
      <c r="N2512" s="292"/>
      <c r="O2512" s="373">
        <f>TrialBalanceA!I22</f>
        <v>0</v>
      </c>
      <c r="P2512" s="295"/>
      <c r="Q2512" s="442"/>
      <c r="R2512" s="403" t="str">
        <f t="shared" si="177"/>
        <v>DELETE</v>
      </c>
      <c r="T2512" s="381"/>
    </row>
    <row r="2513" spans="2:24" ht="31.5" customHeight="1" x14ac:dyDescent="0.45">
      <c r="B2513" s="441"/>
      <c r="C2513" s="417"/>
      <c r="D2513" s="400" t="s">
        <v>528</v>
      </c>
      <c r="J2513" s="292"/>
      <c r="K2513" s="292"/>
      <c r="L2513" s="405"/>
      <c r="M2513" s="421"/>
      <c r="N2513" s="292"/>
      <c r="O2513" s="373">
        <f>SUM(TrialBalanceA!I23:I26)</f>
        <v>0</v>
      </c>
      <c r="P2513" s="295"/>
      <c r="Q2513" s="442"/>
      <c r="R2513" s="403" t="str">
        <f t="shared" si="177"/>
        <v>DELETE</v>
      </c>
      <c r="T2513" s="381"/>
    </row>
    <row r="2514" spans="2:24" ht="9" customHeight="1" x14ac:dyDescent="0.45">
      <c r="B2514" s="441"/>
      <c r="C2514" s="417"/>
      <c r="J2514" s="292"/>
      <c r="K2514" s="292"/>
      <c r="L2514" s="405"/>
      <c r="M2514" s="421"/>
      <c r="N2514" s="292"/>
      <c r="O2514" s="374"/>
      <c r="P2514" s="295"/>
      <c r="Q2514" s="442"/>
      <c r="R2514" s="403" t="str">
        <f>R2503</f>
        <v>DELETE</v>
      </c>
      <c r="T2514" s="381"/>
    </row>
    <row r="2515" spans="2:24" ht="9" customHeight="1" x14ac:dyDescent="0.45">
      <c r="B2515" s="441"/>
      <c r="C2515" s="417"/>
      <c r="J2515" s="292"/>
      <c r="K2515" s="292"/>
      <c r="L2515" s="405"/>
      <c r="M2515" s="421"/>
      <c r="N2515" s="292"/>
      <c r="O2515" s="349"/>
      <c r="P2515" s="295"/>
      <c r="Q2515" s="442"/>
      <c r="R2515" s="403" t="str">
        <f>R2503</f>
        <v>DELETE</v>
      </c>
      <c r="T2515" s="381"/>
    </row>
    <row r="2516" spans="2:24" ht="9" customHeight="1" x14ac:dyDescent="0.45">
      <c r="B2516" s="441"/>
      <c r="C2516" s="417"/>
      <c r="J2516" s="292"/>
      <c r="K2516" s="292"/>
      <c r="L2516" s="405"/>
      <c r="M2516" s="421"/>
      <c r="N2516" s="292"/>
      <c r="O2516" s="347"/>
      <c r="P2516" s="295"/>
      <c r="Q2516" s="442"/>
      <c r="R2516" s="403" t="str">
        <f>R2515</f>
        <v>DELETE</v>
      </c>
      <c r="T2516" s="381"/>
    </row>
    <row r="2517" spans="2:24" ht="31.5" customHeight="1" x14ac:dyDescent="0.45">
      <c r="B2517" s="441"/>
      <c r="C2517" s="315" t="str">
        <f>IF(O2517&lt;0,"GROSS LOSS","GROSS PROFIT")</f>
        <v>GROSS PROFIT</v>
      </c>
      <c r="J2517" s="292"/>
      <c r="K2517" s="292"/>
      <c r="L2517" s="405"/>
      <c r="M2517" s="421"/>
      <c r="N2517" s="292"/>
      <c r="O2517" s="347">
        <f>SUM(S2499:S2514)</f>
        <v>0</v>
      </c>
      <c r="P2517" s="295"/>
      <c r="Q2517" s="442"/>
      <c r="R2517" s="403" t="str">
        <f>R2516</f>
        <v>DELETE</v>
      </c>
      <c r="T2517" s="381"/>
    </row>
    <row r="2518" spans="2:24" ht="31.5" customHeight="1" x14ac:dyDescent="0.45">
      <c r="B2518" s="441"/>
      <c r="C2518" s="417"/>
      <c r="J2518" s="292"/>
      <c r="K2518" s="292"/>
      <c r="L2518" s="405"/>
      <c r="M2518" s="421"/>
      <c r="N2518" s="292"/>
      <c r="O2518" s="347"/>
      <c r="P2518" s="295"/>
      <c r="Q2518" s="442"/>
      <c r="R2518" s="403" t="str">
        <f>R2517</f>
        <v>DELETE</v>
      </c>
      <c r="T2518" s="381"/>
    </row>
    <row r="2519" spans="2:24" ht="31.5" customHeight="1" x14ac:dyDescent="0.45">
      <c r="B2519" s="441"/>
      <c r="C2519" s="417" t="s">
        <v>323</v>
      </c>
      <c r="J2519" s="292"/>
      <c r="K2519" s="292"/>
      <c r="L2519" s="405"/>
      <c r="M2519" s="421"/>
      <c r="N2519" s="292"/>
      <c r="O2519" s="347">
        <f>SUM(O2521:O2528)</f>
        <v>0</v>
      </c>
      <c r="P2519" s="295"/>
      <c r="Q2519" s="442"/>
      <c r="R2519" s="403" t="str">
        <f t="shared" ref="R2519" si="178">IF(R$2487="DELETE","DELETE",IF(O2519=0,"DELETE"," "))</f>
        <v>DELETE</v>
      </c>
      <c r="S2519" s="380">
        <f>O2519</f>
        <v>0</v>
      </c>
      <c r="T2519" s="381"/>
      <c r="U2519" s="380"/>
      <c r="V2519" s="380"/>
      <c r="W2519" s="380"/>
      <c r="X2519" s="380"/>
    </row>
    <row r="2520" spans="2:24" ht="9" customHeight="1" x14ac:dyDescent="0.45">
      <c r="B2520" s="441"/>
      <c r="C2520" s="417"/>
      <c r="J2520" s="292"/>
      <c r="K2520" s="292"/>
      <c r="L2520" s="405"/>
      <c r="M2520" s="421"/>
      <c r="N2520" s="292"/>
      <c r="O2520" s="347"/>
      <c r="P2520" s="295"/>
      <c r="Q2520" s="442"/>
      <c r="R2520" s="403" t="str">
        <f>R2519</f>
        <v>DELETE</v>
      </c>
      <c r="T2520" s="381"/>
    </row>
    <row r="2521" spans="2:24" ht="9" customHeight="1" x14ac:dyDescent="0.45">
      <c r="B2521" s="441"/>
      <c r="C2521" s="417"/>
      <c r="J2521" s="292"/>
      <c r="K2521" s="292"/>
      <c r="L2521" s="405"/>
      <c r="M2521" s="421"/>
      <c r="N2521" s="292"/>
      <c r="O2521" s="372"/>
      <c r="P2521" s="295"/>
      <c r="Q2521" s="442"/>
      <c r="R2521" s="403" t="str">
        <f>R2519</f>
        <v>DELETE</v>
      </c>
      <c r="T2521" s="381"/>
    </row>
    <row r="2522" spans="2:24" ht="31.5" customHeight="1" x14ac:dyDescent="0.45">
      <c r="B2522" s="441"/>
      <c r="C2522" s="417"/>
      <c r="D2522" s="400" t="str">
        <f>TrialBalanceA!C28</f>
        <v>Insurance claims - Subsidiary One 111 (Pty) Ltd</v>
      </c>
      <c r="J2522" s="292"/>
      <c r="K2522" s="292"/>
      <c r="L2522" s="405"/>
      <c r="M2522" s="421"/>
      <c r="N2522" s="292"/>
      <c r="O2522" s="373">
        <f>-TrialBalanceA!I28</f>
        <v>0</v>
      </c>
      <c r="P2522" s="295"/>
      <c r="Q2522" s="442"/>
      <c r="R2522" s="403" t="str">
        <f t="shared" ref="R2522:R2526" si="179">IF(R$2487="DELETE","DELETE",IF(O2522=0,"DELETE"," "))</f>
        <v>DELETE</v>
      </c>
      <c r="T2522" s="381"/>
    </row>
    <row r="2523" spans="2:24" ht="31.5" customHeight="1" x14ac:dyDescent="0.45">
      <c r="B2523" s="441"/>
      <c r="C2523" s="417"/>
      <c r="D2523" s="400" t="str">
        <f>TrialBalanceA!C29</f>
        <v>Government grants received</v>
      </c>
      <c r="J2523" s="292"/>
      <c r="K2523" s="292"/>
      <c r="L2523" s="405"/>
      <c r="M2523" s="421"/>
      <c r="N2523" s="292"/>
      <c r="O2523" s="373">
        <f>-TrialBalanceA!I29</f>
        <v>0</v>
      </c>
      <c r="P2523" s="295"/>
      <c r="Q2523" s="442"/>
      <c r="R2523" s="403" t="str">
        <f t="shared" si="179"/>
        <v>DELETE</v>
      </c>
      <c r="T2523" s="381"/>
    </row>
    <row r="2524" spans="2:24" ht="31.5" customHeight="1" x14ac:dyDescent="0.45">
      <c r="B2524" s="441"/>
      <c r="C2524" s="417"/>
      <c r="D2524" s="400">
        <f>TrialBalanceA!C30</f>
        <v>0</v>
      </c>
      <c r="J2524" s="292"/>
      <c r="K2524" s="292"/>
      <c r="L2524" s="405"/>
      <c r="M2524" s="421"/>
      <c r="N2524" s="292"/>
      <c r="O2524" s="373">
        <f>-TrialBalanceA!I30</f>
        <v>0</v>
      </c>
      <c r="P2524" s="295"/>
      <c r="Q2524" s="442"/>
      <c r="R2524" s="403" t="str">
        <f t="shared" si="179"/>
        <v>DELETE</v>
      </c>
      <c r="T2524" s="381"/>
    </row>
    <row r="2525" spans="2:24" ht="31.5" customHeight="1" x14ac:dyDescent="0.45">
      <c r="B2525" s="441"/>
      <c r="C2525" s="417"/>
      <c r="D2525" s="400">
        <f>TrialBalanceA!C31</f>
        <v>0</v>
      </c>
      <c r="J2525" s="292"/>
      <c r="K2525" s="292"/>
      <c r="L2525" s="405"/>
      <c r="M2525" s="421"/>
      <c r="N2525" s="292"/>
      <c r="O2525" s="373">
        <f>-TrialBalanceA!I31</f>
        <v>0</v>
      </c>
      <c r="P2525" s="295"/>
      <c r="Q2525" s="442"/>
      <c r="R2525" s="403" t="str">
        <f t="shared" si="179"/>
        <v>DELETE</v>
      </c>
      <c r="T2525" s="381"/>
    </row>
    <row r="2526" spans="2:24" ht="31.5" customHeight="1" x14ac:dyDescent="0.45">
      <c r="B2526" s="441"/>
      <c r="C2526" s="417"/>
      <c r="D2526" s="400">
        <f>TrialBalanceA!C32</f>
        <v>0</v>
      </c>
      <c r="J2526" s="292"/>
      <c r="K2526" s="292"/>
      <c r="L2526" s="405"/>
      <c r="M2526" s="421"/>
      <c r="N2526" s="292"/>
      <c r="O2526" s="373">
        <f>-TrialBalanceA!I32</f>
        <v>0</v>
      </c>
      <c r="P2526" s="295"/>
      <c r="Q2526" s="442"/>
      <c r="R2526" s="403" t="str">
        <f t="shared" si="179"/>
        <v>DELETE</v>
      </c>
      <c r="T2526" s="381"/>
    </row>
    <row r="2527" spans="2:24" ht="31.5" customHeight="1" x14ac:dyDescent="0.45">
      <c r="B2527" s="441"/>
      <c r="C2527" s="417"/>
      <c r="D2527" s="400" t="str">
        <f>TrialBalanceA!C33</f>
        <v>Recoupment of depreciation</v>
      </c>
      <c r="J2527" s="292"/>
      <c r="K2527" s="292"/>
      <c r="L2527" s="405"/>
      <c r="M2527" s="421"/>
      <c r="N2527" s="292"/>
      <c r="O2527" s="373">
        <f>-TrialBalanceA!I33</f>
        <v>0</v>
      </c>
      <c r="P2527" s="295"/>
      <c r="Q2527" s="442"/>
      <c r="R2527" s="403" t="str">
        <f t="shared" ref="R2527" si="180">IF(R$2487="DELETE","DELETE",IF(O2527=0,"DELETE"," "))</f>
        <v>DELETE</v>
      </c>
      <c r="T2527" s="381"/>
    </row>
    <row r="2528" spans="2:24" ht="9" customHeight="1" x14ac:dyDescent="0.45">
      <c r="B2528" s="441"/>
      <c r="C2528" s="417"/>
      <c r="J2528" s="292"/>
      <c r="K2528" s="292"/>
      <c r="L2528" s="405"/>
      <c r="M2528" s="421"/>
      <c r="N2528" s="292"/>
      <c r="O2528" s="374"/>
      <c r="P2528" s="295"/>
      <c r="Q2528" s="442"/>
      <c r="R2528" s="403" t="str">
        <f>R2519</f>
        <v>DELETE</v>
      </c>
      <c r="T2528" s="381"/>
    </row>
    <row r="2529" spans="2:24" ht="9" customHeight="1" x14ac:dyDescent="0.45">
      <c r="B2529" s="441"/>
      <c r="C2529" s="417"/>
      <c r="J2529" s="292"/>
      <c r="K2529" s="292"/>
      <c r="L2529" s="405"/>
      <c r="M2529" s="421"/>
      <c r="N2529" s="292"/>
      <c r="O2529" s="364"/>
      <c r="P2529" s="295"/>
      <c r="Q2529" s="442"/>
      <c r="R2529" s="403" t="str">
        <f>R2528</f>
        <v>DELETE</v>
      </c>
      <c r="T2529" s="381"/>
    </row>
    <row r="2530" spans="2:24" ht="9" customHeight="1" x14ac:dyDescent="0.45">
      <c r="B2530" s="441"/>
      <c r="C2530" s="417"/>
      <c r="J2530" s="292"/>
      <c r="K2530" s="292"/>
      <c r="L2530" s="405"/>
      <c r="M2530" s="421"/>
      <c r="N2530" s="292"/>
      <c r="O2530" s="347"/>
      <c r="P2530" s="295"/>
      <c r="Q2530" s="442"/>
      <c r="R2530" s="403" t="str">
        <f>R2529</f>
        <v>DELETE</v>
      </c>
      <c r="T2530" s="381"/>
    </row>
    <row r="2531" spans="2:24" ht="31.5" customHeight="1" x14ac:dyDescent="0.45">
      <c r="B2531" s="441"/>
      <c r="C2531" s="417"/>
      <c r="J2531" s="292"/>
      <c r="K2531" s="292"/>
      <c r="L2531" s="405"/>
      <c r="M2531" s="421"/>
      <c r="N2531" s="292"/>
      <c r="O2531" s="347">
        <f>SUM(S2499:S2519)</f>
        <v>0</v>
      </c>
      <c r="P2531" s="295"/>
      <c r="Q2531" s="442"/>
      <c r="R2531" s="403" t="str">
        <f>R2519</f>
        <v>DELETE</v>
      </c>
      <c r="T2531" s="381"/>
    </row>
    <row r="2532" spans="2:24" ht="31.5" customHeight="1" x14ac:dyDescent="0.45">
      <c r="B2532" s="441"/>
      <c r="C2532" s="417"/>
      <c r="J2532" s="292"/>
      <c r="K2532" s="292"/>
      <c r="L2532" s="405"/>
      <c r="M2532" s="421"/>
      <c r="N2532" s="292"/>
      <c r="O2532" s="347"/>
      <c r="P2532" s="295"/>
      <c r="Q2532" s="442"/>
      <c r="R2532" s="403" t="str">
        <f>R2531</f>
        <v>DELETE</v>
      </c>
      <c r="T2532" s="381"/>
    </row>
    <row r="2533" spans="2:24" ht="31.5" customHeight="1" x14ac:dyDescent="0.45">
      <c r="B2533" s="441"/>
      <c r="C2533" s="417" t="s">
        <v>996</v>
      </c>
      <c r="J2533" s="292"/>
      <c r="K2533" s="292"/>
      <c r="L2533" s="405"/>
      <c r="M2533" s="421"/>
      <c r="N2533" s="292"/>
      <c r="O2533" s="347">
        <f>SUM(O2535:O2563)</f>
        <v>0</v>
      </c>
      <c r="P2533" s="295"/>
      <c r="Q2533" s="442"/>
      <c r="R2533" s="403" t="str">
        <f t="shared" ref="R2533" si="181">IF(R$2487="DELETE","DELETE",IF(O2533=0,"DELETE"," "))</f>
        <v>DELETE</v>
      </c>
      <c r="S2533" s="380">
        <f>-O2533</f>
        <v>0</v>
      </c>
      <c r="T2533" s="381"/>
      <c r="U2533" s="380"/>
      <c r="V2533" s="380"/>
      <c r="W2533" s="380"/>
      <c r="X2533" s="380"/>
    </row>
    <row r="2534" spans="2:24" ht="9" customHeight="1" x14ac:dyDescent="0.45">
      <c r="B2534" s="441"/>
      <c r="C2534" s="417"/>
      <c r="J2534" s="292"/>
      <c r="K2534" s="292"/>
      <c r="L2534" s="405"/>
      <c r="M2534" s="421"/>
      <c r="N2534" s="292"/>
      <c r="O2534" s="347"/>
      <c r="P2534" s="295"/>
      <c r="Q2534" s="442"/>
      <c r="R2534" s="403" t="str">
        <f>R2533</f>
        <v>DELETE</v>
      </c>
      <c r="T2534" s="381"/>
    </row>
    <row r="2535" spans="2:24" ht="9" customHeight="1" x14ac:dyDescent="0.45">
      <c r="B2535" s="441"/>
      <c r="C2535" s="417"/>
      <c r="J2535" s="292"/>
      <c r="K2535" s="292"/>
      <c r="L2535" s="405"/>
      <c r="M2535" s="421"/>
      <c r="N2535" s="292"/>
      <c r="O2535" s="372"/>
      <c r="P2535" s="295"/>
      <c r="Q2535" s="442"/>
      <c r="R2535" s="403" t="str">
        <f>R2534</f>
        <v>DELETE</v>
      </c>
      <c r="T2535" s="381"/>
    </row>
    <row r="2536" spans="2:24" ht="31.5" customHeight="1" x14ac:dyDescent="0.45">
      <c r="B2536" s="441"/>
      <c r="C2536" s="417"/>
      <c r="D2536" s="400" t="s">
        <v>275</v>
      </c>
      <c r="J2536" s="292"/>
      <c r="K2536" s="292"/>
      <c r="L2536" s="405"/>
      <c r="M2536" s="421"/>
      <c r="N2536" s="292"/>
      <c r="O2536" s="373">
        <f>TrialBalanceA!I40</f>
        <v>0</v>
      </c>
      <c r="P2536" s="295"/>
      <c r="Q2536" s="442"/>
      <c r="R2536" s="403" t="str">
        <f t="shared" ref="R2536:R2562" si="182">IF(R$2487="DELETE","DELETE",IF(O2536=0,"DELETE"," "))</f>
        <v>DELETE</v>
      </c>
      <c r="T2536" s="381"/>
    </row>
    <row r="2537" spans="2:24" ht="31.5" customHeight="1" x14ac:dyDescent="0.45">
      <c r="B2537" s="441"/>
      <c r="C2537" s="417"/>
      <c r="D2537" s="400" t="s">
        <v>702</v>
      </c>
      <c r="J2537" s="292"/>
      <c r="K2537" s="292"/>
      <c r="L2537" s="405"/>
      <c r="M2537" s="421"/>
      <c r="N2537" s="292"/>
      <c r="O2537" s="373">
        <f>TrialBalanceA!I41</f>
        <v>0</v>
      </c>
      <c r="P2537" s="295"/>
      <c r="Q2537" s="442"/>
      <c r="R2537" s="403" t="str">
        <f t="shared" si="182"/>
        <v>DELETE</v>
      </c>
      <c r="T2537" s="381"/>
    </row>
    <row r="2538" spans="2:24" ht="31.5" customHeight="1" x14ac:dyDescent="0.45">
      <c r="B2538" s="441"/>
      <c r="C2538" s="417"/>
      <c r="D2538" s="400" t="s">
        <v>276</v>
      </c>
      <c r="J2538" s="292"/>
      <c r="K2538" s="292"/>
      <c r="L2538" s="405"/>
      <c r="M2538" s="421"/>
      <c r="N2538" s="292"/>
      <c r="O2538" s="373">
        <f>TrialBalanceA!I42</f>
        <v>0</v>
      </c>
      <c r="P2538" s="295"/>
      <c r="Q2538" s="442"/>
      <c r="R2538" s="403" t="str">
        <f t="shared" si="182"/>
        <v>DELETE</v>
      </c>
      <c r="T2538" s="381"/>
    </row>
    <row r="2539" spans="2:24" ht="31.5" customHeight="1" x14ac:dyDescent="0.45">
      <c r="B2539" s="441"/>
      <c r="C2539" s="417"/>
      <c r="D2539" s="400" t="s">
        <v>277</v>
      </c>
      <c r="J2539" s="292"/>
      <c r="K2539" s="292">
        <f>C$940</f>
        <v>5.2999999999999989</v>
      </c>
      <c r="L2539" s="405"/>
      <c r="M2539" s="421"/>
      <c r="N2539" s="292"/>
      <c r="O2539" s="373">
        <f>SUM(TrialBalanceA!I44:I46)</f>
        <v>0</v>
      </c>
      <c r="P2539" s="295"/>
      <c r="Q2539" s="442"/>
      <c r="R2539" s="403" t="str">
        <f t="shared" si="182"/>
        <v>DELETE</v>
      </c>
      <c r="T2539" s="381"/>
    </row>
    <row r="2540" spans="2:24" ht="31.5" customHeight="1" x14ac:dyDescent="0.45">
      <c r="B2540" s="441"/>
      <c r="C2540" s="417"/>
      <c r="D2540" s="400" t="s">
        <v>529</v>
      </c>
      <c r="J2540" s="292"/>
      <c r="K2540" s="292"/>
      <c r="L2540" s="405"/>
      <c r="M2540" s="421"/>
      <c r="N2540" s="292"/>
      <c r="O2540" s="373">
        <f>TrialBalanceA!I47</f>
        <v>0</v>
      </c>
      <c r="P2540" s="295"/>
      <c r="Q2540" s="442"/>
      <c r="R2540" s="403" t="str">
        <f t="shared" si="182"/>
        <v>DELETE</v>
      </c>
      <c r="S2540" s="383"/>
      <c r="T2540" s="381"/>
      <c r="U2540" s="383"/>
      <c r="V2540" s="383"/>
      <c r="W2540" s="383"/>
      <c r="X2540" s="383"/>
    </row>
    <row r="2541" spans="2:24" ht="31.5" customHeight="1" x14ac:dyDescent="0.45">
      <c r="B2541" s="441"/>
      <c r="C2541" s="417"/>
      <c r="D2541" s="400" t="s">
        <v>725</v>
      </c>
      <c r="J2541" s="292"/>
      <c r="K2541" s="292"/>
      <c r="L2541" s="405"/>
      <c r="M2541" s="421"/>
      <c r="N2541" s="292"/>
      <c r="O2541" s="373">
        <f>TrialBalanceA!I48</f>
        <v>0</v>
      </c>
      <c r="P2541" s="295"/>
      <c r="Q2541" s="442"/>
      <c r="R2541" s="403" t="str">
        <f t="shared" si="182"/>
        <v>DELETE</v>
      </c>
      <c r="T2541" s="381"/>
    </row>
    <row r="2542" spans="2:24" ht="31.5" customHeight="1" x14ac:dyDescent="0.45">
      <c r="B2542" s="441"/>
      <c r="C2542" s="417"/>
      <c r="D2542" s="400" t="s">
        <v>59</v>
      </c>
      <c r="J2542" s="292"/>
      <c r="K2542" s="292"/>
      <c r="L2542" s="405"/>
      <c r="M2542" s="421"/>
      <c r="N2542" s="292"/>
      <c r="O2542" s="373">
        <f>TrialBalanceA!I49</f>
        <v>0</v>
      </c>
      <c r="P2542" s="295"/>
      <c r="Q2542" s="442"/>
      <c r="R2542" s="403" t="str">
        <f t="shared" si="182"/>
        <v>DELETE</v>
      </c>
      <c r="T2542" s="381"/>
    </row>
    <row r="2543" spans="2:24" ht="31.5" customHeight="1" x14ac:dyDescent="0.45">
      <c r="B2543" s="441"/>
      <c r="C2543" s="417"/>
      <c r="D2543" s="400" t="s">
        <v>278</v>
      </c>
      <c r="J2543" s="292"/>
      <c r="K2543" s="292"/>
      <c r="L2543" s="405"/>
      <c r="M2543" s="421"/>
      <c r="N2543" s="292"/>
      <c r="O2543" s="373">
        <f>TrialBalanceA!I50</f>
        <v>0</v>
      </c>
      <c r="P2543" s="295"/>
      <c r="Q2543" s="442"/>
      <c r="R2543" s="403" t="str">
        <f t="shared" si="182"/>
        <v>DELETE</v>
      </c>
      <c r="T2543" s="381"/>
    </row>
    <row r="2544" spans="2:24" ht="31.5" customHeight="1" x14ac:dyDescent="0.45">
      <c r="B2544" s="441"/>
      <c r="C2544" s="417"/>
      <c r="D2544" s="400" t="s">
        <v>546</v>
      </c>
      <c r="J2544" s="292"/>
      <c r="K2544" s="292"/>
      <c r="L2544" s="405"/>
      <c r="M2544" s="421"/>
      <c r="N2544" s="292"/>
      <c r="O2544" s="373">
        <f>SUM(TrialBalanceA!I51:I52)</f>
        <v>0</v>
      </c>
      <c r="P2544" s="295"/>
      <c r="Q2544" s="442"/>
      <c r="R2544" s="403" t="str">
        <f t="shared" si="182"/>
        <v>DELETE</v>
      </c>
      <c r="T2544" s="381"/>
    </row>
    <row r="2545" spans="2:20" ht="31.5" customHeight="1" x14ac:dyDescent="0.45">
      <c r="B2545" s="441"/>
      <c r="C2545" s="417"/>
      <c r="D2545" s="400" t="s">
        <v>545</v>
      </c>
      <c r="J2545" s="292"/>
      <c r="K2545" s="292"/>
      <c r="L2545" s="405"/>
      <c r="M2545" s="421"/>
      <c r="N2545" s="292"/>
      <c r="O2545" s="373">
        <f>TrialBalanceA!I53</f>
        <v>0</v>
      </c>
      <c r="P2545" s="295"/>
      <c r="Q2545" s="442"/>
      <c r="R2545" s="403" t="str">
        <f t="shared" si="182"/>
        <v>DELETE</v>
      </c>
      <c r="T2545" s="381"/>
    </row>
    <row r="2546" spans="2:20" ht="31.5" customHeight="1" x14ac:dyDescent="0.45">
      <c r="B2546" s="441"/>
      <c r="C2546" s="417"/>
      <c r="D2546" s="400" t="s">
        <v>530</v>
      </c>
      <c r="J2546" s="292"/>
      <c r="K2546" s="292"/>
      <c r="L2546" s="405"/>
      <c r="M2546" s="421"/>
      <c r="N2546" s="292"/>
      <c r="O2546" s="373">
        <f>SUM(TrialBalanceA!I55:I59)</f>
        <v>0</v>
      </c>
      <c r="P2546" s="295"/>
      <c r="Q2546" s="442"/>
      <c r="R2546" s="403" t="str">
        <f t="shared" si="182"/>
        <v>DELETE</v>
      </c>
      <c r="T2546" s="381"/>
    </row>
    <row r="2547" spans="2:20" ht="31.5" customHeight="1" x14ac:dyDescent="0.45">
      <c r="B2547" s="441"/>
      <c r="C2547" s="417"/>
      <c r="D2547" s="400" t="s">
        <v>512</v>
      </c>
      <c r="J2547" s="292"/>
      <c r="K2547" s="292">
        <f>FS!C$908</f>
        <v>5.1999999999999993</v>
      </c>
      <c r="L2547" s="405"/>
      <c r="M2547" s="421"/>
      <c r="N2547" s="292"/>
      <c r="O2547" s="373">
        <f>SUM(TrialBalanceA!I61:I63)</f>
        <v>0</v>
      </c>
      <c r="P2547" s="295"/>
      <c r="Q2547" s="442"/>
      <c r="R2547" s="403" t="str">
        <f t="shared" si="182"/>
        <v>DELETE</v>
      </c>
      <c r="T2547" s="381"/>
    </row>
    <row r="2548" spans="2:20" ht="31.5" customHeight="1" x14ac:dyDescent="0.45">
      <c r="B2548" s="441"/>
      <c r="C2548" s="417"/>
      <c r="D2548" s="400" t="s">
        <v>62</v>
      </c>
      <c r="J2548" s="292"/>
      <c r="K2548" s="292"/>
      <c r="L2548" s="405"/>
      <c r="M2548" s="421"/>
      <c r="N2548" s="292"/>
      <c r="O2548" s="373">
        <f>TrialBalanceA!I64</f>
        <v>0</v>
      </c>
      <c r="P2548" s="295"/>
      <c r="Q2548" s="442"/>
      <c r="R2548" s="403" t="str">
        <f t="shared" si="182"/>
        <v>DELETE</v>
      </c>
      <c r="T2548" s="381"/>
    </row>
    <row r="2549" spans="2:20" ht="31.5" customHeight="1" x14ac:dyDescent="0.45">
      <c r="B2549" s="441"/>
      <c r="C2549" s="417"/>
      <c r="D2549" s="400" t="s">
        <v>253</v>
      </c>
      <c r="J2549" s="292"/>
      <c r="K2549" s="292"/>
      <c r="L2549" s="405"/>
      <c r="M2549" s="421"/>
      <c r="N2549" s="292"/>
      <c r="O2549" s="373">
        <f>SUM(TrialBalanceA!I65:I67)</f>
        <v>0</v>
      </c>
      <c r="P2549" s="295"/>
      <c r="Q2549" s="442"/>
      <c r="R2549" s="403" t="str">
        <f t="shared" si="182"/>
        <v>DELETE</v>
      </c>
      <c r="T2549" s="381"/>
    </row>
    <row r="2550" spans="2:20" ht="31.5" customHeight="1" x14ac:dyDescent="0.45">
      <c r="B2550" s="441"/>
      <c r="C2550" s="417"/>
      <c r="D2550" s="400" t="s">
        <v>726</v>
      </c>
      <c r="J2550" s="292"/>
      <c r="K2550" s="292"/>
      <c r="L2550" s="405"/>
      <c r="M2550" s="421"/>
      <c r="N2550" s="292"/>
      <c r="O2550" s="373">
        <f>SUM(TrialBalanceA!I68:I69)</f>
        <v>0</v>
      </c>
      <c r="P2550" s="295"/>
      <c r="Q2550" s="442"/>
      <c r="R2550" s="403" t="str">
        <f t="shared" si="182"/>
        <v>DELETE</v>
      </c>
      <c r="T2550" s="381"/>
    </row>
    <row r="2551" spans="2:20" ht="31.5" customHeight="1" x14ac:dyDescent="0.45">
      <c r="B2551" s="441"/>
      <c r="C2551" s="417"/>
      <c r="D2551" s="400" t="s">
        <v>254</v>
      </c>
      <c r="J2551" s="292"/>
      <c r="K2551" s="292"/>
      <c r="L2551" s="405"/>
      <c r="M2551" s="421"/>
      <c r="N2551" s="292"/>
      <c r="O2551" s="373">
        <f>TrialBalanceA!I70</f>
        <v>0</v>
      </c>
      <c r="P2551" s="295"/>
      <c r="Q2551" s="442"/>
      <c r="R2551" s="403" t="str">
        <f t="shared" si="182"/>
        <v>DELETE</v>
      </c>
      <c r="T2551" s="381"/>
    </row>
    <row r="2552" spans="2:20" ht="31.5" customHeight="1" x14ac:dyDescent="0.45">
      <c r="B2552" s="441"/>
      <c r="C2552" s="417"/>
      <c r="D2552" s="400" t="s">
        <v>387</v>
      </c>
      <c r="J2552" s="292"/>
      <c r="K2552" s="292"/>
      <c r="L2552" s="405"/>
      <c r="M2552" s="421"/>
      <c r="N2552" s="292"/>
      <c r="O2552" s="373">
        <f>TrialBalanceA!I71</f>
        <v>0</v>
      </c>
      <c r="P2552" s="295"/>
      <c r="Q2552" s="442"/>
      <c r="R2552" s="403" t="str">
        <f t="shared" si="182"/>
        <v>DELETE</v>
      </c>
      <c r="T2552" s="381"/>
    </row>
    <row r="2553" spans="2:20" ht="31.5" customHeight="1" x14ac:dyDescent="0.45">
      <c r="B2553" s="441"/>
      <c r="C2553" s="417"/>
      <c r="D2553" s="400">
        <f>TrialBalanceA!C72</f>
        <v>0</v>
      </c>
      <c r="J2553" s="292"/>
      <c r="K2553" s="292"/>
      <c r="L2553" s="405"/>
      <c r="M2553" s="421"/>
      <c r="N2553" s="292"/>
      <c r="O2553" s="373">
        <f>TrialBalanceA!I72</f>
        <v>0</v>
      </c>
      <c r="P2553" s="295"/>
      <c r="Q2553" s="442"/>
      <c r="R2553" s="403" t="str">
        <f t="shared" si="182"/>
        <v>DELETE</v>
      </c>
      <c r="T2553" s="381"/>
    </row>
    <row r="2554" spans="2:20" ht="31.5" customHeight="1" x14ac:dyDescent="0.45">
      <c r="B2554" s="441"/>
      <c r="C2554" s="417"/>
      <c r="D2554" s="400">
        <f>TrialBalanceA!C73</f>
        <v>0</v>
      </c>
      <c r="J2554" s="292"/>
      <c r="K2554" s="292"/>
      <c r="L2554" s="405"/>
      <c r="M2554" s="421"/>
      <c r="N2554" s="292"/>
      <c r="O2554" s="373">
        <f>TrialBalanceA!I73</f>
        <v>0</v>
      </c>
      <c r="P2554" s="295"/>
      <c r="Q2554" s="442"/>
      <c r="R2554" s="403" t="str">
        <f t="shared" si="182"/>
        <v>DELETE</v>
      </c>
      <c r="T2554" s="381"/>
    </row>
    <row r="2555" spans="2:20" ht="31.5" customHeight="1" x14ac:dyDescent="0.45">
      <c r="B2555" s="441"/>
      <c r="C2555" s="417"/>
      <c r="D2555" s="400">
        <f>TrialBalanceA!C74</f>
        <v>0</v>
      </c>
      <c r="J2555" s="292"/>
      <c r="K2555" s="292"/>
      <c r="L2555" s="405"/>
      <c r="M2555" s="421"/>
      <c r="N2555" s="292"/>
      <c r="O2555" s="373">
        <f>TrialBalanceA!I74</f>
        <v>0</v>
      </c>
      <c r="P2555" s="295"/>
      <c r="Q2555" s="442"/>
      <c r="R2555" s="403" t="str">
        <f t="shared" si="182"/>
        <v>DELETE</v>
      </c>
      <c r="T2555" s="381"/>
    </row>
    <row r="2556" spans="2:20" ht="31.5" customHeight="1" x14ac:dyDescent="0.45">
      <c r="B2556" s="441"/>
      <c r="C2556" s="417"/>
      <c r="D2556" s="400">
        <f>TrialBalanceA!C75</f>
        <v>0</v>
      </c>
      <c r="J2556" s="292"/>
      <c r="K2556" s="292"/>
      <c r="L2556" s="405"/>
      <c r="M2556" s="421"/>
      <c r="N2556" s="292"/>
      <c r="O2556" s="373">
        <f>TrialBalanceA!I75</f>
        <v>0</v>
      </c>
      <c r="P2556" s="295"/>
      <c r="Q2556" s="442"/>
      <c r="R2556" s="403" t="str">
        <f t="shared" si="182"/>
        <v>DELETE</v>
      </c>
      <c r="T2556" s="381"/>
    </row>
    <row r="2557" spans="2:20" ht="31.5" customHeight="1" x14ac:dyDescent="0.45">
      <c r="B2557" s="441"/>
      <c r="C2557" s="417"/>
      <c r="D2557" s="400">
        <f>TrialBalanceA!C76</f>
        <v>0</v>
      </c>
      <c r="J2557" s="292"/>
      <c r="K2557" s="292"/>
      <c r="L2557" s="405"/>
      <c r="M2557" s="421"/>
      <c r="N2557" s="292"/>
      <c r="O2557" s="373">
        <f>TrialBalanceA!I76</f>
        <v>0</v>
      </c>
      <c r="P2557" s="295"/>
      <c r="Q2557" s="442"/>
      <c r="R2557" s="403" t="str">
        <f t="shared" si="182"/>
        <v>DELETE</v>
      </c>
      <c r="T2557" s="381"/>
    </row>
    <row r="2558" spans="2:20" ht="31.5" customHeight="1" x14ac:dyDescent="0.45">
      <c r="B2558" s="441"/>
      <c r="C2558" s="417"/>
      <c r="D2558" s="400">
        <f>TrialBalanceA!C77</f>
        <v>0</v>
      </c>
      <c r="J2558" s="292"/>
      <c r="K2558" s="292"/>
      <c r="L2558" s="405"/>
      <c r="M2558" s="421"/>
      <c r="N2558" s="292"/>
      <c r="O2558" s="373">
        <f>TrialBalanceA!I77</f>
        <v>0</v>
      </c>
      <c r="P2558" s="295"/>
      <c r="Q2558" s="442"/>
      <c r="R2558" s="403" t="str">
        <f t="shared" si="182"/>
        <v>DELETE</v>
      </c>
      <c r="T2558" s="381"/>
    </row>
    <row r="2559" spans="2:20" ht="31.5" customHeight="1" x14ac:dyDescent="0.45">
      <c r="B2559" s="441"/>
      <c r="C2559" s="417"/>
      <c r="D2559" s="400">
        <f>TrialBalanceA!C78</f>
        <v>0</v>
      </c>
      <c r="J2559" s="292"/>
      <c r="K2559" s="292"/>
      <c r="L2559" s="405"/>
      <c r="M2559" s="421"/>
      <c r="N2559" s="292"/>
      <c r="O2559" s="373">
        <f>TrialBalanceA!I78</f>
        <v>0</v>
      </c>
      <c r="P2559" s="295"/>
      <c r="Q2559" s="442"/>
      <c r="R2559" s="403" t="str">
        <f t="shared" si="182"/>
        <v>DELETE</v>
      </c>
      <c r="T2559" s="381"/>
    </row>
    <row r="2560" spans="2:20" ht="31.5" customHeight="1" x14ac:dyDescent="0.45">
      <c r="B2560" s="441"/>
      <c r="C2560" s="417"/>
      <c r="D2560" s="400">
        <f>TrialBalanceA!C79</f>
        <v>0</v>
      </c>
      <c r="J2560" s="292"/>
      <c r="K2560" s="292"/>
      <c r="L2560" s="405"/>
      <c r="M2560" s="421"/>
      <c r="N2560" s="292"/>
      <c r="O2560" s="373">
        <f>TrialBalanceA!I79</f>
        <v>0</v>
      </c>
      <c r="P2560" s="295"/>
      <c r="Q2560" s="442"/>
      <c r="R2560" s="403" t="str">
        <f t="shared" si="182"/>
        <v>DELETE</v>
      </c>
      <c r="T2560" s="381"/>
    </row>
    <row r="2561" spans="2:20" ht="31.5" customHeight="1" x14ac:dyDescent="0.45">
      <c r="B2561" s="441"/>
      <c r="C2561" s="417"/>
      <c r="D2561" s="400">
        <f>TrialBalanceA!C80</f>
        <v>0</v>
      </c>
      <c r="J2561" s="292"/>
      <c r="K2561" s="292"/>
      <c r="L2561" s="405"/>
      <c r="M2561" s="421"/>
      <c r="N2561" s="292"/>
      <c r="O2561" s="373">
        <f>TrialBalanceA!I80</f>
        <v>0</v>
      </c>
      <c r="P2561" s="295"/>
      <c r="Q2561" s="442"/>
      <c r="R2561" s="403" t="str">
        <f t="shared" si="182"/>
        <v>DELETE</v>
      </c>
      <c r="T2561" s="381"/>
    </row>
    <row r="2562" spans="2:20" ht="31.5" customHeight="1" x14ac:dyDescent="0.45">
      <c r="B2562" s="441"/>
      <c r="C2562" s="417"/>
      <c r="D2562" s="400">
        <f>TrialBalanceA!C81</f>
        <v>0</v>
      </c>
      <c r="J2562" s="292"/>
      <c r="K2562" s="292"/>
      <c r="L2562" s="405"/>
      <c r="M2562" s="421"/>
      <c r="N2562" s="292"/>
      <c r="O2562" s="373">
        <f>TrialBalanceA!I81</f>
        <v>0</v>
      </c>
      <c r="P2562" s="295"/>
      <c r="Q2562" s="442"/>
      <c r="R2562" s="403" t="str">
        <f t="shared" si="182"/>
        <v>DELETE</v>
      </c>
      <c r="T2562" s="381"/>
    </row>
    <row r="2563" spans="2:20" ht="9" customHeight="1" x14ac:dyDescent="0.45">
      <c r="B2563" s="441"/>
      <c r="C2563" s="417"/>
      <c r="J2563" s="292"/>
      <c r="K2563" s="292"/>
      <c r="L2563" s="405"/>
      <c r="M2563" s="421"/>
      <c r="N2563" s="292"/>
      <c r="O2563" s="374"/>
      <c r="P2563" s="295"/>
      <c r="Q2563" s="442"/>
      <c r="R2563" s="403" t="str">
        <f>R2533</f>
        <v>DELETE</v>
      </c>
      <c r="T2563" s="381"/>
    </row>
    <row r="2564" spans="2:20" ht="9" customHeight="1" x14ac:dyDescent="0.45">
      <c r="B2564" s="441"/>
      <c r="C2564" s="417"/>
      <c r="J2564" s="292"/>
      <c r="K2564" s="292"/>
      <c r="L2564" s="405"/>
      <c r="M2564" s="421"/>
      <c r="N2564" s="292"/>
      <c r="O2564" s="349"/>
      <c r="P2564" s="295"/>
      <c r="Q2564" s="442"/>
      <c r="R2564" s="403" t="str">
        <f t="shared" ref="R2564:R2584" si="183">R$2487</f>
        <v>DELETE</v>
      </c>
      <c r="T2564" s="381"/>
    </row>
    <row r="2565" spans="2:20" ht="9" customHeight="1" x14ac:dyDescent="0.45">
      <c r="B2565" s="441"/>
      <c r="C2565" s="417"/>
      <c r="J2565" s="292"/>
      <c r="K2565" s="292"/>
      <c r="L2565" s="405"/>
      <c r="M2565" s="421"/>
      <c r="N2565" s="292"/>
      <c r="O2565" s="347"/>
      <c r="P2565" s="295"/>
      <c r="Q2565" s="442"/>
      <c r="R2565" s="403" t="str">
        <f t="shared" si="183"/>
        <v>DELETE</v>
      </c>
      <c r="T2565" s="381"/>
    </row>
    <row r="2566" spans="2:20" ht="31.5" customHeight="1" x14ac:dyDescent="0.45">
      <c r="B2566" s="441"/>
      <c r="C2566" s="315" t="str">
        <f>IF(O2566&lt;0,"OPERATING LOSS","OPERATING PROFIT")</f>
        <v>OPERATING PROFIT</v>
      </c>
      <c r="J2566" s="292"/>
      <c r="K2566" s="292"/>
      <c r="L2566" s="405"/>
      <c r="M2566" s="421"/>
      <c r="N2566" s="292"/>
      <c r="O2566" s="347">
        <f>SUM(S2499:S2564)</f>
        <v>0</v>
      </c>
      <c r="P2566" s="295"/>
      <c r="Q2566" s="442"/>
      <c r="R2566" s="403" t="str">
        <f t="shared" si="183"/>
        <v>DELETE</v>
      </c>
      <c r="T2566" s="381"/>
    </row>
    <row r="2567" spans="2:20" ht="31.5" customHeight="1" x14ac:dyDescent="0.45">
      <c r="B2567" s="441"/>
      <c r="C2567" s="417"/>
      <c r="D2567" s="400" t="s">
        <v>256</v>
      </c>
      <c r="J2567" s="292"/>
      <c r="K2567" s="292"/>
      <c r="L2567" s="405"/>
      <c r="M2567" s="421"/>
      <c r="N2567" s="292"/>
      <c r="O2567" s="347"/>
      <c r="P2567" s="295"/>
      <c r="Q2567" s="442"/>
      <c r="R2567" s="403" t="str">
        <f t="shared" si="183"/>
        <v>DELETE</v>
      </c>
      <c r="T2567" s="381"/>
    </row>
    <row r="2568" spans="2:20" ht="31.5" customHeight="1" x14ac:dyDescent="0.45">
      <c r="B2568" s="441"/>
      <c r="C2568" s="417"/>
      <c r="J2568" s="292"/>
      <c r="K2568" s="292"/>
      <c r="L2568" s="405"/>
      <c r="M2568" s="421"/>
      <c r="N2568" s="292"/>
      <c r="O2568" s="347"/>
      <c r="P2568" s="295"/>
      <c r="Q2568" s="442"/>
      <c r="R2568" s="403" t="str">
        <f t="shared" si="183"/>
        <v>DELETE</v>
      </c>
      <c r="T2568" s="381"/>
    </row>
    <row r="2569" spans="2:20" ht="31.5" customHeight="1" x14ac:dyDescent="0.45">
      <c r="B2569" s="441"/>
      <c r="C2569" s="417"/>
      <c r="J2569" s="292"/>
      <c r="K2569" s="292"/>
      <c r="L2569" s="405"/>
      <c r="M2569" s="421"/>
      <c r="N2569" s="292"/>
      <c r="O2569" s="347"/>
      <c r="P2569" s="295"/>
      <c r="Q2569" s="442"/>
      <c r="R2569" s="403" t="str">
        <f t="shared" si="183"/>
        <v>DELETE</v>
      </c>
      <c r="T2569" s="381"/>
    </row>
    <row r="2570" spans="2:20" ht="31.5" customHeight="1" x14ac:dyDescent="0.45">
      <c r="B2570" s="445"/>
      <c r="C2570" s="465"/>
      <c r="D2570" s="429"/>
      <c r="E2570" s="429"/>
      <c r="F2570" s="429"/>
      <c r="G2570" s="429"/>
      <c r="H2570" s="429"/>
      <c r="I2570" s="429"/>
      <c r="J2570" s="306"/>
      <c r="K2570" s="306"/>
      <c r="L2570" s="306"/>
      <c r="M2570" s="349"/>
      <c r="N2570" s="300"/>
      <c r="O2570" s="349"/>
      <c r="P2570" s="307"/>
      <c r="Q2570" s="446"/>
      <c r="R2570" s="403" t="str">
        <f t="shared" si="183"/>
        <v>DELETE</v>
      </c>
      <c r="T2570" s="381"/>
    </row>
    <row r="2571" spans="2:20" ht="31.5" customHeight="1" x14ac:dyDescent="0.45">
      <c r="C2571" s="417"/>
      <c r="J2571" s="292"/>
      <c r="K2571" s="292"/>
      <c r="L2571" s="292"/>
      <c r="M2571" s="347"/>
      <c r="N2571" s="298"/>
      <c r="O2571" s="347"/>
      <c r="P2571" s="295"/>
      <c r="R2571" s="403" t="str">
        <f t="shared" si="183"/>
        <v>DELETE</v>
      </c>
      <c r="T2571" s="381"/>
    </row>
    <row r="2572" spans="2:20" ht="31.5" customHeight="1" x14ac:dyDescent="0.45">
      <c r="C2572" s="417"/>
      <c r="J2572" s="292"/>
      <c r="K2572" s="292"/>
      <c r="L2572" s="292"/>
      <c r="M2572" s="347"/>
      <c r="N2572" s="298"/>
      <c r="O2572" s="347"/>
      <c r="P2572" s="295"/>
      <c r="R2572" s="403" t="str">
        <f t="shared" si="183"/>
        <v>DELETE</v>
      </c>
      <c r="T2572" s="381"/>
    </row>
    <row r="2573" spans="2:20" ht="31.5" customHeight="1" x14ac:dyDescent="0.45">
      <c r="C2573" s="417"/>
      <c r="D2573" s="417" t="str">
        <f>Criteria!E14</f>
        <v>SUBSIDIARY ONE 111 (PTY) LTD</v>
      </c>
      <c r="J2573" s="292"/>
      <c r="K2573" s="292"/>
      <c r="L2573" s="292"/>
      <c r="M2573" s="347"/>
      <c r="N2573" s="298"/>
      <c r="O2573" s="347" t="s">
        <v>96</v>
      </c>
      <c r="P2573" s="295"/>
      <c r="Q2573" s="292">
        <f>MAX($Q$2490:Q2572)+1</f>
        <v>2</v>
      </c>
      <c r="R2573" s="403" t="str">
        <f t="shared" si="183"/>
        <v>DELETE</v>
      </c>
      <c r="T2573" s="381"/>
    </row>
    <row r="2574" spans="2:20" ht="31.5" customHeight="1" x14ac:dyDescent="0.45">
      <c r="C2574" s="417"/>
      <c r="D2574" s="405"/>
      <c r="J2574" s="292"/>
      <c r="K2574" s="292"/>
      <c r="L2574" s="292"/>
      <c r="M2574" s="347"/>
      <c r="N2574" s="298"/>
      <c r="O2574" s="347"/>
      <c r="P2574" s="295"/>
      <c r="R2574" s="403" t="str">
        <f t="shared" si="183"/>
        <v>DELETE</v>
      </c>
      <c r="T2574" s="381"/>
    </row>
    <row r="2575" spans="2:20" ht="31.5" customHeight="1" x14ac:dyDescent="0.45">
      <c r="C2575" s="417"/>
      <c r="J2575" s="292"/>
      <c r="K2575" s="292"/>
      <c r="L2575" s="292"/>
      <c r="M2575" s="347"/>
      <c r="N2575" s="298"/>
      <c r="O2575" s="347"/>
      <c r="P2575" s="295"/>
      <c r="R2575" s="403" t="str">
        <f t="shared" si="183"/>
        <v>DELETE</v>
      </c>
      <c r="T2575" s="381"/>
    </row>
    <row r="2576" spans="2:20" ht="31.5" customHeight="1" x14ac:dyDescent="0.45">
      <c r="C2576" s="417"/>
      <c r="D2576" s="417" t="s">
        <v>91</v>
      </c>
      <c r="J2576" s="292"/>
      <c r="K2576" s="292"/>
      <c r="L2576" s="292"/>
      <c r="M2576" s="347"/>
      <c r="N2576" s="298"/>
      <c r="O2576" s="347"/>
      <c r="P2576" s="295"/>
      <c r="R2576" s="403" t="str">
        <f t="shared" si="183"/>
        <v>DELETE</v>
      </c>
      <c r="T2576" s="381"/>
    </row>
    <row r="2577" spans="2:24" ht="31.5" customHeight="1" x14ac:dyDescent="0.45">
      <c r="C2577" s="417"/>
      <c r="D2577" s="417" t="str">
        <f>D2494</f>
        <v>29 FEBRUARY 2024</v>
      </c>
      <c r="H2577" s="400" t="s">
        <v>102</v>
      </c>
      <c r="J2577" s="292"/>
      <c r="K2577" s="292"/>
      <c r="L2577" s="292"/>
      <c r="M2577" s="347"/>
      <c r="N2577" s="298"/>
      <c r="O2577" s="347"/>
      <c r="P2577" s="295"/>
      <c r="R2577" s="403" t="str">
        <f t="shared" si="183"/>
        <v>DELETE</v>
      </c>
      <c r="T2577" s="381"/>
    </row>
    <row r="2578" spans="2:24" ht="31.5" customHeight="1" x14ac:dyDescent="0.45">
      <c r="C2578" s="417"/>
      <c r="J2578" s="292"/>
      <c r="K2578" s="306"/>
      <c r="L2578" s="306"/>
      <c r="M2578" s="349"/>
      <c r="N2578" s="300"/>
      <c r="O2578" s="349"/>
      <c r="P2578" s="295"/>
      <c r="R2578" s="403" t="str">
        <f t="shared" si="183"/>
        <v>DELETE</v>
      </c>
      <c r="T2578" s="381"/>
    </row>
    <row r="2579" spans="2:24" ht="31.5" customHeight="1" x14ac:dyDescent="0.45">
      <c r="B2579" s="438"/>
      <c r="C2579" s="458"/>
      <c r="D2579" s="439"/>
      <c r="E2579" s="439"/>
      <c r="F2579" s="439"/>
      <c r="G2579" s="439"/>
      <c r="H2579" s="439"/>
      <c r="I2579" s="439"/>
      <c r="J2579" s="320"/>
      <c r="M2579" s="426"/>
      <c r="N2579" s="406"/>
      <c r="O2579" s="426"/>
      <c r="P2579" s="319"/>
      <c r="Q2579" s="440"/>
      <c r="R2579" s="403" t="str">
        <f t="shared" si="183"/>
        <v>DELETE</v>
      </c>
      <c r="T2579" s="381"/>
    </row>
    <row r="2580" spans="2:24" ht="31.5" customHeight="1" x14ac:dyDescent="0.45">
      <c r="B2580" s="441"/>
      <c r="C2580" s="417"/>
      <c r="J2580" s="292"/>
      <c r="K2580" s="292"/>
      <c r="L2580" s="292"/>
      <c r="M2580" s="421"/>
      <c r="N2580" s="294"/>
      <c r="O2580" s="344">
        <f>Criteria!E22</f>
        <v>2024</v>
      </c>
      <c r="P2580" s="295"/>
      <c r="Q2580" s="442"/>
      <c r="R2580" s="403" t="str">
        <f t="shared" si="183"/>
        <v>DELETE</v>
      </c>
      <c r="T2580" s="381"/>
    </row>
    <row r="2581" spans="2:24" ht="31.5" customHeight="1" x14ac:dyDescent="0.45">
      <c r="B2581" s="441"/>
      <c r="C2581" s="417"/>
      <c r="J2581" s="292"/>
      <c r="K2581" s="292"/>
      <c r="L2581" s="292"/>
      <c r="M2581" s="347"/>
      <c r="N2581" s="298"/>
      <c r="O2581" s="347"/>
      <c r="P2581" s="295"/>
      <c r="Q2581" s="442"/>
      <c r="R2581" s="403" t="str">
        <f t="shared" si="183"/>
        <v>DELETE</v>
      </c>
      <c r="T2581" s="381"/>
    </row>
    <row r="2582" spans="2:24" ht="31.5" customHeight="1" x14ac:dyDescent="0.45">
      <c r="B2582" s="441"/>
      <c r="C2582" s="315" t="str">
        <f>IF(O2582&lt;0,"OPERATING LOSS","OPERATING PROFIT")</f>
        <v>OPERATING PROFIT</v>
      </c>
      <c r="J2582" s="292"/>
      <c r="K2582" s="292"/>
      <c r="L2582" s="405"/>
      <c r="M2582" s="421"/>
      <c r="N2582" s="292"/>
      <c r="O2582" s="347">
        <f>SUM(S2499:S2563)</f>
        <v>0</v>
      </c>
      <c r="P2582" s="295"/>
      <c r="Q2582" s="442"/>
      <c r="R2582" s="403" t="str">
        <f t="shared" si="183"/>
        <v>DELETE</v>
      </c>
      <c r="T2582" s="381"/>
      <c r="V2582" s="378" t="b">
        <f>O2582=O2566</f>
        <v>1</v>
      </c>
    </row>
    <row r="2583" spans="2:24" ht="31.5" customHeight="1" x14ac:dyDescent="0.45">
      <c r="B2583" s="441"/>
      <c r="C2583" s="417"/>
      <c r="D2583" s="400" t="s">
        <v>257</v>
      </c>
      <c r="J2583" s="292"/>
      <c r="K2583" s="292"/>
      <c r="L2583" s="405"/>
      <c r="M2583" s="421"/>
      <c r="N2583" s="292"/>
      <c r="O2583" s="347"/>
      <c r="P2583" s="295"/>
      <c r="Q2583" s="442"/>
      <c r="R2583" s="403" t="str">
        <f t="shared" si="183"/>
        <v>DELETE</v>
      </c>
      <c r="T2583" s="381"/>
    </row>
    <row r="2584" spans="2:24" ht="31.5" customHeight="1" x14ac:dyDescent="0.45">
      <c r="B2584" s="441"/>
      <c r="C2584" s="417"/>
      <c r="J2584" s="292"/>
      <c r="K2584" s="292"/>
      <c r="L2584" s="405"/>
      <c r="M2584" s="421"/>
      <c r="N2584" s="292"/>
      <c r="O2584" s="347"/>
      <c r="P2584" s="295"/>
      <c r="Q2584" s="442"/>
      <c r="R2584" s="403" t="str">
        <f t="shared" si="183"/>
        <v>DELETE</v>
      </c>
      <c r="T2584" s="381"/>
    </row>
    <row r="2585" spans="2:24" ht="31.5" customHeight="1" x14ac:dyDescent="0.45">
      <c r="B2585" s="441"/>
      <c r="C2585" s="417" t="s">
        <v>906</v>
      </c>
      <c r="J2585" s="292"/>
      <c r="K2585" s="292"/>
      <c r="L2585" s="405"/>
      <c r="M2585" s="421"/>
      <c r="N2585" s="292"/>
      <c r="O2585" s="347">
        <f>SUM(O2588:O2621)</f>
        <v>0</v>
      </c>
      <c r="P2585" s="295"/>
      <c r="Q2585" s="442"/>
      <c r="R2585" s="403" t="str">
        <f t="shared" ref="R2585" si="184">IF(R$2487="DELETE","DELETE",IF(O2585=0,"DELETE"," "))</f>
        <v>DELETE</v>
      </c>
      <c r="S2585" s="380">
        <f>-O2585</f>
        <v>0</v>
      </c>
      <c r="T2585" s="381"/>
      <c r="U2585" s="380"/>
      <c r="V2585" s="380"/>
      <c r="W2585" s="380"/>
      <c r="X2585" s="380"/>
    </row>
    <row r="2586" spans="2:24" ht="9" customHeight="1" x14ac:dyDescent="0.45">
      <c r="B2586" s="441"/>
      <c r="C2586" s="417"/>
      <c r="J2586" s="292"/>
      <c r="K2586" s="292"/>
      <c r="L2586" s="405"/>
      <c r="M2586" s="421"/>
      <c r="N2586" s="292"/>
      <c r="O2586" s="347"/>
      <c r="P2586" s="295"/>
      <c r="Q2586" s="442"/>
      <c r="R2586" s="403" t="str">
        <f>R2585</f>
        <v>DELETE</v>
      </c>
      <c r="T2586" s="381"/>
    </row>
    <row r="2587" spans="2:24" ht="9" customHeight="1" x14ac:dyDescent="0.45">
      <c r="B2587" s="441"/>
      <c r="C2587" s="417"/>
      <c r="J2587" s="292"/>
      <c r="K2587" s="292"/>
      <c r="L2587" s="405"/>
      <c r="M2587" s="421"/>
      <c r="N2587" s="292"/>
      <c r="O2587" s="372"/>
      <c r="P2587" s="295"/>
      <c r="Q2587" s="442"/>
      <c r="R2587" s="403" t="str">
        <f>R2586</f>
        <v>DELETE</v>
      </c>
      <c r="T2587" s="381"/>
    </row>
    <row r="2588" spans="2:24" ht="31.5" customHeight="1" x14ac:dyDescent="0.45">
      <c r="B2588" s="441"/>
      <c r="C2588" s="417"/>
      <c r="D2588" s="400" t="s">
        <v>215</v>
      </c>
      <c r="J2588" s="292"/>
      <c r="K2588" s="292"/>
      <c r="L2588" s="405"/>
      <c r="M2588" s="421"/>
      <c r="N2588" s="292"/>
      <c r="O2588" s="373">
        <f>SUM(TrialBalanceA!I98:I101)</f>
        <v>0</v>
      </c>
      <c r="P2588" s="295"/>
      <c r="Q2588" s="442"/>
      <c r="R2588" s="403" t="str">
        <f t="shared" ref="R2588:R2619" si="185">IF(R$2487="DELETE","DELETE",IF(O2588=0,"DELETE"," "))</f>
        <v>DELETE</v>
      </c>
      <c r="T2588" s="381"/>
    </row>
    <row r="2589" spans="2:24" ht="31.5" customHeight="1" x14ac:dyDescent="0.45">
      <c r="B2589" s="441"/>
      <c r="C2589" s="417"/>
      <c r="D2589" s="400" t="s">
        <v>219</v>
      </c>
      <c r="J2589" s="292"/>
      <c r="K2589" s="292"/>
      <c r="L2589" s="405"/>
      <c r="M2589" s="421"/>
      <c r="N2589" s="292"/>
      <c r="O2589" s="373">
        <f>TrialBalanceA!I103</f>
        <v>0</v>
      </c>
      <c r="P2589" s="295"/>
      <c r="Q2589" s="442"/>
      <c r="R2589" s="403" t="str">
        <f>IF(R$2487="DELETE","DELETE",IF(O2589=0,"DELETE"," "))</f>
        <v>DELETE</v>
      </c>
      <c r="T2589" s="381"/>
    </row>
    <row r="2590" spans="2:24" ht="31.5" customHeight="1" x14ac:dyDescent="0.45">
      <c r="B2590" s="441"/>
      <c r="C2590" s="417"/>
      <c r="D2590" s="400" t="s">
        <v>217</v>
      </c>
      <c r="J2590" s="292"/>
      <c r="K2590" s="292"/>
      <c r="L2590" s="405"/>
      <c r="M2590" s="421"/>
      <c r="N2590" s="292"/>
      <c r="O2590" s="373">
        <f>TrialBalanceA!I102</f>
        <v>0</v>
      </c>
      <c r="P2590" s="295"/>
      <c r="Q2590" s="442"/>
      <c r="R2590" s="403" t="str">
        <f>IF(R$2487="DELETE","DELETE",IF(O2590=0,"DELETE"," "))</f>
        <v>DELETE</v>
      </c>
      <c r="T2590" s="381"/>
    </row>
    <row r="2591" spans="2:24" ht="31.5" customHeight="1" x14ac:dyDescent="0.45">
      <c r="B2591" s="441"/>
      <c r="C2591" s="417"/>
      <c r="D2591" s="400" t="s">
        <v>258</v>
      </c>
      <c r="J2591" s="292"/>
      <c r="K2591" s="292"/>
      <c r="L2591" s="405"/>
      <c r="M2591" s="421"/>
      <c r="N2591" s="292"/>
      <c r="O2591" s="373">
        <f>TrialBalanceA!I104</f>
        <v>0</v>
      </c>
      <c r="P2591" s="295"/>
      <c r="Q2591" s="442"/>
      <c r="R2591" s="403" t="str">
        <f t="shared" si="185"/>
        <v>DELETE</v>
      </c>
      <c r="T2591" s="381"/>
    </row>
    <row r="2592" spans="2:24" ht="31.5" customHeight="1" x14ac:dyDescent="0.45">
      <c r="B2592" s="441"/>
      <c r="C2592" s="417"/>
      <c r="D2592" s="400" t="s">
        <v>222</v>
      </c>
      <c r="J2592" s="292"/>
      <c r="K2592" s="292"/>
      <c r="L2592" s="405"/>
      <c r="M2592" s="421"/>
      <c r="N2592" s="292"/>
      <c r="O2592" s="373">
        <f>TrialBalanceA!I105</f>
        <v>0</v>
      </c>
      <c r="P2592" s="295"/>
      <c r="Q2592" s="442"/>
      <c r="R2592" s="403" t="str">
        <f t="shared" si="185"/>
        <v>DELETE</v>
      </c>
      <c r="T2592" s="381"/>
    </row>
    <row r="2593" spans="2:20" ht="31.5" customHeight="1" x14ac:dyDescent="0.45">
      <c r="B2593" s="441"/>
      <c r="C2593" s="417"/>
      <c r="D2593" s="400" t="s">
        <v>727</v>
      </c>
      <c r="J2593" s="292"/>
      <c r="K2593" s="292"/>
      <c r="L2593" s="405"/>
      <c r="M2593" s="421"/>
      <c r="N2593" s="292"/>
      <c r="O2593" s="373">
        <f>TrialBalanceA!I106</f>
        <v>0</v>
      </c>
      <c r="P2593" s="295"/>
      <c r="Q2593" s="442"/>
      <c r="R2593" s="403" t="str">
        <f t="shared" si="185"/>
        <v>DELETE</v>
      </c>
      <c r="T2593" s="381"/>
    </row>
    <row r="2594" spans="2:20" ht="31.5" customHeight="1" x14ac:dyDescent="0.45">
      <c r="B2594" s="441"/>
      <c r="C2594" s="417"/>
      <c r="D2594" s="400" t="s">
        <v>277</v>
      </c>
      <c r="J2594" s="292"/>
      <c r="K2594" s="292">
        <f>C$940</f>
        <v>5.2999999999999989</v>
      </c>
      <c r="L2594" s="405"/>
      <c r="M2594" s="421"/>
      <c r="N2594" s="292"/>
      <c r="O2594" s="373">
        <f>SUM(TrialBalanceA!I108:I109)</f>
        <v>0</v>
      </c>
      <c r="P2594" s="295"/>
      <c r="Q2594" s="442"/>
      <c r="R2594" s="403" t="str">
        <f t="shared" si="185"/>
        <v>DELETE</v>
      </c>
      <c r="T2594" s="381"/>
    </row>
    <row r="2595" spans="2:20" ht="31.5" customHeight="1" x14ac:dyDescent="0.45">
      <c r="B2595" s="441"/>
      <c r="C2595" s="417"/>
      <c r="D2595" s="400" t="str">
        <f>IF(MAX(Criteria!I38:I42)&gt;1,"Directors' remuneration","Director's remuneration")</f>
        <v>Director's remuneration</v>
      </c>
      <c r="J2595" s="292"/>
      <c r="K2595" s="292">
        <f>C$881</f>
        <v>5.0999999999999996</v>
      </c>
      <c r="L2595" s="405"/>
      <c r="M2595" s="421"/>
      <c r="N2595" s="292"/>
      <c r="O2595" s="373">
        <f>SUM(TrialBalanceA!I111:I115)</f>
        <v>0</v>
      </c>
      <c r="P2595" s="295"/>
      <c r="Q2595" s="442"/>
      <c r="R2595" s="403" t="str">
        <f t="shared" si="185"/>
        <v>DELETE</v>
      </c>
      <c r="T2595" s="381"/>
    </row>
    <row r="2596" spans="2:20" ht="31.5" customHeight="1" x14ac:dyDescent="0.45">
      <c r="B2596" s="441"/>
      <c r="C2596" s="417"/>
      <c r="D2596" s="400" t="s">
        <v>259</v>
      </c>
      <c r="J2596" s="292"/>
      <c r="K2596" s="292"/>
      <c r="L2596" s="405"/>
      <c r="M2596" s="421"/>
      <c r="N2596" s="292"/>
      <c r="O2596" s="373">
        <f>TrialBalanceA!I116</f>
        <v>0</v>
      </c>
      <c r="P2596" s="295"/>
      <c r="Q2596" s="442"/>
      <c r="R2596" s="403" t="str">
        <f t="shared" si="185"/>
        <v>DELETE</v>
      </c>
      <c r="T2596" s="381"/>
    </row>
    <row r="2597" spans="2:20" ht="31.5" customHeight="1" x14ac:dyDescent="0.45">
      <c r="B2597" s="441"/>
      <c r="C2597" s="417"/>
      <c r="D2597" s="400" t="s">
        <v>369</v>
      </c>
      <c r="J2597" s="292"/>
      <c r="K2597" s="292"/>
      <c r="L2597" s="405"/>
      <c r="M2597" s="421"/>
      <c r="N2597" s="292"/>
      <c r="O2597" s="373">
        <f>TrialBalanceA!I117</f>
        <v>0</v>
      </c>
      <c r="P2597" s="295"/>
      <c r="Q2597" s="442"/>
      <c r="R2597" s="403" t="str">
        <f t="shared" si="185"/>
        <v>DELETE</v>
      </c>
      <c r="T2597" s="381"/>
    </row>
    <row r="2598" spans="2:20" ht="31.5" customHeight="1" x14ac:dyDescent="0.45">
      <c r="B2598" s="441"/>
      <c r="C2598" s="417"/>
      <c r="D2598" s="400" t="s">
        <v>330</v>
      </c>
      <c r="J2598" s="292"/>
      <c r="K2598" s="292"/>
      <c r="L2598" s="405"/>
      <c r="M2598" s="421"/>
      <c r="N2598" s="292"/>
      <c r="O2598" s="373">
        <f>TrialBalanceA!I118</f>
        <v>0</v>
      </c>
      <c r="P2598" s="295"/>
      <c r="Q2598" s="442"/>
      <c r="R2598" s="403" t="str">
        <f t="shared" si="185"/>
        <v>DELETE</v>
      </c>
      <c r="T2598" s="381"/>
    </row>
    <row r="2599" spans="2:20" ht="31.5" customHeight="1" x14ac:dyDescent="0.45">
      <c r="B2599" s="441"/>
      <c r="C2599" s="417"/>
      <c r="D2599" s="400" t="s">
        <v>371</v>
      </c>
      <c r="J2599" s="292"/>
      <c r="K2599" s="292"/>
      <c r="L2599" s="405"/>
      <c r="M2599" s="421"/>
      <c r="N2599" s="292"/>
      <c r="O2599" s="373">
        <f>TrialBalanceA!I119</f>
        <v>0</v>
      </c>
      <c r="P2599" s="295"/>
      <c r="Q2599" s="442"/>
      <c r="R2599" s="403" t="str">
        <f t="shared" si="185"/>
        <v>DELETE</v>
      </c>
      <c r="T2599" s="381"/>
    </row>
    <row r="2600" spans="2:20" ht="31.5" customHeight="1" x14ac:dyDescent="0.45">
      <c r="B2600" s="441"/>
      <c r="C2600" s="417"/>
      <c r="D2600" s="400" t="s">
        <v>1062</v>
      </c>
      <c r="J2600" s="292"/>
      <c r="K2600" s="292"/>
      <c r="L2600" s="405"/>
      <c r="M2600" s="421"/>
      <c r="N2600" s="292"/>
      <c r="O2600" s="373">
        <f>TrialBalanceA!I154</f>
        <v>0</v>
      </c>
      <c r="P2600" s="295"/>
      <c r="Q2600" s="442"/>
      <c r="R2600" s="403" t="str">
        <f>IF(R$2487="DELETE","DELETE",IF(O2600=0,"DELETE"," "))</f>
        <v>DELETE</v>
      </c>
      <c r="T2600" s="381"/>
    </row>
    <row r="2601" spans="2:20" ht="31.5" customHeight="1" x14ac:dyDescent="0.45">
      <c r="B2601" s="441"/>
      <c r="C2601" s="417"/>
      <c r="D2601" s="400" t="s">
        <v>524</v>
      </c>
      <c r="J2601" s="292"/>
      <c r="K2601" s="292"/>
      <c r="L2601" s="405"/>
      <c r="M2601" s="421"/>
      <c r="N2601" s="292"/>
      <c r="O2601" s="373">
        <f>TrialBalanceA!I120+TrialBalanceA!I121</f>
        <v>0</v>
      </c>
      <c r="P2601" s="295"/>
      <c r="Q2601" s="442"/>
      <c r="R2601" s="403" t="str">
        <f t="shared" si="185"/>
        <v>DELETE</v>
      </c>
      <c r="T2601" s="381"/>
    </row>
    <row r="2602" spans="2:20" ht="31.5" customHeight="1" x14ac:dyDescent="0.45">
      <c r="B2602" s="441"/>
      <c r="C2602" s="417"/>
      <c r="D2602" s="400" t="s">
        <v>547</v>
      </c>
      <c r="J2602" s="292"/>
      <c r="K2602" s="292"/>
      <c r="L2602" s="405"/>
      <c r="M2602" s="421"/>
      <c r="N2602" s="292"/>
      <c r="O2602" s="373">
        <f>IF(TrialBalanceA!I93&gt;0,TrialBalanceA!I93,0)</f>
        <v>0</v>
      </c>
      <c r="P2602" s="295"/>
      <c r="Q2602" s="442"/>
      <c r="R2602" s="403" t="str">
        <f>IF(R$2487="DELETE","DELETE",IF(O2602=0,"DELETE"," "))</f>
        <v>DELETE</v>
      </c>
      <c r="T2602" s="381"/>
    </row>
    <row r="2603" spans="2:20" ht="31.5" customHeight="1" x14ac:dyDescent="0.45">
      <c r="B2603" s="441"/>
      <c r="C2603" s="417"/>
      <c r="D2603" s="400" t="s">
        <v>728</v>
      </c>
      <c r="J2603" s="292"/>
      <c r="K2603" s="292"/>
      <c r="L2603" s="405"/>
      <c r="M2603" s="421"/>
      <c r="N2603" s="292"/>
      <c r="O2603" s="373">
        <f>TrialBalanceA!I122</f>
        <v>0</v>
      </c>
      <c r="P2603" s="295"/>
      <c r="Q2603" s="442"/>
      <c r="R2603" s="403" t="str">
        <f>IF(R$2487="DELETE","DELETE",IF(O2603=0,"DELETE"," "))</f>
        <v>DELETE</v>
      </c>
      <c r="T2603" s="381"/>
    </row>
    <row r="2604" spans="2:20" ht="31.5" customHeight="1" x14ac:dyDescent="0.45">
      <c r="B2604" s="441"/>
      <c r="C2604" s="417"/>
      <c r="D2604" s="400" t="s">
        <v>260</v>
      </c>
      <c r="J2604" s="292"/>
      <c r="K2604" s="292"/>
      <c r="L2604" s="405"/>
      <c r="M2604" s="421"/>
      <c r="N2604" s="292"/>
      <c r="O2604" s="373">
        <f>TrialBalanceA!I123</f>
        <v>0</v>
      </c>
      <c r="P2604" s="295"/>
      <c r="Q2604" s="442"/>
      <c r="R2604" s="403" t="str">
        <f t="shared" si="185"/>
        <v>DELETE</v>
      </c>
      <c r="T2604" s="381"/>
    </row>
    <row r="2605" spans="2:20" ht="31.5" customHeight="1" x14ac:dyDescent="0.45">
      <c r="B2605" s="441"/>
      <c r="C2605" s="417"/>
      <c r="D2605" s="400" t="s">
        <v>1081</v>
      </c>
      <c r="J2605" s="292"/>
      <c r="K2605" s="292"/>
      <c r="L2605" s="405"/>
      <c r="M2605" s="421"/>
      <c r="N2605" s="292"/>
      <c r="O2605" s="373">
        <f>TrialBalanceA!I155</f>
        <v>0</v>
      </c>
      <c r="P2605" s="295"/>
      <c r="Q2605" s="442"/>
      <c r="R2605" s="403" t="str">
        <f t="shared" si="185"/>
        <v>DELETE</v>
      </c>
      <c r="T2605" s="381"/>
    </row>
    <row r="2606" spans="2:20" ht="31.5" customHeight="1" x14ac:dyDescent="0.45">
      <c r="B2606" s="441"/>
      <c r="C2606" s="417"/>
      <c r="D2606" s="400" t="s">
        <v>253</v>
      </c>
      <c r="J2606" s="292"/>
      <c r="K2606" s="292"/>
      <c r="L2606" s="405"/>
      <c r="M2606" s="421"/>
      <c r="N2606" s="292"/>
      <c r="O2606" s="373">
        <f>SUM(TrialBalanceA!I124:I125)</f>
        <v>0</v>
      </c>
      <c r="P2606" s="295"/>
      <c r="Q2606" s="442"/>
      <c r="R2606" s="403" t="str">
        <f t="shared" si="185"/>
        <v>DELETE</v>
      </c>
      <c r="T2606" s="381"/>
    </row>
    <row r="2607" spans="2:20" ht="31.5" customHeight="1" x14ac:dyDescent="0.45">
      <c r="B2607" s="441"/>
      <c r="C2607" s="417"/>
      <c r="D2607" s="400" t="s">
        <v>261</v>
      </c>
      <c r="J2607" s="292"/>
      <c r="K2607" s="292"/>
      <c r="L2607" s="405"/>
      <c r="M2607" s="421"/>
      <c r="N2607" s="292"/>
      <c r="O2607" s="373">
        <f>TrialBalanceA!I126</f>
        <v>0</v>
      </c>
      <c r="P2607" s="295"/>
      <c r="Q2607" s="442"/>
      <c r="R2607" s="403" t="str">
        <f t="shared" si="185"/>
        <v>DELETE</v>
      </c>
      <c r="T2607" s="381"/>
    </row>
    <row r="2608" spans="2:20" ht="31.5" customHeight="1" x14ac:dyDescent="0.45">
      <c r="B2608" s="441"/>
      <c r="C2608" s="417"/>
      <c r="D2608" s="400" t="s">
        <v>729</v>
      </c>
      <c r="J2608" s="292"/>
      <c r="K2608" s="292"/>
      <c r="L2608" s="405"/>
      <c r="M2608" s="421"/>
      <c r="N2608" s="292"/>
      <c r="O2608" s="373">
        <f>TrialBalanceA!I127</f>
        <v>0</v>
      </c>
      <c r="P2608" s="295"/>
      <c r="Q2608" s="442"/>
      <c r="R2608" s="403" t="str">
        <f t="shared" si="185"/>
        <v>DELETE</v>
      </c>
      <c r="T2608" s="381"/>
    </row>
    <row r="2609" spans="2:20" ht="31.5" customHeight="1" x14ac:dyDescent="0.45">
      <c r="B2609" s="441"/>
      <c r="C2609" s="417"/>
      <c r="D2609" s="400" t="s">
        <v>79</v>
      </c>
      <c r="J2609" s="292"/>
      <c r="K2609" s="292"/>
      <c r="L2609" s="405"/>
      <c r="M2609" s="421"/>
      <c r="N2609" s="292"/>
      <c r="O2609" s="373">
        <f>TrialBalanceA!I128</f>
        <v>0</v>
      </c>
      <c r="P2609" s="295"/>
      <c r="Q2609" s="442"/>
      <c r="R2609" s="403" t="str">
        <f t="shared" si="185"/>
        <v>DELETE</v>
      </c>
      <c r="T2609" s="381"/>
    </row>
    <row r="2610" spans="2:20" ht="31.5" customHeight="1" x14ac:dyDescent="0.45">
      <c r="B2610" s="441"/>
      <c r="C2610" s="417"/>
      <c r="D2610" s="400">
        <f>TrialBalanceA!C129</f>
        <v>0</v>
      </c>
      <c r="J2610" s="292"/>
      <c r="K2610" s="292"/>
      <c r="L2610" s="405"/>
      <c r="M2610" s="421"/>
      <c r="N2610" s="292"/>
      <c r="O2610" s="373">
        <f>TrialBalanceA!I129</f>
        <v>0</v>
      </c>
      <c r="P2610" s="295"/>
      <c r="Q2610" s="442"/>
      <c r="R2610" s="403" t="str">
        <f t="shared" si="185"/>
        <v>DELETE</v>
      </c>
      <c r="T2610" s="381"/>
    </row>
    <row r="2611" spans="2:20" ht="31.5" customHeight="1" x14ac:dyDescent="0.45">
      <c r="B2611" s="441"/>
      <c r="C2611" s="417"/>
      <c r="D2611" s="400">
        <f>TrialBalanceA!C130</f>
        <v>0</v>
      </c>
      <c r="J2611" s="292"/>
      <c r="K2611" s="292"/>
      <c r="L2611" s="405"/>
      <c r="M2611" s="421"/>
      <c r="N2611" s="292"/>
      <c r="O2611" s="373">
        <f>TrialBalanceA!I130</f>
        <v>0</v>
      </c>
      <c r="P2611" s="295"/>
      <c r="Q2611" s="442"/>
      <c r="R2611" s="403" t="str">
        <f t="shared" si="185"/>
        <v>DELETE</v>
      </c>
      <c r="T2611" s="381"/>
    </row>
    <row r="2612" spans="2:20" ht="31.5" customHeight="1" x14ac:dyDescent="0.45">
      <c r="B2612" s="441"/>
      <c r="C2612" s="417"/>
      <c r="D2612" s="400">
        <f>TrialBalanceA!C131</f>
        <v>0</v>
      </c>
      <c r="J2612" s="292"/>
      <c r="K2612" s="292"/>
      <c r="L2612" s="405"/>
      <c r="M2612" s="421"/>
      <c r="N2612" s="292"/>
      <c r="O2612" s="373">
        <f>TrialBalanceA!I131</f>
        <v>0</v>
      </c>
      <c r="P2612" s="295"/>
      <c r="Q2612" s="442"/>
      <c r="R2612" s="403" t="str">
        <f t="shared" si="185"/>
        <v>DELETE</v>
      </c>
      <c r="T2612" s="381"/>
    </row>
    <row r="2613" spans="2:20" ht="31.5" customHeight="1" x14ac:dyDescent="0.45">
      <c r="B2613" s="441"/>
      <c r="C2613" s="417"/>
      <c r="D2613" s="400">
        <f>TrialBalanceA!C132</f>
        <v>0</v>
      </c>
      <c r="J2613" s="292"/>
      <c r="K2613" s="292"/>
      <c r="L2613" s="405"/>
      <c r="M2613" s="421"/>
      <c r="N2613" s="292"/>
      <c r="O2613" s="373">
        <f>TrialBalanceA!I132</f>
        <v>0</v>
      </c>
      <c r="P2613" s="295"/>
      <c r="Q2613" s="442"/>
      <c r="R2613" s="403" t="str">
        <f t="shared" si="185"/>
        <v>DELETE</v>
      </c>
      <c r="T2613" s="381"/>
    </row>
    <row r="2614" spans="2:20" ht="31.5" customHeight="1" x14ac:dyDescent="0.45">
      <c r="B2614" s="441"/>
      <c r="C2614" s="417"/>
      <c r="D2614" s="400">
        <f>TrialBalanceA!C133</f>
        <v>0</v>
      </c>
      <c r="J2614" s="292"/>
      <c r="K2614" s="292"/>
      <c r="L2614" s="405"/>
      <c r="M2614" s="421"/>
      <c r="N2614" s="292"/>
      <c r="O2614" s="373">
        <f>TrialBalanceA!I133</f>
        <v>0</v>
      </c>
      <c r="P2614" s="295"/>
      <c r="Q2614" s="442"/>
      <c r="R2614" s="403" t="str">
        <f t="shared" si="185"/>
        <v>DELETE</v>
      </c>
      <c r="T2614" s="381"/>
    </row>
    <row r="2615" spans="2:20" ht="31.5" customHeight="1" x14ac:dyDescent="0.45">
      <c r="B2615" s="441"/>
      <c r="C2615" s="417"/>
      <c r="D2615" s="400">
        <f>TrialBalanceA!C134</f>
        <v>0</v>
      </c>
      <c r="J2615" s="292"/>
      <c r="K2615" s="292"/>
      <c r="L2615" s="405"/>
      <c r="M2615" s="421"/>
      <c r="N2615" s="292"/>
      <c r="O2615" s="373">
        <f>TrialBalanceA!I134</f>
        <v>0</v>
      </c>
      <c r="P2615" s="295"/>
      <c r="Q2615" s="442"/>
      <c r="R2615" s="403" t="str">
        <f t="shared" si="185"/>
        <v>DELETE</v>
      </c>
      <c r="T2615" s="381"/>
    </row>
    <row r="2616" spans="2:20" ht="31.5" customHeight="1" x14ac:dyDescent="0.45">
      <c r="B2616" s="441"/>
      <c r="C2616" s="417"/>
      <c r="D2616" s="400">
        <f>TrialBalanceA!C135</f>
        <v>0</v>
      </c>
      <c r="J2616" s="292"/>
      <c r="K2616" s="292"/>
      <c r="L2616" s="405"/>
      <c r="M2616" s="421"/>
      <c r="N2616" s="292"/>
      <c r="O2616" s="373">
        <f>TrialBalanceA!I135</f>
        <v>0</v>
      </c>
      <c r="P2616" s="295"/>
      <c r="Q2616" s="442"/>
      <c r="R2616" s="403" t="str">
        <f t="shared" si="185"/>
        <v>DELETE</v>
      </c>
      <c r="T2616" s="381"/>
    </row>
    <row r="2617" spans="2:20" ht="31.5" customHeight="1" x14ac:dyDescent="0.45">
      <c r="B2617" s="441"/>
      <c r="C2617" s="417"/>
      <c r="D2617" s="400">
        <f>TrialBalanceA!C136</f>
        <v>0</v>
      </c>
      <c r="J2617" s="292"/>
      <c r="K2617" s="292"/>
      <c r="L2617" s="405"/>
      <c r="M2617" s="421"/>
      <c r="N2617" s="292"/>
      <c r="O2617" s="373">
        <f>TrialBalanceA!I136</f>
        <v>0</v>
      </c>
      <c r="P2617" s="295"/>
      <c r="Q2617" s="442"/>
      <c r="R2617" s="403" t="str">
        <f t="shared" si="185"/>
        <v>DELETE</v>
      </c>
      <c r="T2617" s="381"/>
    </row>
    <row r="2618" spans="2:20" ht="31.5" customHeight="1" x14ac:dyDescent="0.45">
      <c r="B2618" s="441"/>
      <c r="C2618" s="417"/>
      <c r="D2618" s="400">
        <f>TrialBalanceA!C137</f>
        <v>0</v>
      </c>
      <c r="J2618" s="292"/>
      <c r="K2618" s="292"/>
      <c r="L2618" s="405"/>
      <c r="M2618" s="421"/>
      <c r="N2618" s="292"/>
      <c r="O2618" s="373">
        <f>TrialBalanceA!I137</f>
        <v>0</v>
      </c>
      <c r="P2618" s="295"/>
      <c r="Q2618" s="442"/>
      <c r="R2618" s="403" t="str">
        <f t="shared" si="185"/>
        <v>DELETE</v>
      </c>
      <c r="T2618" s="381"/>
    </row>
    <row r="2619" spans="2:20" ht="31.5" customHeight="1" x14ac:dyDescent="0.45">
      <c r="B2619" s="441"/>
      <c r="C2619" s="417"/>
      <c r="D2619" s="400" t="str">
        <f>TrialBalanceA!C138</f>
        <v>Amortisation of prepaid lease agreement</v>
      </c>
      <c r="J2619" s="292"/>
      <c r="K2619" s="292"/>
      <c r="L2619" s="405"/>
      <c r="M2619" s="421"/>
      <c r="N2619" s="292"/>
      <c r="O2619" s="373">
        <f>TrialBalanceA!I138</f>
        <v>0</v>
      </c>
      <c r="P2619" s="295"/>
      <c r="Q2619" s="442"/>
      <c r="R2619" s="403" t="str">
        <f t="shared" si="185"/>
        <v>DELETE</v>
      </c>
      <c r="T2619" s="381"/>
    </row>
    <row r="2620" spans="2:20" ht="31.5" customHeight="1" x14ac:dyDescent="0.45">
      <c r="B2620" s="441"/>
      <c r="C2620" s="417"/>
      <c r="D2620" s="400" t="str">
        <f>TrialBalanceA!C139</f>
        <v>Amortisation of goodwill</v>
      </c>
      <c r="J2620" s="292"/>
      <c r="K2620" s="292"/>
      <c r="L2620" s="405"/>
      <c r="M2620" s="421"/>
      <c r="N2620" s="292"/>
      <c r="O2620" s="373">
        <f>TrialBalanceA!I139</f>
        <v>0</v>
      </c>
      <c r="P2620" s="295"/>
      <c r="Q2620" s="442"/>
      <c r="R2620" s="403" t="str">
        <f t="shared" ref="R2620" si="186">IF(R$2487="DELETE","DELETE",IF(O2620=0,"DELETE"," "))</f>
        <v>DELETE</v>
      </c>
      <c r="T2620" s="381"/>
    </row>
    <row r="2621" spans="2:20" ht="9" customHeight="1" x14ac:dyDescent="0.45">
      <c r="B2621" s="441"/>
      <c r="C2621" s="417"/>
      <c r="J2621" s="292"/>
      <c r="K2621" s="292"/>
      <c r="L2621" s="405"/>
      <c r="M2621" s="421"/>
      <c r="N2621" s="292"/>
      <c r="O2621" s="374"/>
      <c r="P2621" s="295"/>
      <c r="Q2621" s="442"/>
      <c r="R2621" s="403" t="str">
        <f>R2585</f>
        <v>DELETE</v>
      </c>
      <c r="T2621" s="381"/>
    </row>
    <row r="2622" spans="2:20" ht="9" customHeight="1" x14ac:dyDescent="0.45">
      <c r="B2622" s="441"/>
      <c r="C2622" s="417"/>
      <c r="J2622" s="292"/>
      <c r="K2622" s="292"/>
      <c r="L2622" s="405"/>
      <c r="M2622" s="421"/>
      <c r="N2622" s="292"/>
      <c r="O2622" s="349"/>
      <c r="P2622" s="295"/>
      <c r="Q2622" s="442"/>
      <c r="R2622" s="403" t="str">
        <f>R$2487</f>
        <v>DELETE</v>
      </c>
      <c r="T2622" s="381"/>
    </row>
    <row r="2623" spans="2:20" ht="9" customHeight="1" x14ac:dyDescent="0.45">
      <c r="B2623" s="441"/>
      <c r="C2623" s="417"/>
      <c r="J2623" s="292"/>
      <c r="K2623" s="292"/>
      <c r="L2623" s="405"/>
      <c r="M2623" s="421"/>
      <c r="N2623" s="292"/>
      <c r="O2623" s="347"/>
      <c r="P2623" s="295"/>
      <c r="Q2623" s="442"/>
      <c r="R2623" s="403" t="str">
        <f>R$2487</f>
        <v>DELETE</v>
      </c>
      <c r="T2623" s="381"/>
    </row>
    <row r="2624" spans="2:20" ht="31.5" customHeight="1" x14ac:dyDescent="0.45">
      <c r="B2624" s="441"/>
      <c r="C2624" s="315" t="str">
        <f>IF(O2624&lt;0,"OPERATING LOSS FOR THE YEAR","OPERATING PROFIT FOR THE YEAR")</f>
        <v>OPERATING PROFIT FOR THE YEAR</v>
      </c>
      <c r="J2624" s="292"/>
      <c r="K2624" s="292">
        <f>FS!B878</f>
        <v>5</v>
      </c>
      <c r="L2624" s="405"/>
      <c r="M2624" s="421"/>
      <c r="N2624" s="292"/>
      <c r="O2624" s="347">
        <f>SUM(S2499:S2621)</f>
        <v>0</v>
      </c>
      <c r="P2624" s="295"/>
      <c r="Q2624" s="442"/>
      <c r="R2624" s="403" t="str">
        <f>R$2487</f>
        <v>DELETE</v>
      </c>
      <c r="T2624" s="381"/>
    </row>
    <row r="2625" spans="2:24" ht="31.5" customHeight="1" x14ac:dyDescent="0.45">
      <c r="B2625" s="441"/>
      <c r="C2625" s="417"/>
      <c r="J2625" s="292"/>
      <c r="K2625" s="292"/>
      <c r="L2625" s="405"/>
      <c r="M2625" s="421"/>
      <c r="N2625" s="292"/>
      <c r="O2625" s="347"/>
      <c r="P2625" s="295"/>
      <c r="Q2625" s="442"/>
      <c r="R2625" s="403" t="str">
        <f>R$2487</f>
        <v>DELETE</v>
      </c>
      <c r="T2625" s="381"/>
    </row>
    <row r="2626" spans="2:24" ht="31.5" customHeight="1" x14ac:dyDescent="0.45">
      <c r="B2626" s="441"/>
      <c r="C2626" s="417" t="s">
        <v>114</v>
      </c>
      <c r="J2626" s="292"/>
      <c r="K2626" s="292">
        <f>FS!B965</f>
        <v>6</v>
      </c>
      <c r="L2626" s="405"/>
      <c r="M2626" s="421"/>
      <c r="N2626" s="292"/>
      <c r="O2626" s="347">
        <f>SUM(O2629:O2636)</f>
        <v>0</v>
      </c>
      <c r="P2626" s="295"/>
      <c r="Q2626" s="442"/>
      <c r="R2626" s="403" t="str">
        <f t="shared" ref="R2626" si="187">IF(R$2487="DELETE","DELETE",IF(O2626=0,"DELETE"," "))</f>
        <v>DELETE</v>
      </c>
      <c r="S2626" s="380">
        <f>O2626</f>
        <v>0</v>
      </c>
      <c r="T2626" s="381"/>
      <c r="U2626" s="380"/>
      <c r="V2626" s="380"/>
      <c r="W2626" s="380"/>
      <c r="X2626" s="380"/>
    </row>
    <row r="2627" spans="2:24" ht="9" customHeight="1" x14ac:dyDescent="0.45">
      <c r="B2627" s="441"/>
      <c r="C2627" s="417"/>
      <c r="J2627" s="292"/>
      <c r="K2627" s="292"/>
      <c r="L2627" s="405"/>
      <c r="M2627" s="421"/>
      <c r="N2627" s="292"/>
      <c r="O2627" s="347"/>
      <c r="P2627" s="295"/>
      <c r="Q2627" s="442"/>
      <c r="R2627" s="403" t="str">
        <f>R2626</f>
        <v>DELETE</v>
      </c>
      <c r="T2627" s="381"/>
    </row>
    <row r="2628" spans="2:24" ht="9" customHeight="1" x14ac:dyDescent="0.45">
      <c r="B2628" s="441"/>
      <c r="C2628" s="417"/>
      <c r="J2628" s="292"/>
      <c r="K2628" s="292"/>
      <c r="L2628" s="405"/>
      <c r="M2628" s="421"/>
      <c r="N2628" s="292"/>
      <c r="O2628" s="372"/>
      <c r="P2628" s="295"/>
      <c r="Q2628" s="442"/>
      <c r="R2628" s="403" t="str">
        <f>R2627</f>
        <v>DELETE</v>
      </c>
      <c r="T2628" s="381"/>
    </row>
    <row r="2629" spans="2:24" ht="31.5" customHeight="1" x14ac:dyDescent="0.45">
      <c r="B2629" s="441"/>
      <c r="C2629" s="417"/>
      <c r="D2629" s="400" t="s">
        <v>205</v>
      </c>
      <c r="J2629" s="292"/>
      <c r="K2629" s="292"/>
      <c r="L2629" s="405"/>
      <c r="M2629" s="421"/>
      <c r="N2629" s="292"/>
      <c r="O2629" s="373">
        <f>-TrialBalanceA!I94</f>
        <v>0</v>
      </c>
      <c r="P2629" s="295"/>
      <c r="Q2629" s="442"/>
      <c r="R2629" s="403" t="str">
        <f t="shared" ref="R2629:R2634" si="188">IF(R$2487="DELETE","DELETE",IF(O2629=0,"DELETE"," "))</f>
        <v>DELETE</v>
      </c>
      <c r="T2629" s="381"/>
    </row>
    <row r="2630" spans="2:24" ht="31.5" customHeight="1" x14ac:dyDescent="0.45">
      <c r="B2630" s="441"/>
      <c r="C2630" s="417"/>
      <c r="D2630" s="400" t="s">
        <v>531</v>
      </c>
      <c r="J2630" s="292"/>
      <c r="K2630" s="292"/>
      <c r="L2630" s="405"/>
      <c r="M2630" s="421"/>
      <c r="N2630" s="292"/>
      <c r="O2630" s="373">
        <f>-SUM(TrialBalanceA!I90:I92)</f>
        <v>0</v>
      </c>
      <c r="P2630" s="295"/>
      <c r="Q2630" s="442"/>
      <c r="R2630" s="403" t="str">
        <f t="shared" si="188"/>
        <v>DELETE</v>
      </c>
      <c r="T2630" s="381"/>
    </row>
    <row r="2631" spans="2:24" ht="31.5" customHeight="1" x14ac:dyDescent="0.45">
      <c r="B2631" s="441"/>
      <c r="C2631" s="417"/>
      <c r="D2631" s="400" t="s">
        <v>532</v>
      </c>
      <c r="J2631" s="292"/>
      <c r="K2631" s="292"/>
      <c r="L2631" s="405"/>
      <c r="M2631" s="421"/>
      <c r="N2631" s="292"/>
      <c r="O2631" s="375">
        <f>-SUM(TrialBalanceA!I85:I88)</f>
        <v>0</v>
      </c>
      <c r="P2631" s="295"/>
      <c r="Q2631" s="442"/>
      <c r="R2631" s="403" t="str">
        <f t="shared" si="188"/>
        <v>DELETE</v>
      </c>
      <c r="T2631" s="381"/>
    </row>
    <row r="2632" spans="2:24" ht="31.5" customHeight="1" x14ac:dyDescent="0.45">
      <c r="B2632" s="441"/>
      <c r="C2632" s="417"/>
      <c r="D2632" s="400" t="s">
        <v>207</v>
      </c>
      <c r="J2632" s="292"/>
      <c r="K2632" s="292"/>
      <c r="L2632" s="405"/>
      <c r="M2632" s="421"/>
      <c r="N2632" s="292"/>
      <c r="O2632" s="375">
        <f>-SUM(TrialBalanceA!I95)</f>
        <v>0</v>
      </c>
      <c r="P2632" s="295"/>
      <c r="Q2632" s="442"/>
      <c r="R2632" s="403" t="str">
        <f t="shared" si="188"/>
        <v>DELETE</v>
      </c>
      <c r="T2632" s="381"/>
    </row>
    <row r="2633" spans="2:24" ht="31.5" customHeight="1" x14ac:dyDescent="0.45">
      <c r="B2633" s="441"/>
      <c r="C2633" s="417"/>
      <c r="D2633" s="400" t="s">
        <v>548</v>
      </c>
      <c r="J2633" s="292"/>
      <c r="K2633" s="292"/>
      <c r="L2633" s="405"/>
      <c r="M2633" s="421"/>
      <c r="N2633" s="292"/>
      <c r="O2633" s="373">
        <f>IF(TrialBalanceA!I93&lt;0,-TrialBalanceA!I93,0)</f>
        <v>0</v>
      </c>
      <c r="P2633" s="295"/>
      <c r="Q2633" s="442"/>
      <c r="R2633" s="403" t="str">
        <f t="shared" si="188"/>
        <v>DELETE</v>
      </c>
      <c r="T2633" s="381"/>
    </row>
    <row r="2634" spans="2:24" ht="31.5" customHeight="1" x14ac:dyDescent="0.45">
      <c r="B2634" s="441"/>
      <c r="C2634" s="417"/>
      <c r="D2634" s="400" t="s">
        <v>359</v>
      </c>
      <c r="J2634" s="292"/>
      <c r="K2634" s="292"/>
      <c r="L2634" s="405"/>
      <c r="M2634" s="421"/>
      <c r="N2634" s="292"/>
      <c r="O2634" s="373">
        <f>-TrialBalanceA!I83</f>
        <v>0</v>
      </c>
      <c r="P2634" s="295"/>
      <c r="Q2634" s="442"/>
      <c r="R2634" s="403" t="str">
        <f t="shared" si="188"/>
        <v>DELETE</v>
      </c>
      <c r="T2634" s="381"/>
    </row>
    <row r="2635" spans="2:24" ht="31.5" customHeight="1" x14ac:dyDescent="0.45">
      <c r="B2635" s="441"/>
      <c r="C2635" s="417"/>
      <c r="D2635" s="400" t="str">
        <f>TrialBalance!C96</f>
        <v>Revaluation of investment property</v>
      </c>
      <c r="J2635" s="292"/>
      <c r="K2635" s="292"/>
      <c r="L2635" s="405"/>
      <c r="M2635" s="421"/>
      <c r="N2635" s="292"/>
      <c r="O2635" s="373">
        <f>-TrialBalanceA!I96</f>
        <v>0</v>
      </c>
      <c r="P2635" s="295"/>
      <c r="Q2635" s="442"/>
      <c r="R2635" s="403" t="str">
        <f>IF(R$2487="DELETE","DELETE",IF(O2635=0,"DELETE"," "))</f>
        <v>DELETE</v>
      </c>
      <c r="T2635" s="381"/>
    </row>
    <row r="2636" spans="2:24" ht="9" customHeight="1" x14ac:dyDescent="0.45">
      <c r="B2636" s="441"/>
      <c r="C2636" s="417"/>
      <c r="J2636" s="292"/>
      <c r="K2636" s="292"/>
      <c r="L2636" s="405"/>
      <c r="M2636" s="421"/>
      <c r="N2636" s="292"/>
      <c r="O2636" s="374"/>
      <c r="P2636" s="295"/>
      <c r="Q2636" s="442"/>
      <c r="R2636" s="403" t="str">
        <f>R2626</f>
        <v>DELETE</v>
      </c>
      <c r="T2636" s="381"/>
    </row>
    <row r="2637" spans="2:24" ht="9" customHeight="1" x14ac:dyDescent="0.45">
      <c r="B2637" s="441"/>
      <c r="C2637" s="417"/>
      <c r="J2637" s="292"/>
      <c r="K2637" s="292"/>
      <c r="L2637" s="405"/>
      <c r="M2637" s="421"/>
      <c r="N2637" s="292"/>
      <c r="O2637" s="349"/>
      <c r="P2637" s="295"/>
      <c r="Q2637" s="442"/>
      <c r="R2637" s="403" t="str">
        <f>R2636</f>
        <v>DELETE</v>
      </c>
      <c r="T2637" s="381"/>
    </row>
    <row r="2638" spans="2:24" ht="9" customHeight="1" x14ac:dyDescent="0.45">
      <c r="B2638" s="441"/>
      <c r="C2638" s="417"/>
      <c r="J2638" s="292"/>
      <c r="K2638" s="292"/>
      <c r="L2638" s="405"/>
      <c r="M2638" s="421"/>
      <c r="N2638" s="292"/>
      <c r="O2638" s="347"/>
      <c r="P2638" s="295"/>
      <c r="Q2638" s="442"/>
      <c r="R2638" s="403" t="str">
        <f>R2637</f>
        <v>DELETE</v>
      </c>
      <c r="T2638" s="381"/>
    </row>
    <row r="2639" spans="2:24" ht="31.5" customHeight="1" x14ac:dyDescent="0.45">
      <c r="B2639" s="441"/>
      <c r="C2639" s="417"/>
      <c r="J2639" s="292"/>
      <c r="K2639" s="292"/>
      <c r="L2639" s="405"/>
      <c r="M2639" s="421"/>
      <c r="N2639" s="292"/>
      <c r="O2639" s="347">
        <f>SUM(S2499:S2636)</f>
        <v>0</v>
      </c>
      <c r="P2639" s="295"/>
      <c r="Q2639" s="442"/>
      <c r="R2639" s="403" t="str">
        <f>R2638</f>
        <v>DELETE</v>
      </c>
      <c r="T2639" s="381"/>
    </row>
    <row r="2640" spans="2:24" ht="31.5" customHeight="1" x14ac:dyDescent="0.45">
      <c r="B2640" s="441"/>
      <c r="C2640" s="417"/>
      <c r="J2640" s="292"/>
      <c r="K2640" s="292"/>
      <c r="L2640" s="405"/>
      <c r="M2640" s="421"/>
      <c r="N2640" s="292"/>
      <c r="O2640" s="347"/>
      <c r="P2640" s="295"/>
      <c r="Q2640" s="442"/>
      <c r="R2640" s="403" t="str">
        <f>R2639</f>
        <v>DELETE</v>
      </c>
      <c r="T2640" s="381"/>
    </row>
    <row r="2641" spans="2:24" ht="31.5" customHeight="1" x14ac:dyDescent="0.45">
      <c r="B2641" s="441"/>
      <c r="C2641" s="417" t="s">
        <v>262</v>
      </c>
      <c r="J2641" s="292"/>
      <c r="K2641" s="292">
        <f>FS!B1024</f>
        <v>7</v>
      </c>
      <c r="L2641" s="405"/>
      <c r="M2641" s="421"/>
      <c r="N2641" s="292"/>
      <c r="O2641" s="347">
        <f>SUM(TrialBalanceA!I142:I152)</f>
        <v>0</v>
      </c>
      <c r="P2641" s="295"/>
      <c r="Q2641" s="442"/>
      <c r="R2641" s="403" t="str">
        <f t="shared" ref="R2641" si="189">IF(R$2487="DELETE","DELETE",IF(O2641=0,"DELETE"," "))</f>
        <v>DELETE</v>
      </c>
      <c r="S2641" s="380">
        <f>-O2641</f>
        <v>0</v>
      </c>
      <c r="T2641" s="381"/>
      <c r="U2641" s="380"/>
      <c r="V2641" s="380"/>
      <c r="W2641" s="380"/>
      <c r="X2641" s="380"/>
    </row>
    <row r="2642" spans="2:24" ht="9" customHeight="1" x14ac:dyDescent="0.45">
      <c r="B2642" s="441"/>
      <c r="C2642" s="417"/>
      <c r="J2642" s="292"/>
      <c r="K2642" s="292"/>
      <c r="L2642" s="405"/>
      <c r="M2642" s="421"/>
      <c r="N2642" s="292"/>
      <c r="O2642" s="349"/>
      <c r="P2642" s="295"/>
      <c r="Q2642" s="442"/>
      <c r="R2642" s="403" t="str">
        <f t="shared" ref="R2642:R2650" si="190">R$2487</f>
        <v>DELETE</v>
      </c>
      <c r="T2642" s="381"/>
    </row>
    <row r="2643" spans="2:24" ht="9" customHeight="1" x14ac:dyDescent="0.45">
      <c r="B2643" s="441"/>
      <c r="C2643" s="417"/>
      <c r="J2643" s="292"/>
      <c r="K2643" s="292"/>
      <c r="L2643" s="405"/>
      <c r="M2643" s="421"/>
      <c r="N2643" s="292"/>
      <c r="O2643" s="347"/>
      <c r="P2643" s="295"/>
      <c r="Q2643" s="442"/>
      <c r="R2643" s="403" t="str">
        <f t="shared" si="190"/>
        <v>DELETE</v>
      </c>
      <c r="T2643" s="381"/>
    </row>
    <row r="2644" spans="2:24" ht="31.5" customHeight="1" x14ac:dyDescent="0.45">
      <c r="B2644" s="441"/>
      <c r="C2644" s="315" t="str">
        <f>IF(O2644&lt;0,"NET LOSS BEFORE TAXATION","NET PROFIT BEFORE TAXATION")</f>
        <v>NET PROFIT BEFORE TAXATION</v>
      </c>
      <c r="J2644" s="292"/>
      <c r="K2644" s="292"/>
      <c r="L2644" s="405"/>
      <c r="M2644" s="421"/>
      <c r="N2644" s="292"/>
      <c r="O2644" s="347">
        <f>SUM(S2499:S2643)</f>
        <v>0</v>
      </c>
      <c r="P2644" s="295"/>
      <c r="Q2644" s="442"/>
      <c r="R2644" s="403" t="str">
        <f t="shared" si="190"/>
        <v>DELETE</v>
      </c>
      <c r="T2644" s="381"/>
      <c r="V2644" s="378" t="b">
        <f>O2644=FS!M2307</f>
        <v>1</v>
      </c>
    </row>
    <row r="2645" spans="2:24" ht="9" customHeight="1" thickBot="1" x14ac:dyDescent="0.5">
      <c r="B2645" s="441"/>
      <c r="C2645" s="417"/>
      <c r="J2645" s="292"/>
      <c r="K2645" s="292"/>
      <c r="L2645" s="405"/>
      <c r="M2645" s="421"/>
      <c r="N2645" s="292"/>
      <c r="O2645" s="351"/>
      <c r="P2645" s="295"/>
      <c r="Q2645" s="442"/>
      <c r="R2645" s="403" t="str">
        <f t="shared" si="190"/>
        <v>DELETE</v>
      </c>
      <c r="T2645" s="381"/>
    </row>
    <row r="2646" spans="2:24" ht="9" customHeight="1" thickTop="1" x14ac:dyDescent="0.45">
      <c r="B2646" s="441"/>
      <c r="C2646" s="417"/>
      <c r="J2646" s="292"/>
      <c r="K2646" s="292"/>
      <c r="L2646" s="405"/>
      <c r="M2646" s="421"/>
      <c r="N2646" s="292"/>
      <c r="O2646" s="363"/>
      <c r="P2646" s="295"/>
      <c r="Q2646" s="442"/>
      <c r="R2646" s="403" t="str">
        <f t="shared" si="190"/>
        <v>DELETE</v>
      </c>
      <c r="T2646" s="381"/>
    </row>
    <row r="2647" spans="2:24" ht="31.5" customHeight="1" x14ac:dyDescent="0.45">
      <c r="B2647" s="441"/>
      <c r="C2647" s="417"/>
      <c r="J2647" s="292"/>
      <c r="K2647" s="292"/>
      <c r="L2647" s="405"/>
      <c r="M2647" s="421"/>
      <c r="N2647" s="292"/>
      <c r="O2647" s="347"/>
      <c r="P2647" s="295"/>
      <c r="Q2647" s="442"/>
      <c r="R2647" s="403" t="str">
        <f t="shared" si="190"/>
        <v>DELETE</v>
      </c>
      <c r="T2647" s="381"/>
    </row>
    <row r="2648" spans="2:24" ht="31.5" customHeight="1" x14ac:dyDescent="0.45">
      <c r="B2648" s="441"/>
      <c r="C2648" s="417"/>
      <c r="J2648" s="292"/>
      <c r="K2648" s="292"/>
      <c r="L2648" s="292"/>
      <c r="M2648" s="347"/>
      <c r="N2648" s="298"/>
      <c r="O2648" s="347"/>
      <c r="P2648" s="295"/>
      <c r="Q2648" s="442"/>
      <c r="R2648" s="403" t="str">
        <f t="shared" si="190"/>
        <v>DELETE</v>
      </c>
      <c r="T2648" s="381"/>
    </row>
    <row r="2649" spans="2:24" ht="31.5" customHeight="1" x14ac:dyDescent="0.45">
      <c r="B2649" s="445"/>
      <c r="C2649" s="429"/>
      <c r="D2649" s="429"/>
      <c r="E2649" s="429"/>
      <c r="F2649" s="429"/>
      <c r="G2649" s="429"/>
      <c r="H2649" s="429"/>
      <c r="I2649" s="429"/>
      <c r="J2649" s="429"/>
      <c r="K2649" s="429"/>
      <c r="L2649" s="429"/>
      <c r="M2649" s="437"/>
      <c r="N2649" s="461"/>
      <c r="O2649" s="437"/>
      <c r="P2649" s="433"/>
      <c r="Q2649" s="446"/>
      <c r="R2649" s="403" t="str">
        <f t="shared" si="190"/>
        <v>DELETE</v>
      </c>
      <c r="T2649" s="381"/>
    </row>
    <row r="2650" spans="2:24" ht="31.5" customHeight="1" x14ac:dyDescent="0.45">
      <c r="M2650" s="426"/>
      <c r="N2650" s="406"/>
      <c r="O2650" s="426"/>
      <c r="R2650" s="403" t="str">
        <f t="shared" si="190"/>
        <v>DELETE</v>
      </c>
      <c r="T2650" s="381"/>
    </row>
    <row r="2651" spans="2:24" ht="31.5" customHeight="1" x14ac:dyDescent="0.45">
      <c r="M2651" s="426"/>
      <c r="N2651" s="406"/>
      <c r="O2651" s="426"/>
      <c r="R2651" s="403" t="str">
        <f>IF(SUM(U2663:U2665)+SUM(U2683:U2690)+SUM(U2790:U2800)+O2808=0,"DELETE",IF(SUM(S2663:S2665)+SUM(U2663:U2665)+SUM(S2683:S2690)+SUM(U2683:U2690)+SUM(S2790:S2800)+SUM(U2790:U2800)+M2808+O2808=0,"DELETE"," "))</f>
        <v>DELETE</v>
      </c>
      <c r="T2651" s="381"/>
      <c r="V2651" s="382"/>
      <c r="W2651" s="382"/>
      <c r="X2651" s="382"/>
    </row>
    <row r="2652" spans="2:24" ht="31.5" customHeight="1" x14ac:dyDescent="0.45">
      <c r="D2652" s="417" t="s">
        <v>644</v>
      </c>
      <c r="M2652" s="426"/>
      <c r="N2652" s="406"/>
      <c r="O2652" s="426"/>
      <c r="R2652" s="403" t="str">
        <f>R$2651</f>
        <v>DELETE</v>
      </c>
      <c r="T2652" s="381"/>
      <c r="V2652" s="379"/>
      <c r="X2652" s="379"/>
    </row>
    <row r="2653" spans="2:24" ht="31.5" customHeight="1" x14ac:dyDescent="0.45">
      <c r="M2653" s="426"/>
      <c r="N2653" s="406"/>
      <c r="O2653" s="426"/>
      <c r="R2653" s="403" t="str">
        <f t="shared" ref="R2653:R2662" si="191">R$2651</f>
        <v>DELETE</v>
      </c>
      <c r="T2653" s="381"/>
    </row>
    <row r="2654" spans="2:24" ht="31.5" customHeight="1" x14ac:dyDescent="0.45">
      <c r="D2654" s="417" t="str">
        <f>Criteria!E15</f>
        <v>SUBSIDIARY TWO 15 (PTY) LTD</v>
      </c>
      <c r="M2654" s="426"/>
      <c r="N2654" s="406"/>
      <c r="O2654" s="347" t="s">
        <v>96</v>
      </c>
      <c r="Q2654" s="292">
        <v>1</v>
      </c>
      <c r="R2654" s="403" t="str">
        <f t="shared" si="191"/>
        <v>DELETE</v>
      </c>
      <c r="T2654" s="381"/>
    </row>
    <row r="2655" spans="2:24" ht="31.5" customHeight="1" x14ac:dyDescent="0.45">
      <c r="D2655" s="405"/>
      <c r="M2655" s="426"/>
      <c r="N2655" s="406"/>
      <c r="O2655" s="426"/>
      <c r="R2655" s="403" t="str">
        <f t="shared" si="191"/>
        <v>DELETE</v>
      </c>
      <c r="T2655" s="381"/>
    </row>
    <row r="2656" spans="2:24" ht="31.5" customHeight="1" x14ac:dyDescent="0.45">
      <c r="M2656" s="426"/>
      <c r="N2656" s="406"/>
      <c r="O2656" s="426"/>
      <c r="R2656" s="403" t="str">
        <f t="shared" si="191"/>
        <v>DELETE</v>
      </c>
      <c r="T2656" s="381"/>
    </row>
    <row r="2657" spans="2:24" ht="31.5" customHeight="1" x14ac:dyDescent="0.45">
      <c r="D2657" s="417" t="s">
        <v>91</v>
      </c>
      <c r="M2657" s="426"/>
      <c r="N2657" s="406"/>
      <c r="O2657" s="426"/>
      <c r="R2657" s="403" t="str">
        <f t="shared" si="191"/>
        <v>DELETE</v>
      </c>
      <c r="T2657" s="381"/>
    </row>
    <row r="2658" spans="2:24" ht="31.5" customHeight="1" x14ac:dyDescent="0.45">
      <c r="D2658" s="417" t="str">
        <f>Criteria!E20</f>
        <v>29 FEBRUARY 2024</v>
      </c>
      <c r="M2658" s="426"/>
      <c r="N2658" s="406"/>
      <c r="O2658" s="426"/>
      <c r="R2658" s="403" t="str">
        <f t="shared" si="191"/>
        <v>DELETE</v>
      </c>
      <c r="T2658" s="381"/>
    </row>
    <row r="2659" spans="2:24" ht="31.5" customHeight="1" x14ac:dyDescent="0.45">
      <c r="M2659" s="426"/>
      <c r="N2659" s="406"/>
      <c r="O2659" s="426"/>
      <c r="R2659" s="403" t="str">
        <f t="shared" si="191"/>
        <v>DELETE</v>
      </c>
      <c r="T2659" s="381"/>
    </row>
    <row r="2660" spans="2:24" ht="31.5" customHeight="1" x14ac:dyDescent="0.45">
      <c r="B2660" s="438"/>
      <c r="C2660" s="439"/>
      <c r="D2660" s="439"/>
      <c r="E2660" s="439"/>
      <c r="F2660" s="439"/>
      <c r="G2660" s="439"/>
      <c r="H2660" s="439"/>
      <c r="I2660" s="439"/>
      <c r="J2660" s="439"/>
      <c r="K2660" s="439"/>
      <c r="L2660" s="439"/>
      <c r="M2660" s="469"/>
      <c r="N2660" s="470"/>
      <c r="O2660" s="469"/>
      <c r="P2660" s="448"/>
      <c r="Q2660" s="440"/>
      <c r="R2660" s="403" t="str">
        <f t="shared" si="191"/>
        <v>DELETE</v>
      </c>
      <c r="T2660" s="381"/>
    </row>
    <row r="2661" spans="2:24" ht="31.5" customHeight="1" x14ac:dyDescent="0.45">
      <c r="B2661" s="441"/>
      <c r="J2661" s="292"/>
      <c r="K2661" s="292" t="s">
        <v>104</v>
      </c>
      <c r="L2661" s="292"/>
      <c r="M2661" s="344">
        <f>Criteria!E22</f>
        <v>2024</v>
      </c>
      <c r="N2661" s="294"/>
      <c r="O2661" s="344">
        <f>Criteria!E27</f>
        <v>2023</v>
      </c>
      <c r="P2661" s="295"/>
      <c r="Q2661" s="442"/>
      <c r="R2661" s="403" t="str">
        <f t="shared" si="191"/>
        <v>DELETE</v>
      </c>
      <c r="T2661" s="381"/>
    </row>
    <row r="2662" spans="2:24" ht="31.5" customHeight="1" x14ac:dyDescent="0.45">
      <c r="B2662" s="441"/>
      <c r="J2662" s="292"/>
      <c r="K2662" s="292"/>
      <c r="L2662" s="292"/>
      <c r="M2662" s="347"/>
      <c r="N2662" s="298"/>
      <c r="O2662" s="347"/>
      <c r="P2662" s="295"/>
      <c r="Q2662" s="442"/>
      <c r="R2662" s="403" t="str">
        <f t="shared" si="191"/>
        <v>DELETE</v>
      </c>
      <c r="T2662" s="381"/>
    </row>
    <row r="2663" spans="2:24" ht="31.5" customHeight="1" x14ac:dyDescent="0.45">
      <c r="B2663" s="441"/>
      <c r="C2663" s="417" t="s">
        <v>112</v>
      </c>
      <c r="J2663" s="292"/>
      <c r="K2663" s="292"/>
      <c r="L2663" s="292"/>
      <c r="M2663" s="347">
        <f>-SUM(TrialBalanceB!I5:I10)</f>
        <v>0</v>
      </c>
      <c r="N2663" s="298"/>
      <c r="O2663" s="347">
        <f>-SUM(TrialBalanceB!K5:K10)</f>
        <v>0</v>
      </c>
      <c r="P2663" s="295"/>
      <c r="Q2663" s="442"/>
      <c r="R2663" s="403" t="str">
        <f>IF(R2651="DELETE","DELETE",IF(M2663+O2663=0,IF(M2665+O2665=0," ","DELETE")," "))</f>
        <v>DELETE</v>
      </c>
      <c r="S2663" s="380">
        <f>M2663</f>
        <v>0</v>
      </c>
      <c r="T2663" s="381"/>
      <c r="U2663" s="380">
        <f>O2663</f>
        <v>0</v>
      </c>
      <c r="V2663" s="380"/>
      <c r="W2663" s="380"/>
      <c r="X2663" s="380"/>
    </row>
    <row r="2664" spans="2:24" ht="31.5" customHeight="1" x14ac:dyDescent="0.45">
      <c r="B2664" s="441"/>
      <c r="C2664" s="417"/>
      <c r="J2664" s="292"/>
      <c r="K2664" s="292"/>
      <c r="L2664" s="292"/>
      <c r="M2664" s="347"/>
      <c r="N2664" s="298"/>
      <c r="O2664" s="347"/>
      <c r="P2664" s="295"/>
      <c r="Q2664" s="442"/>
      <c r="R2664" s="403" t="str">
        <f>R2663</f>
        <v>DELETE</v>
      </c>
      <c r="S2664" s="380"/>
      <c r="T2664" s="381"/>
      <c r="U2664" s="380"/>
      <c r="V2664" s="380"/>
      <c r="W2664" s="380"/>
      <c r="X2664" s="380"/>
    </row>
    <row r="2665" spans="2:24" ht="31.5" customHeight="1" x14ac:dyDescent="0.45">
      <c r="B2665" s="441"/>
      <c r="C2665" s="417" t="s">
        <v>525</v>
      </c>
      <c r="J2665" s="292"/>
      <c r="K2665" s="292"/>
      <c r="L2665" s="292"/>
      <c r="M2665" s="347">
        <f>-TrialBalanceB!I11</f>
        <v>0</v>
      </c>
      <c r="N2665" s="298"/>
      <c r="O2665" s="347">
        <f>-TrialBalanceB!K11</f>
        <v>0</v>
      </c>
      <c r="P2665" s="295"/>
      <c r="Q2665" s="442"/>
      <c r="R2665" s="403" t="str">
        <f>IF(R$2651="DELETE","DELETE",IF(M2665+O2665=0,"DELETE"," "))</f>
        <v>DELETE</v>
      </c>
      <c r="S2665" s="380">
        <f>M2665</f>
        <v>0</v>
      </c>
      <c r="T2665" s="381"/>
      <c r="U2665" s="380">
        <f>O2665</f>
        <v>0</v>
      </c>
      <c r="V2665" s="380"/>
      <c r="W2665" s="380"/>
      <c r="X2665" s="380"/>
    </row>
    <row r="2666" spans="2:24" ht="31.5" customHeight="1" x14ac:dyDescent="0.45">
      <c r="B2666" s="441"/>
      <c r="C2666" s="417"/>
      <c r="J2666" s="292"/>
      <c r="K2666" s="292"/>
      <c r="L2666" s="292"/>
      <c r="M2666" s="347"/>
      <c r="N2666" s="298"/>
      <c r="O2666" s="347"/>
      <c r="P2666" s="295"/>
      <c r="Q2666" s="442"/>
      <c r="R2666" s="403" t="str">
        <f>R2665</f>
        <v>DELETE</v>
      </c>
      <c r="T2666" s="381"/>
    </row>
    <row r="2667" spans="2:24" ht="31.5" customHeight="1" x14ac:dyDescent="0.45">
      <c r="B2667" s="441"/>
      <c r="C2667" s="417" t="s">
        <v>273</v>
      </c>
      <c r="J2667" s="292"/>
      <c r="K2667" s="292"/>
      <c r="L2667" s="292"/>
      <c r="M2667" s="347">
        <f>SUM(M2670:M2677)</f>
        <v>0</v>
      </c>
      <c r="N2667" s="298"/>
      <c r="O2667" s="347">
        <f>SUM(O2670:O2677)</f>
        <v>0</v>
      </c>
      <c r="P2667" s="295"/>
      <c r="Q2667" s="442"/>
      <c r="R2667" s="403" t="str">
        <f>IF(R$2651="DELETE","DELETE",IF(M2667=0,IF(O2667=0,"DELETE"," ")," "))</f>
        <v>DELETE</v>
      </c>
      <c r="S2667" s="380">
        <f>-M2667</f>
        <v>0</v>
      </c>
      <c r="T2667" s="381"/>
      <c r="U2667" s="380">
        <f>-O2667</f>
        <v>0</v>
      </c>
      <c r="V2667" s="380"/>
      <c r="W2667" s="380"/>
      <c r="X2667" s="380"/>
    </row>
    <row r="2668" spans="2:24" ht="9" customHeight="1" x14ac:dyDescent="0.45">
      <c r="B2668" s="441"/>
      <c r="C2668" s="417"/>
      <c r="J2668" s="292"/>
      <c r="K2668" s="292"/>
      <c r="L2668" s="292"/>
      <c r="M2668" s="347"/>
      <c r="N2668" s="298"/>
      <c r="O2668" s="347"/>
      <c r="P2668" s="295"/>
      <c r="Q2668" s="442"/>
      <c r="R2668" s="403" t="str">
        <f>R2667</f>
        <v>DELETE</v>
      </c>
      <c r="T2668" s="381"/>
    </row>
    <row r="2669" spans="2:24" ht="9" customHeight="1" x14ac:dyDescent="0.45">
      <c r="B2669" s="441"/>
      <c r="C2669" s="417"/>
      <c r="J2669" s="292"/>
      <c r="K2669" s="292"/>
      <c r="L2669" s="292"/>
      <c r="M2669" s="353"/>
      <c r="N2669" s="299"/>
      <c r="O2669" s="366"/>
      <c r="P2669" s="295"/>
      <c r="Q2669" s="442"/>
      <c r="R2669" s="403" t="str">
        <f>R2668</f>
        <v>DELETE</v>
      </c>
      <c r="T2669" s="381"/>
    </row>
    <row r="2670" spans="2:24" ht="31.5" customHeight="1" x14ac:dyDescent="0.45">
      <c r="B2670" s="441"/>
      <c r="C2670" s="417"/>
      <c r="D2670" s="400" t="s">
        <v>527</v>
      </c>
      <c r="J2670" s="292"/>
      <c r="K2670" s="292"/>
      <c r="L2670" s="292"/>
      <c r="M2670" s="354">
        <f>SUM(TrialBalanceB!I13:I16)</f>
        <v>0</v>
      </c>
      <c r="N2670" s="298"/>
      <c r="O2670" s="367">
        <f>SUM(TrialBalanceB!K13:K16)</f>
        <v>0</v>
      </c>
      <c r="P2670" s="295"/>
      <c r="Q2670" s="442"/>
      <c r="R2670" s="403" t="str">
        <f t="shared" ref="R2670:R2677" si="192">IF(R$2651="DELETE","DELETE",IF(M2670+O2670=0,"DELETE"," "))</f>
        <v>DELETE</v>
      </c>
      <c r="T2670" s="381"/>
    </row>
    <row r="2671" spans="2:24" ht="31.5" customHeight="1" x14ac:dyDescent="0.45">
      <c r="B2671" s="441"/>
      <c r="C2671" s="417"/>
      <c r="D2671" s="400" t="s">
        <v>274</v>
      </c>
      <c r="J2671" s="292"/>
      <c r="K2671" s="292"/>
      <c r="L2671" s="292"/>
      <c r="M2671" s="354">
        <f>TrialBalanceB!I17</f>
        <v>0</v>
      </c>
      <c r="N2671" s="298"/>
      <c r="O2671" s="367">
        <f>TrialBalanceB!K17</f>
        <v>0</v>
      </c>
      <c r="P2671" s="295"/>
      <c r="Q2671" s="442"/>
      <c r="R2671" s="403" t="str">
        <f t="shared" si="192"/>
        <v>DELETE</v>
      </c>
      <c r="T2671" s="381"/>
    </row>
    <row r="2672" spans="2:24" ht="31.5" customHeight="1" x14ac:dyDescent="0.45">
      <c r="B2672" s="441"/>
      <c r="C2672" s="417"/>
      <c r="D2672" s="400">
        <f>TrialBalanceB!C18</f>
        <v>0</v>
      </c>
      <c r="J2672" s="292"/>
      <c r="K2672" s="292"/>
      <c r="L2672" s="292"/>
      <c r="M2672" s="354">
        <f>TrialBalanceB!I18</f>
        <v>0</v>
      </c>
      <c r="N2672" s="298"/>
      <c r="O2672" s="367">
        <f>TrialBalanceB!K18</f>
        <v>0</v>
      </c>
      <c r="P2672" s="295"/>
      <c r="Q2672" s="442"/>
      <c r="R2672" s="403" t="str">
        <f t="shared" si="192"/>
        <v>DELETE</v>
      </c>
      <c r="T2672" s="381"/>
    </row>
    <row r="2673" spans="2:26" ht="31.5" customHeight="1" x14ac:dyDescent="0.45">
      <c r="B2673" s="441"/>
      <c r="C2673" s="417"/>
      <c r="D2673" s="400">
        <f>TrialBalanceB!C19</f>
        <v>0</v>
      </c>
      <c r="J2673" s="292"/>
      <c r="K2673" s="292"/>
      <c r="L2673" s="292"/>
      <c r="M2673" s="354">
        <f>TrialBalanceB!I19</f>
        <v>0</v>
      </c>
      <c r="N2673" s="298"/>
      <c r="O2673" s="367">
        <f>TrialBalanceB!K19</f>
        <v>0</v>
      </c>
      <c r="P2673" s="295"/>
      <c r="Q2673" s="442"/>
      <c r="R2673" s="403" t="str">
        <f t="shared" si="192"/>
        <v>DELETE</v>
      </c>
      <c r="T2673" s="381"/>
    </row>
    <row r="2674" spans="2:26" ht="31.5" customHeight="1" x14ac:dyDescent="0.45">
      <c r="B2674" s="441"/>
      <c r="C2674" s="417"/>
      <c r="D2674" s="400">
        <f>TrialBalanceB!C20</f>
        <v>0</v>
      </c>
      <c r="J2674" s="292"/>
      <c r="K2674" s="292"/>
      <c r="L2674" s="292"/>
      <c r="M2674" s="354">
        <f>TrialBalanceB!I20</f>
        <v>0</v>
      </c>
      <c r="N2674" s="298"/>
      <c r="O2674" s="367">
        <f>TrialBalanceB!K20</f>
        <v>0</v>
      </c>
      <c r="P2674" s="295"/>
      <c r="Q2674" s="442"/>
      <c r="R2674" s="403" t="str">
        <f t="shared" si="192"/>
        <v>DELETE</v>
      </c>
      <c r="T2674" s="381"/>
    </row>
    <row r="2675" spans="2:26" ht="31.5" customHeight="1" x14ac:dyDescent="0.45">
      <c r="B2675" s="441"/>
      <c r="C2675" s="417"/>
      <c r="D2675" s="400">
        <f>TrialBalanceB!C21</f>
        <v>0</v>
      </c>
      <c r="J2675" s="292"/>
      <c r="K2675" s="292"/>
      <c r="L2675" s="292"/>
      <c r="M2675" s="354">
        <f>TrialBalanceB!I21</f>
        <v>0</v>
      </c>
      <c r="N2675" s="298"/>
      <c r="O2675" s="367">
        <f>TrialBalanceB!K21</f>
        <v>0</v>
      </c>
      <c r="P2675" s="295"/>
      <c r="Q2675" s="442"/>
      <c r="R2675" s="403" t="str">
        <f t="shared" si="192"/>
        <v>DELETE</v>
      </c>
      <c r="T2675" s="381"/>
    </row>
    <row r="2676" spans="2:26" ht="31.5" customHeight="1" x14ac:dyDescent="0.45">
      <c r="B2676" s="441"/>
      <c r="C2676" s="417"/>
      <c r="D2676" s="400">
        <f>TrialBalanceB!C22</f>
        <v>0</v>
      </c>
      <c r="J2676" s="292"/>
      <c r="K2676" s="292"/>
      <c r="L2676" s="292"/>
      <c r="M2676" s="354">
        <f>TrialBalanceB!I22</f>
        <v>0</v>
      </c>
      <c r="N2676" s="298"/>
      <c r="O2676" s="367">
        <f>TrialBalanceB!K22</f>
        <v>0</v>
      </c>
      <c r="P2676" s="295"/>
      <c r="Q2676" s="442"/>
      <c r="R2676" s="403" t="str">
        <f t="shared" si="192"/>
        <v>DELETE</v>
      </c>
      <c r="T2676" s="381"/>
    </row>
    <row r="2677" spans="2:26" ht="31.5" customHeight="1" x14ac:dyDescent="0.45">
      <c r="B2677" s="441"/>
      <c r="C2677" s="417"/>
      <c r="D2677" s="400" t="s">
        <v>528</v>
      </c>
      <c r="J2677" s="292"/>
      <c r="K2677" s="292"/>
      <c r="L2677" s="292"/>
      <c r="M2677" s="354">
        <f>SUM(TrialBalanceB!I23:I26)</f>
        <v>0</v>
      </c>
      <c r="N2677" s="298"/>
      <c r="O2677" s="367">
        <f>SUM(TrialBalanceB!K23:K26)</f>
        <v>0</v>
      </c>
      <c r="P2677" s="295"/>
      <c r="Q2677" s="442"/>
      <c r="R2677" s="403" t="str">
        <f t="shared" si="192"/>
        <v>DELETE</v>
      </c>
      <c r="T2677" s="381"/>
    </row>
    <row r="2678" spans="2:26" ht="9" customHeight="1" x14ac:dyDescent="0.45">
      <c r="B2678" s="441"/>
      <c r="C2678" s="417"/>
      <c r="J2678" s="292"/>
      <c r="K2678" s="292"/>
      <c r="L2678" s="292"/>
      <c r="M2678" s="355"/>
      <c r="N2678" s="300"/>
      <c r="O2678" s="368"/>
      <c r="P2678" s="295"/>
      <c r="Q2678" s="442"/>
      <c r="R2678" s="403" t="str">
        <f>R2667</f>
        <v>DELETE</v>
      </c>
      <c r="T2678" s="381"/>
    </row>
    <row r="2679" spans="2:26" ht="9" customHeight="1" x14ac:dyDescent="0.45">
      <c r="B2679" s="441"/>
      <c r="C2679" s="417"/>
      <c r="J2679" s="292"/>
      <c r="K2679" s="292"/>
      <c r="L2679" s="292"/>
      <c r="M2679" s="349"/>
      <c r="N2679" s="300"/>
      <c r="O2679" s="349"/>
      <c r="P2679" s="295"/>
      <c r="Q2679" s="442"/>
      <c r="R2679" s="403" t="str">
        <f>R2667</f>
        <v>DELETE</v>
      </c>
      <c r="T2679" s="381"/>
    </row>
    <row r="2680" spans="2:26" ht="9" customHeight="1" x14ac:dyDescent="0.45">
      <c r="B2680" s="441"/>
      <c r="C2680" s="417"/>
      <c r="J2680" s="292"/>
      <c r="K2680" s="292"/>
      <c r="L2680" s="292"/>
      <c r="M2680" s="347"/>
      <c r="N2680" s="298"/>
      <c r="O2680" s="347"/>
      <c r="P2680" s="295"/>
      <c r="Q2680" s="442"/>
      <c r="R2680" s="403" t="str">
        <f>R2679</f>
        <v>DELETE</v>
      </c>
      <c r="T2680" s="381"/>
    </row>
    <row r="2681" spans="2:26" ht="31.5" customHeight="1" x14ac:dyDescent="0.45">
      <c r="B2681" s="441"/>
      <c r="C2681" s="315" t="str">
        <f>IF((Y2681+Z2681)=3,"GROSS PROFIT/(LOSS)",(IF((Y2681+Z2681=4),"GROSS PROFIT","GROSS LOSS")))</f>
        <v>GROSS PROFIT</v>
      </c>
      <c r="J2681" s="292"/>
      <c r="K2681" s="292"/>
      <c r="L2681" s="292"/>
      <c r="M2681" s="347">
        <f>SUM(S2663:S2678)</f>
        <v>0</v>
      </c>
      <c r="N2681" s="298"/>
      <c r="O2681" s="347">
        <f>SUM(U2663:U2678)</f>
        <v>0</v>
      </c>
      <c r="P2681" s="295"/>
      <c r="Q2681" s="442"/>
      <c r="R2681" s="403" t="str">
        <f>R2680</f>
        <v>DELETE</v>
      </c>
      <c r="T2681" s="381"/>
      <c r="Y2681" s="378">
        <f>IF(M2681&lt;0,1,IF(M2681=0,IF(O2681&lt;0,1,2),2))</f>
        <v>2</v>
      </c>
      <c r="Z2681" s="378">
        <f>IF(O2681&lt;0,1,IF(O2681=0,IF(M2681&lt;0,1,2),2))</f>
        <v>2</v>
      </c>
    </row>
    <row r="2682" spans="2:26" ht="31.5" customHeight="1" x14ac:dyDescent="0.45">
      <c r="B2682" s="441"/>
      <c r="C2682" s="417"/>
      <c r="J2682" s="292"/>
      <c r="K2682" s="292"/>
      <c r="L2682" s="292"/>
      <c r="M2682" s="347"/>
      <c r="N2682" s="298"/>
      <c r="O2682" s="347"/>
      <c r="P2682" s="295"/>
      <c r="Q2682" s="442"/>
      <c r="R2682" s="403" t="str">
        <f>R2681</f>
        <v>DELETE</v>
      </c>
      <c r="T2682" s="381"/>
    </row>
    <row r="2683" spans="2:26" ht="31.5" customHeight="1" x14ac:dyDescent="0.45">
      <c r="B2683" s="441"/>
      <c r="C2683" s="417" t="s">
        <v>323</v>
      </c>
      <c r="J2683" s="292"/>
      <c r="K2683" s="292"/>
      <c r="L2683" s="292"/>
      <c r="M2683" s="347">
        <f>SUM(M2685:M2692)</f>
        <v>0</v>
      </c>
      <c r="N2683" s="298"/>
      <c r="O2683" s="347">
        <f>SUM(O2685:O2692)</f>
        <v>0</v>
      </c>
      <c r="P2683" s="295"/>
      <c r="Q2683" s="442"/>
      <c r="R2683" s="403" t="str">
        <f t="shared" ref="R2683" si="193">IF(R$2651="DELETE","DELETE",IF(M2683+O2683=0,"DELETE"," "))</f>
        <v>DELETE</v>
      </c>
      <c r="S2683" s="380">
        <f>M2683</f>
        <v>0</v>
      </c>
      <c r="T2683" s="381"/>
      <c r="U2683" s="380">
        <f>O2683</f>
        <v>0</v>
      </c>
    </row>
    <row r="2684" spans="2:26" ht="9" customHeight="1" x14ac:dyDescent="0.45">
      <c r="B2684" s="441"/>
      <c r="C2684" s="417"/>
      <c r="J2684" s="292"/>
      <c r="K2684" s="292"/>
      <c r="L2684" s="292"/>
      <c r="M2684" s="347"/>
      <c r="N2684" s="298"/>
      <c r="O2684" s="347"/>
      <c r="P2684" s="295"/>
      <c r="Q2684" s="442"/>
      <c r="R2684" s="403" t="str">
        <f>R2683</f>
        <v>DELETE</v>
      </c>
      <c r="T2684" s="381"/>
    </row>
    <row r="2685" spans="2:26" ht="9" customHeight="1" x14ac:dyDescent="0.45">
      <c r="B2685" s="441"/>
      <c r="C2685" s="417"/>
      <c r="J2685" s="292"/>
      <c r="K2685" s="292"/>
      <c r="L2685" s="292"/>
      <c r="M2685" s="353"/>
      <c r="N2685" s="299"/>
      <c r="O2685" s="366"/>
      <c r="P2685" s="295"/>
      <c r="Q2685" s="442"/>
      <c r="R2685" s="403" t="str">
        <f>R2683</f>
        <v>DELETE</v>
      </c>
      <c r="T2685" s="381"/>
    </row>
    <row r="2686" spans="2:26" ht="31.5" customHeight="1" x14ac:dyDescent="0.45">
      <c r="B2686" s="441"/>
      <c r="C2686" s="417"/>
      <c r="D2686" s="400" t="str">
        <f>TrialBalanceB!C28</f>
        <v>Insurance claims - Subsidiary Two 15 (Pty) Ltd</v>
      </c>
      <c r="J2686" s="292"/>
      <c r="K2686" s="292"/>
      <c r="L2686" s="292"/>
      <c r="M2686" s="354">
        <f>-TrialBalanceB!I28</f>
        <v>0</v>
      </c>
      <c r="N2686" s="298"/>
      <c r="O2686" s="367">
        <f>-TrialBalanceB!K28</f>
        <v>0</v>
      </c>
      <c r="P2686" s="295"/>
      <c r="Q2686" s="442"/>
      <c r="R2686" s="403" t="str">
        <f t="shared" ref="R2686:R2690" si="194">IF(R$2651="DELETE","DELETE",IF(M2686+O2686=0,"DELETE"," "))</f>
        <v>DELETE</v>
      </c>
      <c r="T2686" s="381"/>
    </row>
    <row r="2687" spans="2:26" ht="31.5" customHeight="1" x14ac:dyDescent="0.45">
      <c r="B2687" s="441"/>
      <c r="C2687" s="417"/>
      <c r="D2687" s="400" t="str">
        <f>TrialBalanceB!C29</f>
        <v>Government grants received</v>
      </c>
      <c r="J2687" s="292"/>
      <c r="K2687" s="292"/>
      <c r="L2687" s="292"/>
      <c r="M2687" s="354">
        <f>-TrialBalanceB!I29</f>
        <v>0</v>
      </c>
      <c r="N2687" s="298"/>
      <c r="O2687" s="367">
        <f>-TrialBalanceB!K29</f>
        <v>0</v>
      </c>
      <c r="P2687" s="295"/>
      <c r="Q2687" s="442"/>
      <c r="R2687" s="403" t="str">
        <f t="shared" si="194"/>
        <v>DELETE</v>
      </c>
      <c r="T2687" s="381"/>
    </row>
    <row r="2688" spans="2:26" ht="31.5" customHeight="1" x14ac:dyDescent="0.45">
      <c r="B2688" s="441"/>
      <c r="C2688" s="417"/>
      <c r="D2688" s="400">
        <f>TrialBalanceB!C30</f>
        <v>0</v>
      </c>
      <c r="J2688" s="292"/>
      <c r="K2688" s="292"/>
      <c r="L2688" s="292"/>
      <c r="M2688" s="354">
        <f>-TrialBalanceB!I30</f>
        <v>0</v>
      </c>
      <c r="N2688" s="298"/>
      <c r="O2688" s="367">
        <f>-TrialBalanceB!K30</f>
        <v>0</v>
      </c>
      <c r="P2688" s="295"/>
      <c r="Q2688" s="442"/>
      <c r="R2688" s="403" t="str">
        <f t="shared" si="194"/>
        <v>DELETE</v>
      </c>
      <c r="T2688" s="381"/>
    </row>
    <row r="2689" spans="2:24" ht="31.5" customHeight="1" x14ac:dyDescent="0.45">
      <c r="B2689" s="441"/>
      <c r="C2689" s="417"/>
      <c r="D2689" s="400">
        <f>TrialBalanceB!C31</f>
        <v>0</v>
      </c>
      <c r="J2689" s="292"/>
      <c r="K2689" s="292"/>
      <c r="L2689" s="292"/>
      <c r="M2689" s="354">
        <f>-TrialBalanceB!I31</f>
        <v>0</v>
      </c>
      <c r="N2689" s="298"/>
      <c r="O2689" s="367">
        <f>-TrialBalanceB!K31</f>
        <v>0</v>
      </c>
      <c r="P2689" s="295"/>
      <c r="Q2689" s="442"/>
      <c r="R2689" s="403" t="str">
        <f t="shared" si="194"/>
        <v>DELETE</v>
      </c>
      <c r="T2689" s="381"/>
    </row>
    <row r="2690" spans="2:24" ht="31.5" customHeight="1" x14ac:dyDescent="0.45">
      <c r="B2690" s="441"/>
      <c r="C2690" s="417"/>
      <c r="D2690" s="400">
        <f>TrialBalanceB!C32</f>
        <v>0</v>
      </c>
      <c r="J2690" s="292"/>
      <c r="K2690" s="292"/>
      <c r="L2690" s="292"/>
      <c r="M2690" s="354">
        <f>-TrialBalanceB!I32</f>
        <v>0</v>
      </c>
      <c r="N2690" s="298"/>
      <c r="O2690" s="367">
        <f>-TrialBalanceB!K32</f>
        <v>0</v>
      </c>
      <c r="P2690" s="295"/>
      <c r="Q2690" s="442"/>
      <c r="R2690" s="403" t="str">
        <f t="shared" si="194"/>
        <v>DELETE</v>
      </c>
      <c r="T2690" s="381"/>
    </row>
    <row r="2691" spans="2:24" ht="31.5" customHeight="1" x14ac:dyDescent="0.45">
      <c r="B2691" s="441"/>
      <c r="C2691" s="417"/>
      <c r="D2691" s="400" t="str">
        <f>TrialBalanceB!C33</f>
        <v>Recoupment of depreciation</v>
      </c>
      <c r="J2691" s="292"/>
      <c r="K2691" s="292"/>
      <c r="L2691" s="292"/>
      <c r="M2691" s="354">
        <f>-TrialBalanceB!I33</f>
        <v>0</v>
      </c>
      <c r="N2691" s="298"/>
      <c r="O2691" s="367">
        <f>-TrialBalanceB!K33</f>
        <v>0</v>
      </c>
      <c r="P2691" s="295"/>
      <c r="Q2691" s="442"/>
      <c r="R2691" s="403" t="str">
        <f t="shared" ref="R2691" si="195">IF(R$2651="DELETE","DELETE",IF(M2691+O2691=0,"DELETE"," "))</f>
        <v>DELETE</v>
      </c>
      <c r="T2691" s="381"/>
    </row>
    <row r="2692" spans="2:24" ht="9" customHeight="1" x14ac:dyDescent="0.45">
      <c r="B2692" s="441"/>
      <c r="C2692" s="417"/>
      <c r="J2692" s="292"/>
      <c r="K2692" s="292"/>
      <c r="L2692" s="292"/>
      <c r="M2692" s="355"/>
      <c r="N2692" s="300"/>
      <c r="O2692" s="368"/>
      <c r="P2692" s="295"/>
      <c r="Q2692" s="442"/>
      <c r="R2692" s="403" t="str">
        <f>R2683</f>
        <v>DELETE</v>
      </c>
      <c r="T2692" s="381"/>
    </row>
    <row r="2693" spans="2:24" ht="9" customHeight="1" x14ac:dyDescent="0.45">
      <c r="B2693" s="441"/>
      <c r="C2693" s="417"/>
      <c r="J2693" s="292"/>
      <c r="K2693" s="292"/>
      <c r="L2693" s="292"/>
      <c r="M2693" s="364"/>
      <c r="N2693" s="321"/>
      <c r="O2693" s="364"/>
      <c r="P2693" s="295"/>
      <c r="Q2693" s="442"/>
      <c r="R2693" s="403" t="str">
        <f>R2692</f>
        <v>DELETE</v>
      </c>
      <c r="T2693" s="381"/>
    </row>
    <row r="2694" spans="2:24" ht="9" customHeight="1" x14ac:dyDescent="0.45">
      <c r="B2694" s="441"/>
      <c r="C2694" s="417"/>
      <c r="J2694" s="292"/>
      <c r="K2694" s="292"/>
      <c r="L2694" s="292"/>
      <c r="M2694" s="347"/>
      <c r="N2694" s="298"/>
      <c r="O2694" s="347"/>
      <c r="P2694" s="295"/>
      <c r="Q2694" s="442"/>
      <c r="R2694" s="403" t="str">
        <f>R2693</f>
        <v>DELETE</v>
      </c>
      <c r="T2694" s="381"/>
    </row>
    <row r="2695" spans="2:24" ht="31.5" customHeight="1" x14ac:dyDescent="0.45">
      <c r="B2695" s="441"/>
      <c r="C2695" s="417"/>
      <c r="J2695" s="292"/>
      <c r="K2695" s="292"/>
      <c r="L2695" s="292"/>
      <c r="M2695" s="347">
        <f>SUM(S2663:S2683)</f>
        <v>0</v>
      </c>
      <c r="N2695" s="298"/>
      <c r="O2695" s="347">
        <f>SUM(U2663:U2683)</f>
        <v>0</v>
      </c>
      <c r="P2695" s="295"/>
      <c r="Q2695" s="442"/>
      <c r="R2695" s="403" t="str">
        <f>R2683</f>
        <v>DELETE</v>
      </c>
      <c r="T2695" s="381"/>
    </row>
    <row r="2696" spans="2:24" ht="31.5" customHeight="1" x14ac:dyDescent="0.45">
      <c r="B2696" s="441"/>
      <c r="C2696" s="417"/>
      <c r="J2696" s="292"/>
      <c r="K2696" s="292"/>
      <c r="L2696" s="292"/>
      <c r="M2696" s="347"/>
      <c r="N2696" s="298"/>
      <c r="O2696" s="347"/>
      <c r="P2696" s="295"/>
      <c r="Q2696" s="442"/>
      <c r="R2696" s="403" t="str">
        <f>R2695</f>
        <v>DELETE</v>
      </c>
      <c r="T2696" s="381"/>
    </row>
    <row r="2697" spans="2:24" ht="31.5" customHeight="1" x14ac:dyDescent="0.45">
      <c r="B2697" s="441"/>
      <c r="C2697" s="417" t="s">
        <v>996</v>
      </c>
      <c r="J2697" s="292"/>
      <c r="K2697" s="292"/>
      <c r="L2697" s="292"/>
      <c r="M2697" s="347">
        <f>SUM(M2699:M2727)</f>
        <v>0</v>
      </c>
      <c r="N2697" s="298"/>
      <c r="O2697" s="347">
        <f>SUM(O2699:O2727)</f>
        <v>0</v>
      </c>
      <c r="P2697" s="295"/>
      <c r="Q2697" s="442"/>
      <c r="R2697" s="403" t="str">
        <f t="shared" ref="R2697" si="196">IF(R$2651="DELETE","DELETE",IF(M2697+O2697=0,"DELETE"," "))</f>
        <v>DELETE</v>
      </c>
      <c r="S2697" s="380">
        <f>-M2697</f>
        <v>0</v>
      </c>
      <c r="T2697" s="381"/>
      <c r="U2697" s="380">
        <f>-O2697</f>
        <v>0</v>
      </c>
      <c r="V2697" s="380"/>
      <c r="W2697" s="380"/>
      <c r="X2697" s="380"/>
    </row>
    <row r="2698" spans="2:24" ht="9" customHeight="1" x14ac:dyDescent="0.45">
      <c r="B2698" s="441"/>
      <c r="C2698" s="417"/>
      <c r="J2698" s="292"/>
      <c r="K2698" s="292"/>
      <c r="L2698" s="292"/>
      <c r="M2698" s="347"/>
      <c r="N2698" s="298"/>
      <c r="O2698" s="347"/>
      <c r="P2698" s="295"/>
      <c r="Q2698" s="442"/>
      <c r="R2698" s="403" t="str">
        <f>R2697</f>
        <v>DELETE</v>
      </c>
      <c r="T2698" s="381"/>
    </row>
    <row r="2699" spans="2:24" ht="9" customHeight="1" x14ac:dyDescent="0.45">
      <c r="B2699" s="441"/>
      <c r="C2699" s="417"/>
      <c r="J2699" s="292"/>
      <c r="K2699" s="292"/>
      <c r="L2699" s="292"/>
      <c r="M2699" s="353"/>
      <c r="N2699" s="299"/>
      <c r="O2699" s="366"/>
      <c r="P2699" s="295"/>
      <c r="Q2699" s="442"/>
      <c r="R2699" s="403" t="str">
        <f>R2698</f>
        <v>DELETE</v>
      </c>
      <c r="T2699" s="381"/>
    </row>
    <row r="2700" spans="2:24" ht="31.5" customHeight="1" x14ac:dyDescent="0.45">
      <c r="B2700" s="441"/>
      <c r="C2700" s="417"/>
      <c r="D2700" s="400" t="s">
        <v>275</v>
      </c>
      <c r="J2700" s="292"/>
      <c r="K2700" s="292"/>
      <c r="L2700" s="292"/>
      <c r="M2700" s="354">
        <f>TrialBalanceB!I40</f>
        <v>0</v>
      </c>
      <c r="N2700" s="298"/>
      <c r="O2700" s="367">
        <f>TrialBalanceB!K40</f>
        <v>0</v>
      </c>
      <c r="P2700" s="295"/>
      <c r="Q2700" s="442"/>
      <c r="R2700" s="403" t="str">
        <f t="shared" ref="R2700:R2726" si="197">IF(R$2651="DELETE","DELETE",IF(M2700+O2700=0,"DELETE"," "))</f>
        <v>DELETE</v>
      </c>
      <c r="T2700" s="381"/>
    </row>
    <row r="2701" spans="2:24" ht="31.5" customHeight="1" x14ac:dyDescent="0.45">
      <c r="B2701" s="441"/>
      <c r="C2701" s="417"/>
      <c r="D2701" s="400" t="s">
        <v>702</v>
      </c>
      <c r="J2701" s="292"/>
      <c r="K2701" s="292"/>
      <c r="L2701" s="292"/>
      <c r="M2701" s="354">
        <f>TrialBalanceB!I41</f>
        <v>0</v>
      </c>
      <c r="N2701" s="298"/>
      <c r="O2701" s="367">
        <f>TrialBalanceB!K41</f>
        <v>0</v>
      </c>
      <c r="P2701" s="295"/>
      <c r="Q2701" s="442"/>
      <c r="R2701" s="403" t="str">
        <f t="shared" si="197"/>
        <v>DELETE</v>
      </c>
      <c r="T2701" s="381"/>
    </row>
    <row r="2702" spans="2:24" ht="31.5" customHeight="1" x14ac:dyDescent="0.45">
      <c r="B2702" s="441"/>
      <c r="C2702" s="417"/>
      <c r="D2702" s="400" t="s">
        <v>276</v>
      </c>
      <c r="J2702" s="292"/>
      <c r="K2702" s="292"/>
      <c r="L2702" s="292"/>
      <c r="M2702" s="354">
        <f>TrialBalanceB!I42</f>
        <v>0</v>
      </c>
      <c r="N2702" s="298"/>
      <c r="O2702" s="367">
        <f>TrialBalanceB!K42</f>
        <v>0</v>
      </c>
      <c r="P2702" s="295"/>
      <c r="Q2702" s="442"/>
      <c r="R2702" s="403" t="str">
        <f t="shared" si="197"/>
        <v>DELETE</v>
      </c>
      <c r="T2702" s="381"/>
    </row>
    <row r="2703" spans="2:24" ht="31.5" customHeight="1" x14ac:dyDescent="0.45">
      <c r="B2703" s="441"/>
      <c r="C2703" s="417"/>
      <c r="D2703" s="400" t="s">
        <v>277</v>
      </c>
      <c r="J2703" s="292"/>
      <c r="K2703" s="292">
        <f>C$940</f>
        <v>5.2999999999999989</v>
      </c>
      <c r="L2703" s="292"/>
      <c r="M2703" s="354">
        <f>SUM(TrialBalanceB!I44:I46)</f>
        <v>0</v>
      </c>
      <c r="N2703" s="298"/>
      <c r="O2703" s="367">
        <f>SUM(TrialBalanceB!K44:K46)</f>
        <v>0</v>
      </c>
      <c r="P2703" s="295"/>
      <c r="Q2703" s="442"/>
      <c r="R2703" s="403" t="str">
        <f t="shared" si="197"/>
        <v>DELETE</v>
      </c>
      <c r="T2703" s="381"/>
    </row>
    <row r="2704" spans="2:24" ht="31.5" customHeight="1" x14ac:dyDescent="0.45">
      <c r="B2704" s="441"/>
      <c r="C2704" s="417"/>
      <c r="D2704" s="400" t="s">
        <v>529</v>
      </c>
      <c r="J2704" s="292"/>
      <c r="K2704" s="292"/>
      <c r="L2704" s="292"/>
      <c r="M2704" s="354">
        <f>TrialBalanceB!I47</f>
        <v>0</v>
      </c>
      <c r="N2704" s="298"/>
      <c r="O2704" s="367">
        <f>TrialBalanceB!K47</f>
        <v>0</v>
      </c>
      <c r="P2704" s="295"/>
      <c r="Q2704" s="442"/>
      <c r="R2704" s="403" t="str">
        <f t="shared" si="197"/>
        <v>DELETE</v>
      </c>
      <c r="S2704" s="383"/>
      <c r="T2704" s="381"/>
      <c r="U2704" s="383"/>
      <c r="V2704" s="383"/>
      <c r="W2704" s="383"/>
      <c r="X2704" s="383"/>
    </row>
    <row r="2705" spans="2:20" ht="31.5" customHeight="1" x14ac:dyDescent="0.45">
      <c r="B2705" s="441"/>
      <c r="C2705" s="417"/>
      <c r="D2705" s="400" t="s">
        <v>725</v>
      </c>
      <c r="J2705" s="292"/>
      <c r="K2705" s="292"/>
      <c r="L2705" s="292"/>
      <c r="M2705" s="354">
        <f>TrialBalanceB!I48</f>
        <v>0</v>
      </c>
      <c r="N2705" s="298"/>
      <c r="O2705" s="367">
        <f>TrialBalanceB!K48</f>
        <v>0</v>
      </c>
      <c r="P2705" s="295"/>
      <c r="Q2705" s="442"/>
      <c r="R2705" s="403" t="str">
        <f t="shared" si="197"/>
        <v>DELETE</v>
      </c>
      <c r="T2705" s="381"/>
    </row>
    <row r="2706" spans="2:20" ht="31.5" customHeight="1" x14ac:dyDescent="0.45">
      <c r="B2706" s="441"/>
      <c r="C2706" s="417"/>
      <c r="D2706" s="400" t="s">
        <v>59</v>
      </c>
      <c r="J2706" s="292"/>
      <c r="K2706" s="292"/>
      <c r="L2706" s="292"/>
      <c r="M2706" s="354">
        <f>TrialBalanceB!I49</f>
        <v>0</v>
      </c>
      <c r="N2706" s="298"/>
      <c r="O2706" s="367">
        <f>TrialBalanceB!K49</f>
        <v>0</v>
      </c>
      <c r="P2706" s="295"/>
      <c r="Q2706" s="442"/>
      <c r="R2706" s="403" t="str">
        <f t="shared" si="197"/>
        <v>DELETE</v>
      </c>
      <c r="T2706" s="381"/>
    </row>
    <row r="2707" spans="2:20" ht="31.5" customHeight="1" x14ac:dyDescent="0.45">
      <c r="B2707" s="441"/>
      <c r="C2707" s="417"/>
      <c r="D2707" s="400" t="s">
        <v>278</v>
      </c>
      <c r="J2707" s="292"/>
      <c r="K2707" s="292"/>
      <c r="L2707" s="292"/>
      <c r="M2707" s="354">
        <f>TrialBalanceB!I50</f>
        <v>0</v>
      </c>
      <c r="N2707" s="298"/>
      <c r="O2707" s="367">
        <f>TrialBalanceB!K50</f>
        <v>0</v>
      </c>
      <c r="P2707" s="295"/>
      <c r="Q2707" s="442"/>
      <c r="R2707" s="403" t="str">
        <f t="shared" si="197"/>
        <v>DELETE</v>
      </c>
      <c r="T2707" s="381"/>
    </row>
    <row r="2708" spans="2:20" ht="31.5" customHeight="1" x14ac:dyDescent="0.45">
      <c r="B2708" s="441"/>
      <c r="C2708" s="417"/>
      <c r="D2708" s="400" t="s">
        <v>546</v>
      </c>
      <c r="J2708" s="292"/>
      <c r="K2708" s="292"/>
      <c r="L2708" s="292"/>
      <c r="M2708" s="354">
        <f>SUM(TrialBalanceB!I51:I52)</f>
        <v>0</v>
      </c>
      <c r="N2708" s="298"/>
      <c r="O2708" s="367">
        <f>SUM(TrialBalanceB!K51:K52)</f>
        <v>0</v>
      </c>
      <c r="P2708" s="295"/>
      <c r="Q2708" s="442"/>
      <c r="R2708" s="403" t="str">
        <f t="shared" si="197"/>
        <v>DELETE</v>
      </c>
      <c r="T2708" s="381"/>
    </row>
    <row r="2709" spans="2:20" ht="31.5" customHeight="1" x14ac:dyDescent="0.45">
      <c r="B2709" s="441"/>
      <c r="C2709" s="417"/>
      <c r="D2709" s="400" t="s">
        <v>545</v>
      </c>
      <c r="J2709" s="292"/>
      <c r="K2709" s="292"/>
      <c r="L2709" s="292"/>
      <c r="M2709" s="354">
        <f>TrialBalanceB!I53</f>
        <v>0</v>
      </c>
      <c r="N2709" s="298"/>
      <c r="O2709" s="367">
        <f>TrialBalanceB!K53</f>
        <v>0</v>
      </c>
      <c r="P2709" s="295"/>
      <c r="Q2709" s="442"/>
      <c r="R2709" s="403" t="str">
        <f t="shared" si="197"/>
        <v>DELETE</v>
      </c>
      <c r="T2709" s="381"/>
    </row>
    <row r="2710" spans="2:20" ht="31.5" customHeight="1" x14ac:dyDescent="0.45">
      <c r="B2710" s="441"/>
      <c r="C2710" s="417"/>
      <c r="D2710" s="400" t="s">
        <v>530</v>
      </c>
      <c r="J2710" s="292"/>
      <c r="K2710" s="292"/>
      <c r="L2710" s="292"/>
      <c r="M2710" s="354">
        <f>SUM(TrialBalanceB!I55:I59)</f>
        <v>0</v>
      </c>
      <c r="N2710" s="298"/>
      <c r="O2710" s="367">
        <f>SUM(TrialBalanceB!K55:K59)</f>
        <v>0</v>
      </c>
      <c r="P2710" s="295"/>
      <c r="Q2710" s="442"/>
      <c r="R2710" s="403" t="str">
        <f t="shared" si="197"/>
        <v>DELETE</v>
      </c>
      <c r="T2710" s="381"/>
    </row>
    <row r="2711" spans="2:20" ht="31.5" customHeight="1" x14ac:dyDescent="0.45">
      <c r="B2711" s="441"/>
      <c r="C2711" s="417"/>
      <c r="D2711" s="400" t="s">
        <v>512</v>
      </c>
      <c r="J2711" s="292"/>
      <c r="K2711" s="292">
        <f>FS!C$908</f>
        <v>5.1999999999999993</v>
      </c>
      <c r="L2711" s="292"/>
      <c r="M2711" s="354">
        <f>SUM(TrialBalanceB!I61:I63)</f>
        <v>0</v>
      </c>
      <c r="N2711" s="298"/>
      <c r="O2711" s="367">
        <f>SUM(TrialBalanceB!K61:K63)</f>
        <v>0</v>
      </c>
      <c r="P2711" s="295"/>
      <c r="Q2711" s="442"/>
      <c r="R2711" s="403" t="str">
        <f t="shared" si="197"/>
        <v>DELETE</v>
      </c>
      <c r="T2711" s="381"/>
    </row>
    <row r="2712" spans="2:20" ht="31.5" customHeight="1" x14ac:dyDescent="0.45">
      <c r="B2712" s="441"/>
      <c r="C2712" s="417"/>
      <c r="D2712" s="400" t="s">
        <v>62</v>
      </c>
      <c r="J2712" s="292"/>
      <c r="K2712" s="292"/>
      <c r="L2712" s="292"/>
      <c r="M2712" s="354">
        <f>TrialBalanceB!I64</f>
        <v>0</v>
      </c>
      <c r="N2712" s="298"/>
      <c r="O2712" s="367">
        <f>TrialBalanceB!K64</f>
        <v>0</v>
      </c>
      <c r="P2712" s="295"/>
      <c r="Q2712" s="442"/>
      <c r="R2712" s="403" t="str">
        <f t="shared" si="197"/>
        <v>DELETE</v>
      </c>
      <c r="T2712" s="381"/>
    </row>
    <row r="2713" spans="2:20" ht="31.5" customHeight="1" x14ac:dyDescent="0.45">
      <c r="B2713" s="441"/>
      <c r="C2713" s="417"/>
      <c r="D2713" s="400" t="s">
        <v>253</v>
      </c>
      <c r="J2713" s="292"/>
      <c r="K2713" s="292"/>
      <c r="L2713" s="292"/>
      <c r="M2713" s="354">
        <f>SUM(TrialBalanceB!I65:I67)</f>
        <v>0</v>
      </c>
      <c r="N2713" s="298"/>
      <c r="O2713" s="367">
        <f>SUM(TrialBalanceB!K65:K67)</f>
        <v>0</v>
      </c>
      <c r="P2713" s="295"/>
      <c r="Q2713" s="442"/>
      <c r="R2713" s="403" t="str">
        <f t="shared" si="197"/>
        <v>DELETE</v>
      </c>
      <c r="T2713" s="381"/>
    </row>
    <row r="2714" spans="2:20" ht="31.5" customHeight="1" x14ac:dyDescent="0.45">
      <c r="B2714" s="441"/>
      <c r="C2714" s="417"/>
      <c r="D2714" s="400" t="s">
        <v>726</v>
      </c>
      <c r="J2714" s="292"/>
      <c r="K2714" s="292"/>
      <c r="L2714" s="292"/>
      <c r="M2714" s="354">
        <f>SUM(TrialBalanceB!I68:I69)</f>
        <v>0</v>
      </c>
      <c r="N2714" s="298"/>
      <c r="O2714" s="367">
        <f>SUM(TrialBalanceB!K68:K69)</f>
        <v>0</v>
      </c>
      <c r="P2714" s="295"/>
      <c r="Q2714" s="442"/>
      <c r="R2714" s="403" t="str">
        <f t="shared" si="197"/>
        <v>DELETE</v>
      </c>
      <c r="T2714" s="381"/>
    </row>
    <row r="2715" spans="2:20" ht="31.5" customHeight="1" x14ac:dyDescent="0.45">
      <c r="B2715" s="441"/>
      <c r="C2715" s="417"/>
      <c r="D2715" s="400" t="s">
        <v>254</v>
      </c>
      <c r="J2715" s="292"/>
      <c r="K2715" s="292"/>
      <c r="L2715" s="292"/>
      <c r="M2715" s="354">
        <f>TrialBalanceB!I70</f>
        <v>0</v>
      </c>
      <c r="N2715" s="298"/>
      <c r="O2715" s="367">
        <f>TrialBalanceB!K70</f>
        <v>0</v>
      </c>
      <c r="P2715" s="295"/>
      <c r="Q2715" s="442"/>
      <c r="R2715" s="403" t="str">
        <f t="shared" si="197"/>
        <v>DELETE</v>
      </c>
      <c r="T2715" s="381"/>
    </row>
    <row r="2716" spans="2:20" ht="31.5" customHeight="1" x14ac:dyDescent="0.45">
      <c r="B2716" s="441"/>
      <c r="C2716" s="417"/>
      <c r="D2716" s="400" t="s">
        <v>387</v>
      </c>
      <c r="J2716" s="292"/>
      <c r="K2716" s="292"/>
      <c r="L2716" s="292"/>
      <c r="M2716" s="354">
        <f>TrialBalanceB!I71</f>
        <v>0</v>
      </c>
      <c r="N2716" s="298"/>
      <c r="O2716" s="367">
        <f>TrialBalanceB!K71</f>
        <v>0</v>
      </c>
      <c r="P2716" s="295"/>
      <c r="Q2716" s="442"/>
      <c r="R2716" s="403" t="str">
        <f t="shared" si="197"/>
        <v>DELETE</v>
      </c>
      <c r="T2716" s="381"/>
    </row>
    <row r="2717" spans="2:20" ht="31.5" customHeight="1" x14ac:dyDescent="0.45">
      <c r="B2717" s="441"/>
      <c r="C2717" s="417"/>
      <c r="D2717" s="400">
        <f>TrialBalanceB!C72</f>
        <v>0</v>
      </c>
      <c r="J2717" s="292"/>
      <c r="K2717" s="292"/>
      <c r="L2717" s="292"/>
      <c r="M2717" s="354">
        <f>TrialBalanceB!I72</f>
        <v>0</v>
      </c>
      <c r="N2717" s="298"/>
      <c r="O2717" s="367">
        <f>TrialBalanceB!K72</f>
        <v>0</v>
      </c>
      <c r="P2717" s="295"/>
      <c r="Q2717" s="442"/>
      <c r="R2717" s="403" t="str">
        <f t="shared" si="197"/>
        <v>DELETE</v>
      </c>
      <c r="T2717" s="381"/>
    </row>
    <row r="2718" spans="2:20" ht="31.5" customHeight="1" x14ac:dyDescent="0.45">
      <c r="B2718" s="441"/>
      <c r="C2718" s="417"/>
      <c r="D2718" s="400">
        <f>TrialBalanceB!C73</f>
        <v>0</v>
      </c>
      <c r="J2718" s="292"/>
      <c r="K2718" s="292"/>
      <c r="L2718" s="292"/>
      <c r="M2718" s="354">
        <f>TrialBalanceB!I73</f>
        <v>0</v>
      </c>
      <c r="N2718" s="298"/>
      <c r="O2718" s="367">
        <f>TrialBalanceB!K73</f>
        <v>0</v>
      </c>
      <c r="P2718" s="295"/>
      <c r="Q2718" s="442"/>
      <c r="R2718" s="403" t="str">
        <f t="shared" si="197"/>
        <v>DELETE</v>
      </c>
      <c r="T2718" s="381"/>
    </row>
    <row r="2719" spans="2:20" ht="31.5" customHeight="1" x14ac:dyDescent="0.45">
      <c r="B2719" s="441"/>
      <c r="C2719" s="417"/>
      <c r="D2719" s="400">
        <f>TrialBalanceB!C74</f>
        <v>0</v>
      </c>
      <c r="J2719" s="292"/>
      <c r="K2719" s="292"/>
      <c r="L2719" s="292"/>
      <c r="M2719" s="354">
        <f>TrialBalanceB!I74</f>
        <v>0</v>
      </c>
      <c r="N2719" s="298"/>
      <c r="O2719" s="367">
        <f>TrialBalanceB!K74</f>
        <v>0</v>
      </c>
      <c r="P2719" s="295"/>
      <c r="Q2719" s="442"/>
      <c r="R2719" s="403" t="str">
        <f t="shared" si="197"/>
        <v>DELETE</v>
      </c>
      <c r="T2719" s="381"/>
    </row>
    <row r="2720" spans="2:20" ht="31.5" customHeight="1" x14ac:dyDescent="0.45">
      <c r="B2720" s="441"/>
      <c r="C2720" s="417"/>
      <c r="D2720" s="400">
        <f>TrialBalanceB!C75</f>
        <v>0</v>
      </c>
      <c r="J2720" s="292"/>
      <c r="K2720" s="292"/>
      <c r="L2720" s="292"/>
      <c r="M2720" s="354">
        <f>TrialBalanceB!I75</f>
        <v>0</v>
      </c>
      <c r="N2720" s="298"/>
      <c r="O2720" s="367">
        <f>TrialBalanceB!K75</f>
        <v>0</v>
      </c>
      <c r="P2720" s="295"/>
      <c r="Q2720" s="442"/>
      <c r="R2720" s="403" t="str">
        <f t="shared" si="197"/>
        <v>DELETE</v>
      </c>
      <c r="T2720" s="381"/>
    </row>
    <row r="2721" spans="2:26" ht="31.5" customHeight="1" x14ac:dyDescent="0.45">
      <c r="B2721" s="441"/>
      <c r="C2721" s="417"/>
      <c r="D2721" s="400">
        <f>TrialBalanceB!C76</f>
        <v>0</v>
      </c>
      <c r="J2721" s="292"/>
      <c r="K2721" s="292"/>
      <c r="L2721" s="292"/>
      <c r="M2721" s="354">
        <f>TrialBalanceB!I76</f>
        <v>0</v>
      </c>
      <c r="N2721" s="298"/>
      <c r="O2721" s="367">
        <f>TrialBalanceB!K76</f>
        <v>0</v>
      </c>
      <c r="P2721" s="295"/>
      <c r="Q2721" s="442"/>
      <c r="R2721" s="403" t="str">
        <f t="shared" si="197"/>
        <v>DELETE</v>
      </c>
      <c r="T2721" s="381"/>
    </row>
    <row r="2722" spans="2:26" ht="31.5" customHeight="1" x14ac:dyDescent="0.45">
      <c r="B2722" s="441"/>
      <c r="C2722" s="417"/>
      <c r="D2722" s="400">
        <f>TrialBalanceB!C77</f>
        <v>0</v>
      </c>
      <c r="J2722" s="292"/>
      <c r="K2722" s="292"/>
      <c r="L2722" s="292"/>
      <c r="M2722" s="354">
        <f>TrialBalanceB!I77</f>
        <v>0</v>
      </c>
      <c r="N2722" s="298"/>
      <c r="O2722" s="367">
        <f>TrialBalanceB!K77</f>
        <v>0</v>
      </c>
      <c r="P2722" s="295"/>
      <c r="Q2722" s="442"/>
      <c r="R2722" s="403" t="str">
        <f t="shared" si="197"/>
        <v>DELETE</v>
      </c>
      <c r="T2722" s="381"/>
    </row>
    <row r="2723" spans="2:26" ht="31.5" customHeight="1" x14ac:dyDescent="0.45">
      <c r="B2723" s="441"/>
      <c r="C2723" s="417"/>
      <c r="D2723" s="400">
        <f>TrialBalanceB!C78</f>
        <v>0</v>
      </c>
      <c r="J2723" s="292"/>
      <c r="K2723" s="292"/>
      <c r="L2723" s="292"/>
      <c r="M2723" s="354">
        <f>TrialBalanceB!I78</f>
        <v>0</v>
      </c>
      <c r="N2723" s="298"/>
      <c r="O2723" s="367">
        <f>TrialBalanceB!K78</f>
        <v>0</v>
      </c>
      <c r="P2723" s="295"/>
      <c r="Q2723" s="442"/>
      <c r="R2723" s="403" t="str">
        <f t="shared" si="197"/>
        <v>DELETE</v>
      </c>
      <c r="T2723" s="381"/>
    </row>
    <row r="2724" spans="2:26" ht="31.5" customHeight="1" x14ac:dyDescent="0.45">
      <c r="B2724" s="441"/>
      <c r="C2724" s="417"/>
      <c r="D2724" s="400">
        <f>TrialBalanceB!C79</f>
        <v>0</v>
      </c>
      <c r="J2724" s="292"/>
      <c r="K2724" s="292"/>
      <c r="L2724" s="292"/>
      <c r="M2724" s="354">
        <f>TrialBalanceB!I79</f>
        <v>0</v>
      </c>
      <c r="N2724" s="298"/>
      <c r="O2724" s="367">
        <f>TrialBalanceB!K79</f>
        <v>0</v>
      </c>
      <c r="P2724" s="295"/>
      <c r="Q2724" s="442"/>
      <c r="R2724" s="403" t="str">
        <f t="shared" si="197"/>
        <v>DELETE</v>
      </c>
      <c r="T2724" s="381"/>
    </row>
    <row r="2725" spans="2:26" ht="31.5" customHeight="1" x14ac:dyDescent="0.45">
      <c r="B2725" s="441"/>
      <c r="C2725" s="417"/>
      <c r="D2725" s="400">
        <f>TrialBalanceB!C80</f>
        <v>0</v>
      </c>
      <c r="J2725" s="292"/>
      <c r="K2725" s="292"/>
      <c r="L2725" s="292"/>
      <c r="M2725" s="354">
        <f>TrialBalanceB!I80</f>
        <v>0</v>
      </c>
      <c r="N2725" s="298"/>
      <c r="O2725" s="367">
        <f>TrialBalanceB!K80</f>
        <v>0</v>
      </c>
      <c r="P2725" s="295"/>
      <c r="Q2725" s="442"/>
      <c r="R2725" s="403" t="str">
        <f t="shared" si="197"/>
        <v>DELETE</v>
      </c>
      <c r="T2725" s="381"/>
    </row>
    <row r="2726" spans="2:26" ht="31.5" customHeight="1" x14ac:dyDescent="0.45">
      <c r="B2726" s="441"/>
      <c r="C2726" s="417"/>
      <c r="D2726" s="400">
        <f>TrialBalanceB!C81</f>
        <v>0</v>
      </c>
      <c r="J2726" s="292"/>
      <c r="K2726" s="292"/>
      <c r="L2726" s="292"/>
      <c r="M2726" s="354">
        <f>TrialBalanceB!I81</f>
        <v>0</v>
      </c>
      <c r="N2726" s="298"/>
      <c r="O2726" s="367">
        <f>TrialBalanceB!K81</f>
        <v>0</v>
      </c>
      <c r="P2726" s="295"/>
      <c r="Q2726" s="442"/>
      <c r="R2726" s="403" t="str">
        <f t="shared" si="197"/>
        <v>DELETE</v>
      </c>
      <c r="T2726" s="381"/>
    </row>
    <row r="2727" spans="2:26" ht="9" customHeight="1" x14ac:dyDescent="0.45">
      <c r="B2727" s="441"/>
      <c r="C2727" s="417"/>
      <c r="J2727" s="292"/>
      <c r="K2727" s="292"/>
      <c r="L2727" s="292"/>
      <c r="M2727" s="355"/>
      <c r="N2727" s="300"/>
      <c r="O2727" s="368"/>
      <c r="P2727" s="295"/>
      <c r="Q2727" s="442"/>
      <c r="R2727" s="403" t="str">
        <f>R2697</f>
        <v>DELETE</v>
      </c>
      <c r="T2727" s="381"/>
    </row>
    <row r="2728" spans="2:26" ht="9" customHeight="1" x14ac:dyDescent="0.45">
      <c r="B2728" s="441"/>
      <c r="C2728" s="417"/>
      <c r="J2728" s="292"/>
      <c r="K2728" s="292"/>
      <c r="L2728" s="292"/>
      <c r="M2728" s="349"/>
      <c r="N2728" s="300"/>
      <c r="O2728" s="349"/>
      <c r="P2728" s="295"/>
      <c r="Q2728" s="442"/>
      <c r="R2728" s="403" t="str">
        <f t="shared" ref="R2728:R2748" si="198">R$2651</f>
        <v>DELETE</v>
      </c>
      <c r="T2728" s="381"/>
    </row>
    <row r="2729" spans="2:26" ht="9" customHeight="1" x14ac:dyDescent="0.45">
      <c r="B2729" s="441"/>
      <c r="C2729" s="417"/>
      <c r="J2729" s="292"/>
      <c r="K2729" s="292"/>
      <c r="L2729" s="292"/>
      <c r="M2729" s="347"/>
      <c r="N2729" s="298"/>
      <c r="O2729" s="347"/>
      <c r="P2729" s="295"/>
      <c r="Q2729" s="442"/>
      <c r="R2729" s="403" t="str">
        <f t="shared" si="198"/>
        <v>DELETE</v>
      </c>
      <c r="T2729" s="381"/>
    </row>
    <row r="2730" spans="2:26" ht="31.5" customHeight="1" x14ac:dyDescent="0.45">
      <c r="B2730" s="441"/>
      <c r="C2730" s="315" t="str">
        <f>IF((Y2730+Z2730)=3,"OPERATING PROFIT/(LOSS)",(IF((Y2730+Z2730=4),"OPERATING PROFIT","OPERATING LOSS")))</f>
        <v>OPERATING PROFIT</v>
      </c>
      <c r="J2730" s="292"/>
      <c r="K2730" s="292"/>
      <c r="L2730" s="292"/>
      <c r="M2730" s="347">
        <f>SUM(S2663:S2728)</f>
        <v>0</v>
      </c>
      <c r="N2730" s="298"/>
      <c r="O2730" s="347">
        <f>SUM(U2663:U2728)</f>
        <v>0</v>
      </c>
      <c r="P2730" s="295"/>
      <c r="Q2730" s="442"/>
      <c r="R2730" s="403" t="str">
        <f t="shared" si="198"/>
        <v>DELETE</v>
      </c>
      <c r="T2730" s="381"/>
      <c r="Y2730" s="378">
        <f>IF(M2730&lt;0,1,IF(M2730=0,IF(O2730&lt;0,1,2),2))</f>
        <v>2</v>
      </c>
      <c r="Z2730" s="378">
        <f>IF(O2730&lt;0,1,IF(O2730=0,IF(M2730&lt;0,1,2),2))</f>
        <v>2</v>
      </c>
    </row>
    <row r="2731" spans="2:26" ht="31.5" customHeight="1" x14ac:dyDescent="0.45">
      <c r="B2731" s="441"/>
      <c r="C2731" s="417"/>
      <c r="D2731" s="400" t="s">
        <v>256</v>
      </c>
      <c r="J2731" s="292"/>
      <c r="K2731" s="292"/>
      <c r="L2731" s="292"/>
      <c r="M2731" s="347"/>
      <c r="N2731" s="298"/>
      <c r="O2731" s="347"/>
      <c r="P2731" s="295"/>
      <c r="Q2731" s="442"/>
      <c r="R2731" s="403" t="str">
        <f t="shared" si="198"/>
        <v>DELETE</v>
      </c>
      <c r="T2731" s="381"/>
    </row>
    <row r="2732" spans="2:26" ht="31.5" customHeight="1" x14ac:dyDescent="0.45">
      <c r="B2732" s="441"/>
      <c r="C2732" s="417"/>
      <c r="J2732" s="292"/>
      <c r="K2732" s="292"/>
      <c r="L2732" s="292"/>
      <c r="M2732" s="347"/>
      <c r="N2732" s="298"/>
      <c r="O2732" s="347"/>
      <c r="P2732" s="295"/>
      <c r="Q2732" s="442"/>
      <c r="R2732" s="403" t="str">
        <f t="shared" si="198"/>
        <v>DELETE</v>
      </c>
      <c r="T2732" s="381"/>
    </row>
    <row r="2733" spans="2:26" ht="31.5" customHeight="1" x14ac:dyDescent="0.45">
      <c r="B2733" s="441"/>
      <c r="C2733" s="417"/>
      <c r="J2733" s="292"/>
      <c r="K2733" s="292"/>
      <c r="L2733" s="292"/>
      <c r="M2733" s="347"/>
      <c r="N2733" s="298"/>
      <c r="O2733" s="347"/>
      <c r="P2733" s="295"/>
      <c r="Q2733" s="442"/>
      <c r="R2733" s="403" t="str">
        <f t="shared" si="198"/>
        <v>DELETE</v>
      </c>
      <c r="T2733" s="381"/>
    </row>
    <row r="2734" spans="2:26" ht="31.5" customHeight="1" x14ac:dyDescent="0.45">
      <c r="B2734" s="445"/>
      <c r="C2734" s="465"/>
      <c r="D2734" s="429"/>
      <c r="E2734" s="429"/>
      <c r="F2734" s="429"/>
      <c r="G2734" s="429"/>
      <c r="H2734" s="429"/>
      <c r="I2734" s="429"/>
      <c r="J2734" s="306"/>
      <c r="K2734" s="306"/>
      <c r="L2734" s="306"/>
      <c r="M2734" s="349"/>
      <c r="N2734" s="300"/>
      <c r="O2734" s="349"/>
      <c r="P2734" s="307"/>
      <c r="Q2734" s="446"/>
      <c r="R2734" s="403" t="str">
        <f t="shared" si="198"/>
        <v>DELETE</v>
      </c>
      <c r="T2734" s="381"/>
    </row>
    <row r="2735" spans="2:26" ht="31.5" customHeight="1" x14ac:dyDescent="0.45">
      <c r="C2735" s="417"/>
      <c r="J2735" s="292"/>
      <c r="K2735" s="292"/>
      <c r="L2735" s="292"/>
      <c r="M2735" s="347"/>
      <c r="N2735" s="298"/>
      <c r="O2735" s="347"/>
      <c r="P2735" s="295"/>
      <c r="R2735" s="403" t="str">
        <f t="shared" si="198"/>
        <v>DELETE</v>
      </c>
      <c r="T2735" s="381"/>
    </row>
    <row r="2736" spans="2:26" ht="31.5" customHeight="1" x14ac:dyDescent="0.45">
      <c r="C2736" s="417"/>
      <c r="J2736" s="292"/>
      <c r="K2736" s="292"/>
      <c r="L2736" s="292"/>
      <c r="M2736" s="347"/>
      <c r="N2736" s="298"/>
      <c r="O2736" s="347"/>
      <c r="P2736" s="295"/>
      <c r="R2736" s="403" t="str">
        <f t="shared" si="198"/>
        <v>DELETE</v>
      </c>
      <c r="T2736" s="381"/>
    </row>
    <row r="2737" spans="2:26" ht="31.5" customHeight="1" x14ac:dyDescent="0.45">
      <c r="C2737" s="417"/>
      <c r="D2737" s="417" t="str">
        <f>Criteria!E15</f>
        <v>SUBSIDIARY TWO 15 (PTY) LTD</v>
      </c>
      <c r="J2737" s="292"/>
      <c r="K2737" s="292"/>
      <c r="L2737" s="292"/>
      <c r="M2737" s="347"/>
      <c r="N2737" s="298"/>
      <c r="O2737" s="347" t="s">
        <v>96</v>
      </c>
      <c r="P2737" s="295"/>
      <c r="Q2737" s="292">
        <f>MAX($Q$2654:Q2736)+1</f>
        <v>2</v>
      </c>
      <c r="R2737" s="403" t="str">
        <f t="shared" si="198"/>
        <v>DELETE</v>
      </c>
      <c r="T2737" s="381"/>
    </row>
    <row r="2738" spans="2:26" ht="31.5" customHeight="1" x14ac:dyDescent="0.45">
      <c r="C2738" s="417"/>
      <c r="D2738" s="405"/>
      <c r="J2738" s="292"/>
      <c r="K2738" s="292"/>
      <c r="L2738" s="292"/>
      <c r="M2738" s="347"/>
      <c r="N2738" s="298"/>
      <c r="O2738" s="347"/>
      <c r="P2738" s="295"/>
      <c r="R2738" s="403" t="str">
        <f t="shared" si="198"/>
        <v>DELETE</v>
      </c>
      <c r="T2738" s="381"/>
    </row>
    <row r="2739" spans="2:26" ht="31.5" customHeight="1" x14ac:dyDescent="0.45">
      <c r="C2739" s="417"/>
      <c r="J2739" s="292"/>
      <c r="K2739" s="292"/>
      <c r="L2739" s="292"/>
      <c r="M2739" s="347"/>
      <c r="N2739" s="298"/>
      <c r="O2739" s="347"/>
      <c r="P2739" s="295"/>
      <c r="R2739" s="403" t="str">
        <f t="shared" si="198"/>
        <v>DELETE</v>
      </c>
      <c r="T2739" s="381"/>
    </row>
    <row r="2740" spans="2:26" ht="31.5" customHeight="1" x14ac:dyDescent="0.45">
      <c r="C2740" s="417"/>
      <c r="D2740" s="417" t="s">
        <v>91</v>
      </c>
      <c r="J2740" s="292"/>
      <c r="K2740" s="292"/>
      <c r="L2740" s="292"/>
      <c r="M2740" s="347"/>
      <c r="N2740" s="298"/>
      <c r="O2740" s="347"/>
      <c r="P2740" s="295"/>
      <c r="R2740" s="403" t="str">
        <f t="shared" si="198"/>
        <v>DELETE</v>
      </c>
      <c r="T2740" s="381"/>
    </row>
    <row r="2741" spans="2:26" ht="31.5" customHeight="1" x14ac:dyDescent="0.45">
      <c r="C2741" s="417"/>
      <c r="D2741" s="417" t="str">
        <f>D2658</f>
        <v>29 FEBRUARY 2024</v>
      </c>
      <c r="H2741" s="400" t="s">
        <v>102</v>
      </c>
      <c r="J2741" s="292"/>
      <c r="K2741" s="292"/>
      <c r="L2741" s="292"/>
      <c r="M2741" s="347"/>
      <c r="N2741" s="298"/>
      <c r="O2741" s="347"/>
      <c r="P2741" s="295"/>
      <c r="R2741" s="403" t="str">
        <f t="shared" si="198"/>
        <v>DELETE</v>
      </c>
      <c r="T2741" s="381"/>
    </row>
    <row r="2742" spans="2:26" ht="31.5" customHeight="1" x14ac:dyDescent="0.45">
      <c r="C2742" s="417"/>
      <c r="J2742" s="292"/>
      <c r="K2742" s="306"/>
      <c r="L2742" s="306"/>
      <c r="M2742" s="349"/>
      <c r="N2742" s="300"/>
      <c r="O2742" s="349"/>
      <c r="P2742" s="295"/>
      <c r="R2742" s="403" t="str">
        <f t="shared" si="198"/>
        <v>DELETE</v>
      </c>
      <c r="T2742" s="381"/>
    </row>
    <row r="2743" spans="2:26" ht="31.5" customHeight="1" x14ac:dyDescent="0.45">
      <c r="B2743" s="438"/>
      <c r="C2743" s="458"/>
      <c r="D2743" s="439"/>
      <c r="E2743" s="439"/>
      <c r="F2743" s="439"/>
      <c r="G2743" s="439"/>
      <c r="H2743" s="439"/>
      <c r="I2743" s="439"/>
      <c r="J2743" s="320"/>
      <c r="M2743" s="426"/>
      <c r="N2743" s="406"/>
      <c r="O2743" s="426"/>
      <c r="P2743" s="319"/>
      <c r="Q2743" s="440"/>
      <c r="R2743" s="403" t="str">
        <f t="shared" si="198"/>
        <v>DELETE</v>
      </c>
      <c r="T2743" s="381"/>
    </row>
    <row r="2744" spans="2:26" ht="31.5" customHeight="1" x14ac:dyDescent="0.45">
      <c r="B2744" s="441"/>
      <c r="C2744" s="417"/>
      <c r="J2744" s="292"/>
      <c r="K2744" s="292"/>
      <c r="L2744" s="292"/>
      <c r="M2744" s="344">
        <f>Criteria!E22</f>
        <v>2024</v>
      </c>
      <c r="N2744" s="294"/>
      <c r="O2744" s="344">
        <f>Criteria!E27</f>
        <v>2023</v>
      </c>
      <c r="P2744" s="295"/>
      <c r="Q2744" s="442"/>
      <c r="R2744" s="403" t="str">
        <f t="shared" si="198"/>
        <v>DELETE</v>
      </c>
      <c r="T2744" s="381"/>
    </row>
    <row r="2745" spans="2:26" ht="31.5" customHeight="1" x14ac:dyDescent="0.45">
      <c r="B2745" s="441"/>
      <c r="C2745" s="417"/>
      <c r="J2745" s="292"/>
      <c r="K2745" s="292"/>
      <c r="L2745" s="292"/>
      <c r="M2745" s="347"/>
      <c r="N2745" s="298"/>
      <c r="O2745" s="347"/>
      <c r="P2745" s="295"/>
      <c r="Q2745" s="442"/>
      <c r="R2745" s="403" t="str">
        <f t="shared" si="198"/>
        <v>DELETE</v>
      </c>
      <c r="T2745" s="381"/>
    </row>
    <row r="2746" spans="2:26" ht="31.5" customHeight="1" x14ac:dyDescent="0.45">
      <c r="B2746" s="441"/>
      <c r="C2746" s="315" t="str">
        <f>IF((Y2746+Z2746)=3,"OPERATING PROFIT/(LOSS)",(IF((Y2746+Z2746=4),"OPERATING PROFIT","OPERATING LOSS")))</f>
        <v>OPERATING PROFIT</v>
      </c>
      <c r="J2746" s="292"/>
      <c r="K2746" s="292"/>
      <c r="L2746" s="292"/>
      <c r="M2746" s="347">
        <f>SUM(S2663:S2727)</f>
        <v>0</v>
      </c>
      <c r="N2746" s="298"/>
      <c r="O2746" s="347">
        <f>SUM(U2663:U2727)</f>
        <v>0</v>
      </c>
      <c r="P2746" s="295"/>
      <c r="Q2746" s="442"/>
      <c r="R2746" s="403" t="str">
        <f t="shared" si="198"/>
        <v>DELETE</v>
      </c>
      <c r="T2746" s="381"/>
      <c r="V2746" s="378" t="b">
        <f>M2746=M2730</f>
        <v>1</v>
      </c>
      <c r="X2746" s="378" t="b">
        <f>O2746=O2730</f>
        <v>1</v>
      </c>
      <c r="Y2746" s="378">
        <f>IF(M2746&lt;0,1,IF(M2746=0,IF(O2746&lt;0,1,2),2))</f>
        <v>2</v>
      </c>
      <c r="Z2746" s="378">
        <f>IF(O2746&lt;0,1,IF(O2746=0,IF(M2746&lt;0,1,2),2))</f>
        <v>2</v>
      </c>
    </row>
    <row r="2747" spans="2:26" ht="31.5" customHeight="1" x14ac:dyDescent="0.45">
      <c r="B2747" s="441"/>
      <c r="C2747" s="417"/>
      <c r="D2747" s="400" t="s">
        <v>257</v>
      </c>
      <c r="J2747" s="292"/>
      <c r="K2747" s="292"/>
      <c r="L2747" s="292"/>
      <c r="M2747" s="347"/>
      <c r="N2747" s="298"/>
      <c r="O2747" s="347"/>
      <c r="P2747" s="295"/>
      <c r="Q2747" s="442"/>
      <c r="R2747" s="403" t="str">
        <f t="shared" si="198"/>
        <v>DELETE</v>
      </c>
      <c r="T2747" s="381"/>
    </row>
    <row r="2748" spans="2:26" ht="31.5" customHeight="1" x14ac:dyDescent="0.45">
      <c r="B2748" s="441"/>
      <c r="C2748" s="417"/>
      <c r="J2748" s="292"/>
      <c r="K2748" s="292"/>
      <c r="L2748" s="292"/>
      <c r="M2748" s="347"/>
      <c r="N2748" s="298"/>
      <c r="O2748" s="347"/>
      <c r="P2748" s="295"/>
      <c r="Q2748" s="442"/>
      <c r="R2748" s="403" t="str">
        <f t="shared" si="198"/>
        <v>DELETE</v>
      </c>
      <c r="T2748" s="381"/>
    </row>
    <row r="2749" spans="2:26" ht="31.5" customHeight="1" x14ac:dyDescent="0.45">
      <c r="B2749" s="441"/>
      <c r="C2749" s="417" t="s">
        <v>906</v>
      </c>
      <c r="J2749" s="292"/>
      <c r="K2749" s="292"/>
      <c r="L2749" s="292"/>
      <c r="M2749" s="347">
        <f>SUM(M2752:M2785)</f>
        <v>0</v>
      </c>
      <c r="N2749" s="298"/>
      <c r="O2749" s="347">
        <f>SUM(O2752:O2785)</f>
        <v>0</v>
      </c>
      <c r="P2749" s="295"/>
      <c r="Q2749" s="442"/>
      <c r="R2749" s="403" t="str">
        <f t="shared" ref="R2749" si="199">IF(R$2651="DELETE","DELETE",IF(M2749+O2749=0,"DELETE"," "))</f>
        <v>DELETE</v>
      </c>
      <c r="S2749" s="380">
        <f>-M2749</f>
        <v>0</v>
      </c>
      <c r="T2749" s="381"/>
      <c r="U2749" s="380">
        <f>-O2749</f>
        <v>0</v>
      </c>
      <c r="V2749" s="380"/>
      <c r="W2749" s="380"/>
      <c r="X2749" s="380"/>
    </row>
    <row r="2750" spans="2:26" ht="9" customHeight="1" x14ac:dyDescent="0.45">
      <c r="B2750" s="441"/>
      <c r="C2750" s="417"/>
      <c r="J2750" s="292"/>
      <c r="K2750" s="292"/>
      <c r="L2750" s="292"/>
      <c r="M2750" s="347"/>
      <c r="N2750" s="298"/>
      <c r="O2750" s="347"/>
      <c r="P2750" s="295"/>
      <c r="Q2750" s="442"/>
      <c r="R2750" s="403" t="str">
        <f>R2749</f>
        <v>DELETE</v>
      </c>
      <c r="T2750" s="381"/>
    </row>
    <row r="2751" spans="2:26" ht="9" customHeight="1" x14ac:dyDescent="0.45">
      <c r="B2751" s="441"/>
      <c r="C2751" s="417"/>
      <c r="J2751" s="292"/>
      <c r="K2751" s="292"/>
      <c r="L2751" s="292"/>
      <c r="M2751" s="353"/>
      <c r="N2751" s="299"/>
      <c r="O2751" s="366"/>
      <c r="P2751" s="295"/>
      <c r="Q2751" s="442"/>
      <c r="R2751" s="403" t="str">
        <f>R2750</f>
        <v>DELETE</v>
      </c>
      <c r="T2751" s="381"/>
    </row>
    <row r="2752" spans="2:26" ht="31.5" customHeight="1" x14ac:dyDescent="0.45">
      <c r="B2752" s="441"/>
      <c r="C2752" s="417"/>
      <c r="D2752" s="400" t="s">
        <v>215</v>
      </c>
      <c r="J2752" s="292"/>
      <c r="K2752" s="292"/>
      <c r="L2752" s="292"/>
      <c r="M2752" s="354">
        <f>SUM(TrialBalanceB!I98:I101)</f>
        <v>0</v>
      </c>
      <c r="N2752" s="298"/>
      <c r="O2752" s="367">
        <f>SUM(TrialBalanceB!K98:K101)</f>
        <v>0</v>
      </c>
      <c r="P2752" s="295"/>
      <c r="Q2752" s="442"/>
      <c r="R2752" s="403" t="str">
        <f t="shared" ref="R2752:R2783" si="200">IF(R$2651="DELETE","DELETE",IF(M2752+O2752=0,"DELETE"," "))</f>
        <v>DELETE</v>
      </c>
      <c r="T2752" s="381"/>
    </row>
    <row r="2753" spans="2:20" ht="31.5" customHeight="1" x14ac:dyDescent="0.45">
      <c r="B2753" s="441"/>
      <c r="C2753" s="417"/>
      <c r="D2753" s="400" t="s">
        <v>219</v>
      </c>
      <c r="J2753" s="292"/>
      <c r="K2753" s="292"/>
      <c r="L2753" s="292"/>
      <c r="M2753" s="354">
        <f>TrialBalanceB!I103</f>
        <v>0</v>
      </c>
      <c r="N2753" s="298"/>
      <c r="O2753" s="367">
        <f>TrialBalanceB!K103</f>
        <v>0</v>
      </c>
      <c r="P2753" s="295"/>
      <c r="Q2753" s="442"/>
      <c r="R2753" s="403" t="str">
        <f>IF(R$2651="DELETE","DELETE",IF(M2753+O2753=0,"DELETE"," "))</f>
        <v>DELETE</v>
      </c>
      <c r="T2753" s="381"/>
    </row>
    <row r="2754" spans="2:20" ht="31.5" customHeight="1" x14ac:dyDescent="0.45">
      <c r="B2754" s="441"/>
      <c r="C2754" s="417"/>
      <c r="D2754" s="400" t="s">
        <v>217</v>
      </c>
      <c r="J2754" s="292"/>
      <c r="K2754" s="292"/>
      <c r="L2754" s="292"/>
      <c r="M2754" s="354">
        <f>TrialBalanceB!I102</f>
        <v>0</v>
      </c>
      <c r="N2754" s="298"/>
      <c r="O2754" s="367">
        <f>TrialBalanceB!K102</f>
        <v>0</v>
      </c>
      <c r="P2754" s="295"/>
      <c r="Q2754" s="442"/>
      <c r="R2754" s="403" t="str">
        <f>IF(R$2651="DELETE","DELETE",IF(M2754+O2754=0,"DELETE"," "))</f>
        <v>DELETE</v>
      </c>
      <c r="T2754" s="381"/>
    </row>
    <row r="2755" spans="2:20" ht="31.5" customHeight="1" x14ac:dyDescent="0.45">
      <c r="B2755" s="441"/>
      <c r="C2755" s="417"/>
      <c r="D2755" s="400" t="s">
        <v>258</v>
      </c>
      <c r="J2755" s="292"/>
      <c r="K2755" s="292"/>
      <c r="L2755" s="292"/>
      <c r="M2755" s="354">
        <f>TrialBalanceB!I104</f>
        <v>0</v>
      </c>
      <c r="N2755" s="298"/>
      <c r="O2755" s="367">
        <f>TrialBalanceB!K104</f>
        <v>0</v>
      </c>
      <c r="P2755" s="295"/>
      <c r="Q2755" s="442"/>
      <c r="R2755" s="403" t="str">
        <f t="shared" si="200"/>
        <v>DELETE</v>
      </c>
      <c r="T2755" s="381"/>
    </row>
    <row r="2756" spans="2:20" ht="31.5" customHeight="1" x14ac:dyDescent="0.45">
      <c r="B2756" s="441"/>
      <c r="C2756" s="417"/>
      <c r="D2756" s="400" t="s">
        <v>222</v>
      </c>
      <c r="J2756" s="292"/>
      <c r="K2756" s="292"/>
      <c r="L2756" s="292"/>
      <c r="M2756" s="354">
        <f>TrialBalanceB!I105</f>
        <v>0</v>
      </c>
      <c r="N2756" s="298"/>
      <c r="O2756" s="367">
        <f>TrialBalanceB!K105</f>
        <v>0</v>
      </c>
      <c r="P2756" s="295"/>
      <c r="Q2756" s="442"/>
      <c r="R2756" s="403" t="str">
        <f t="shared" si="200"/>
        <v>DELETE</v>
      </c>
      <c r="T2756" s="381"/>
    </row>
    <row r="2757" spans="2:20" ht="31.5" customHeight="1" x14ac:dyDescent="0.45">
      <c r="B2757" s="441"/>
      <c r="C2757" s="417"/>
      <c r="D2757" s="400" t="s">
        <v>727</v>
      </c>
      <c r="J2757" s="292"/>
      <c r="K2757" s="292"/>
      <c r="L2757" s="292"/>
      <c r="M2757" s="354">
        <f>TrialBalanceB!I106</f>
        <v>0</v>
      </c>
      <c r="N2757" s="298"/>
      <c r="O2757" s="367">
        <f>TrialBalanceB!K106</f>
        <v>0</v>
      </c>
      <c r="P2757" s="295"/>
      <c r="Q2757" s="442"/>
      <c r="R2757" s="403" t="str">
        <f t="shared" si="200"/>
        <v>DELETE</v>
      </c>
      <c r="T2757" s="381"/>
    </row>
    <row r="2758" spans="2:20" ht="31.5" customHeight="1" x14ac:dyDescent="0.45">
      <c r="B2758" s="441"/>
      <c r="C2758" s="417"/>
      <c r="D2758" s="400" t="s">
        <v>277</v>
      </c>
      <c r="J2758" s="292"/>
      <c r="K2758" s="292">
        <f>C$940</f>
        <v>5.2999999999999989</v>
      </c>
      <c r="L2758" s="292"/>
      <c r="M2758" s="354">
        <f>SUM(TrialBalanceB!I108:I109)</f>
        <v>0</v>
      </c>
      <c r="N2758" s="298"/>
      <c r="O2758" s="367">
        <f>SUM(TrialBalanceB!K108:K109)</f>
        <v>0</v>
      </c>
      <c r="P2758" s="295"/>
      <c r="Q2758" s="442"/>
      <c r="R2758" s="403" t="str">
        <f t="shared" si="200"/>
        <v>DELETE</v>
      </c>
      <c r="T2758" s="381"/>
    </row>
    <row r="2759" spans="2:20" ht="31.5" customHeight="1" x14ac:dyDescent="0.45">
      <c r="B2759" s="441"/>
      <c r="C2759" s="417"/>
      <c r="D2759" s="400" t="str">
        <f>IF(MAX(Criteria!I38:I42)&gt;1,"Directors' remuneration","Director's remuneration")</f>
        <v>Director's remuneration</v>
      </c>
      <c r="J2759" s="292"/>
      <c r="K2759" s="292">
        <f>C$881</f>
        <v>5.0999999999999996</v>
      </c>
      <c r="L2759" s="292"/>
      <c r="M2759" s="354">
        <f>SUM(TrialBalanceB!I111:I115)</f>
        <v>0</v>
      </c>
      <c r="N2759" s="298"/>
      <c r="O2759" s="367">
        <f>SUM(TrialBalanceB!K111:K115)</f>
        <v>0</v>
      </c>
      <c r="P2759" s="295"/>
      <c r="Q2759" s="442"/>
      <c r="R2759" s="403" t="str">
        <f t="shared" si="200"/>
        <v>DELETE</v>
      </c>
      <c r="T2759" s="381"/>
    </row>
    <row r="2760" spans="2:20" ht="31.5" customHeight="1" x14ac:dyDescent="0.45">
      <c r="B2760" s="441"/>
      <c r="C2760" s="417"/>
      <c r="D2760" s="400" t="s">
        <v>259</v>
      </c>
      <c r="J2760" s="292"/>
      <c r="K2760" s="292"/>
      <c r="L2760" s="292"/>
      <c r="M2760" s="354">
        <f>TrialBalanceB!I116</f>
        <v>0</v>
      </c>
      <c r="N2760" s="298"/>
      <c r="O2760" s="367">
        <f>TrialBalanceB!K116</f>
        <v>0</v>
      </c>
      <c r="P2760" s="295"/>
      <c r="Q2760" s="442"/>
      <c r="R2760" s="403" t="str">
        <f t="shared" si="200"/>
        <v>DELETE</v>
      </c>
      <c r="T2760" s="381"/>
    </row>
    <row r="2761" spans="2:20" ht="31.5" customHeight="1" x14ac:dyDescent="0.45">
      <c r="B2761" s="441"/>
      <c r="C2761" s="417"/>
      <c r="D2761" s="400" t="s">
        <v>369</v>
      </c>
      <c r="J2761" s="292"/>
      <c r="K2761" s="292"/>
      <c r="L2761" s="292"/>
      <c r="M2761" s="354">
        <f>TrialBalanceB!I117</f>
        <v>0</v>
      </c>
      <c r="N2761" s="298"/>
      <c r="O2761" s="367">
        <f>TrialBalanceB!K117</f>
        <v>0</v>
      </c>
      <c r="P2761" s="295"/>
      <c r="Q2761" s="442"/>
      <c r="R2761" s="403" t="str">
        <f t="shared" si="200"/>
        <v>DELETE</v>
      </c>
      <c r="T2761" s="381"/>
    </row>
    <row r="2762" spans="2:20" ht="31.5" customHeight="1" x14ac:dyDescent="0.45">
      <c r="B2762" s="441"/>
      <c r="C2762" s="417"/>
      <c r="D2762" s="400" t="s">
        <v>330</v>
      </c>
      <c r="J2762" s="292"/>
      <c r="K2762" s="292"/>
      <c r="L2762" s="292"/>
      <c r="M2762" s="354">
        <f>TrialBalanceB!I118</f>
        <v>0</v>
      </c>
      <c r="N2762" s="298"/>
      <c r="O2762" s="367">
        <f>TrialBalanceB!K118</f>
        <v>0</v>
      </c>
      <c r="P2762" s="295"/>
      <c r="Q2762" s="442"/>
      <c r="R2762" s="403" t="str">
        <f t="shared" si="200"/>
        <v>DELETE</v>
      </c>
      <c r="T2762" s="381"/>
    </row>
    <row r="2763" spans="2:20" ht="31.5" customHeight="1" x14ac:dyDescent="0.45">
      <c r="B2763" s="441"/>
      <c r="C2763" s="417"/>
      <c r="D2763" s="400" t="s">
        <v>371</v>
      </c>
      <c r="J2763" s="292"/>
      <c r="K2763" s="292"/>
      <c r="L2763" s="292"/>
      <c r="M2763" s="354">
        <f>TrialBalanceB!I119</f>
        <v>0</v>
      </c>
      <c r="N2763" s="298"/>
      <c r="O2763" s="367">
        <f>TrialBalanceB!K119</f>
        <v>0</v>
      </c>
      <c r="P2763" s="295"/>
      <c r="Q2763" s="442"/>
      <c r="R2763" s="403" t="str">
        <f t="shared" si="200"/>
        <v>DELETE</v>
      </c>
      <c r="T2763" s="381"/>
    </row>
    <row r="2764" spans="2:20" ht="31.5" customHeight="1" x14ac:dyDescent="0.45">
      <c r="B2764" s="441"/>
      <c r="C2764" s="417"/>
      <c r="D2764" s="400" t="s">
        <v>1062</v>
      </c>
      <c r="J2764" s="292"/>
      <c r="K2764" s="292"/>
      <c r="L2764" s="292"/>
      <c r="M2764" s="354">
        <f>TrialBalanceB!I154</f>
        <v>0</v>
      </c>
      <c r="N2764" s="298"/>
      <c r="O2764" s="367">
        <f>TrialBalanceB!K154</f>
        <v>0</v>
      </c>
      <c r="P2764" s="295"/>
      <c r="Q2764" s="442"/>
      <c r="R2764" s="403" t="str">
        <f>IF(R$2651="DELETE","DELETE",IF(M2764+O2764=0,"DELETE"," "))</f>
        <v>DELETE</v>
      </c>
      <c r="T2764" s="381"/>
    </row>
    <row r="2765" spans="2:20" ht="31.5" customHeight="1" x14ac:dyDescent="0.45">
      <c r="B2765" s="441"/>
      <c r="C2765" s="417"/>
      <c r="D2765" s="400" t="s">
        <v>524</v>
      </c>
      <c r="J2765" s="292"/>
      <c r="K2765" s="292"/>
      <c r="L2765" s="292"/>
      <c r="M2765" s="354">
        <f>TrialBalanceB!I120+TrialBalanceB!I121</f>
        <v>0</v>
      </c>
      <c r="N2765" s="298"/>
      <c r="O2765" s="367">
        <f>TrialBalanceB!K120+TrialBalanceB!K121</f>
        <v>0</v>
      </c>
      <c r="P2765" s="295"/>
      <c r="Q2765" s="442"/>
      <c r="R2765" s="403" t="str">
        <f t="shared" si="200"/>
        <v>DELETE</v>
      </c>
      <c r="T2765" s="381"/>
    </row>
    <row r="2766" spans="2:20" ht="31.5" customHeight="1" x14ac:dyDescent="0.45">
      <c r="B2766" s="441"/>
      <c r="C2766" s="417"/>
      <c r="D2766" s="400" t="s">
        <v>547</v>
      </c>
      <c r="J2766" s="292"/>
      <c r="K2766" s="292"/>
      <c r="L2766" s="292"/>
      <c r="M2766" s="354">
        <f>IF(TrialBalanceB!I93&gt;0,TrialBalanceB!I93,0)</f>
        <v>0</v>
      </c>
      <c r="N2766" s="298"/>
      <c r="O2766" s="367">
        <f>IF(TrialBalanceB!K93&gt;0,TrialBalanceB!K93,0)</f>
        <v>0</v>
      </c>
      <c r="P2766" s="295"/>
      <c r="Q2766" s="442"/>
      <c r="R2766" s="403" t="str">
        <f>IF(R$2651="DELETE","DELETE",IF(M2766+O2766=0,"DELETE"," "))</f>
        <v>DELETE</v>
      </c>
      <c r="T2766" s="381"/>
    </row>
    <row r="2767" spans="2:20" ht="31.5" customHeight="1" x14ac:dyDescent="0.45">
      <c r="B2767" s="441"/>
      <c r="C2767" s="417"/>
      <c r="D2767" s="400" t="s">
        <v>728</v>
      </c>
      <c r="J2767" s="292"/>
      <c r="K2767" s="292"/>
      <c r="L2767" s="292"/>
      <c r="M2767" s="354">
        <f>TrialBalanceB!I122</f>
        <v>0</v>
      </c>
      <c r="N2767" s="298"/>
      <c r="O2767" s="367">
        <f>TrialBalanceB!K122</f>
        <v>0</v>
      </c>
      <c r="P2767" s="295"/>
      <c r="Q2767" s="442"/>
      <c r="R2767" s="403" t="str">
        <f>IF(R$2651="DELETE","DELETE",IF(M2767+O2767=0,"DELETE"," "))</f>
        <v>DELETE</v>
      </c>
      <c r="T2767" s="381"/>
    </row>
    <row r="2768" spans="2:20" ht="31.5" customHeight="1" x14ac:dyDescent="0.45">
      <c r="B2768" s="441"/>
      <c r="C2768" s="417"/>
      <c r="D2768" s="400" t="s">
        <v>260</v>
      </c>
      <c r="J2768" s="292"/>
      <c r="K2768" s="292"/>
      <c r="L2768" s="292"/>
      <c r="M2768" s="354">
        <f>TrialBalanceB!I123</f>
        <v>0</v>
      </c>
      <c r="N2768" s="298"/>
      <c r="O2768" s="367">
        <f>TrialBalanceB!K123</f>
        <v>0</v>
      </c>
      <c r="P2768" s="295"/>
      <c r="Q2768" s="442"/>
      <c r="R2768" s="403" t="str">
        <f t="shared" si="200"/>
        <v>DELETE</v>
      </c>
      <c r="T2768" s="381"/>
    </row>
    <row r="2769" spans="2:20" ht="31.5" customHeight="1" x14ac:dyDescent="0.45">
      <c r="B2769" s="441"/>
      <c r="C2769" s="417"/>
      <c r="D2769" s="400" t="s">
        <v>1081</v>
      </c>
      <c r="J2769" s="292"/>
      <c r="K2769" s="292"/>
      <c r="L2769" s="292"/>
      <c r="M2769" s="354">
        <f>TrialBalanceB!I155</f>
        <v>0</v>
      </c>
      <c r="N2769" s="298"/>
      <c r="O2769" s="367">
        <f>TrialBalanceB!K155</f>
        <v>0</v>
      </c>
      <c r="P2769" s="295"/>
      <c r="Q2769" s="442"/>
      <c r="R2769" s="403" t="str">
        <f t="shared" si="200"/>
        <v>DELETE</v>
      </c>
      <c r="T2769" s="381"/>
    </row>
    <row r="2770" spans="2:20" ht="31.5" customHeight="1" x14ac:dyDescent="0.45">
      <c r="B2770" s="441"/>
      <c r="C2770" s="417"/>
      <c r="D2770" s="400" t="s">
        <v>253</v>
      </c>
      <c r="J2770" s="292"/>
      <c r="K2770" s="292"/>
      <c r="L2770" s="292"/>
      <c r="M2770" s="354">
        <f>SUM(TrialBalanceB!I124:I125)</f>
        <v>0</v>
      </c>
      <c r="N2770" s="298"/>
      <c r="O2770" s="367">
        <f>SUM(TrialBalanceB!K124:K125)</f>
        <v>0</v>
      </c>
      <c r="P2770" s="295"/>
      <c r="Q2770" s="442"/>
      <c r="R2770" s="403" t="str">
        <f t="shared" si="200"/>
        <v>DELETE</v>
      </c>
      <c r="T2770" s="381"/>
    </row>
    <row r="2771" spans="2:20" ht="31.5" customHeight="1" x14ac:dyDescent="0.45">
      <c r="B2771" s="441"/>
      <c r="C2771" s="417"/>
      <c r="D2771" s="400" t="s">
        <v>261</v>
      </c>
      <c r="J2771" s="292"/>
      <c r="K2771" s="292"/>
      <c r="L2771" s="292"/>
      <c r="M2771" s="354">
        <f>TrialBalanceB!I126</f>
        <v>0</v>
      </c>
      <c r="N2771" s="298"/>
      <c r="O2771" s="367">
        <f>TrialBalanceB!K126</f>
        <v>0</v>
      </c>
      <c r="P2771" s="295"/>
      <c r="Q2771" s="442"/>
      <c r="R2771" s="403" t="str">
        <f t="shared" si="200"/>
        <v>DELETE</v>
      </c>
      <c r="T2771" s="381"/>
    </row>
    <row r="2772" spans="2:20" ht="31.5" customHeight="1" x14ac:dyDescent="0.45">
      <c r="B2772" s="441"/>
      <c r="C2772" s="417"/>
      <c r="D2772" s="400" t="s">
        <v>729</v>
      </c>
      <c r="J2772" s="292"/>
      <c r="K2772" s="292"/>
      <c r="L2772" s="292"/>
      <c r="M2772" s="354">
        <f>TrialBalanceB!I127</f>
        <v>0</v>
      </c>
      <c r="N2772" s="298"/>
      <c r="O2772" s="367">
        <f>TrialBalanceB!K127</f>
        <v>0</v>
      </c>
      <c r="P2772" s="295"/>
      <c r="Q2772" s="442"/>
      <c r="R2772" s="403" t="str">
        <f t="shared" si="200"/>
        <v>DELETE</v>
      </c>
      <c r="T2772" s="381"/>
    </row>
    <row r="2773" spans="2:20" ht="31.5" customHeight="1" x14ac:dyDescent="0.45">
      <c r="B2773" s="441"/>
      <c r="C2773" s="417"/>
      <c r="D2773" s="400" t="s">
        <v>79</v>
      </c>
      <c r="J2773" s="292"/>
      <c r="K2773" s="292"/>
      <c r="L2773" s="292"/>
      <c r="M2773" s="354">
        <f>TrialBalanceB!I128</f>
        <v>0</v>
      </c>
      <c r="N2773" s="298"/>
      <c r="O2773" s="367">
        <f>TrialBalanceB!K128</f>
        <v>0</v>
      </c>
      <c r="P2773" s="295"/>
      <c r="Q2773" s="442"/>
      <c r="R2773" s="403" t="str">
        <f t="shared" si="200"/>
        <v>DELETE</v>
      </c>
      <c r="T2773" s="381"/>
    </row>
    <row r="2774" spans="2:20" ht="31.5" customHeight="1" x14ac:dyDescent="0.45">
      <c r="B2774" s="441"/>
      <c r="C2774" s="417"/>
      <c r="D2774" s="400">
        <f>TrialBalanceB!C129</f>
        <v>0</v>
      </c>
      <c r="J2774" s="292"/>
      <c r="K2774" s="292"/>
      <c r="L2774" s="292"/>
      <c r="M2774" s="354">
        <f>TrialBalanceB!I129</f>
        <v>0</v>
      </c>
      <c r="N2774" s="298"/>
      <c r="O2774" s="367">
        <f>TrialBalanceB!K129</f>
        <v>0</v>
      </c>
      <c r="P2774" s="295"/>
      <c r="Q2774" s="442"/>
      <c r="R2774" s="403" t="str">
        <f t="shared" si="200"/>
        <v>DELETE</v>
      </c>
      <c r="T2774" s="381"/>
    </row>
    <row r="2775" spans="2:20" ht="31.5" customHeight="1" x14ac:dyDescent="0.45">
      <c r="B2775" s="441"/>
      <c r="C2775" s="417"/>
      <c r="D2775" s="400">
        <f>TrialBalanceB!C130</f>
        <v>0</v>
      </c>
      <c r="J2775" s="292"/>
      <c r="K2775" s="292"/>
      <c r="L2775" s="292"/>
      <c r="M2775" s="354">
        <f>TrialBalanceB!I130</f>
        <v>0</v>
      </c>
      <c r="N2775" s="298"/>
      <c r="O2775" s="367">
        <f>TrialBalanceB!K130</f>
        <v>0</v>
      </c>
      <c r="P2775" s="295"/>
      <c r="Q2775" s="442"/>
      <c r="R2775" s="403" t="str">
        <f t="shared" si="200"/>
        <v>DELETE</v>
      </c>
      <c r="T2775" s="381"/>
    </row>
    <row r="2776" spans="2:20" ht="31.5" customHeight="1" x14ac:dyDescent="0.45">
      <c r="B2776" s="441"/>
      <c r="C2776" s="417"/>
      <c r="D2776" s="400">
        <f>TrialBalanceB!C131</f>
        <v>0</v>
      </c>
      <c r="J2776" s="292"/>
      <c r="K2776" s="292"/>
      <c r="L2776" s="292"/>
      <c r="M2776" s="354">
        <f>TrialBalanceB!I131</f>
        <v>0</v>
      </c>
      <c r="N2776" s="298"/>
      <c r="O2776" s="367">
        <f>TrialBalanceB!K131</f>
        <v>0</v>
      </c>
      <c r="P2776" s="295"/>
      <c r="Q2776" s="442"/>
      <c r="R2776" s="403" t="str">
        <f t="shared" si="200"/>
        <v>DELETE</v>
      </c>
      <c r="T2776" s="381"/>
    </row>
    <row r="2777" spans="2:20" ht="31.5" customHeight="1" x14ac:dyDescent="0.45">
      <c r="B2777" s="441"/>
      <c r="C2777" s="417"/>
      <c r="D2777" s="400">
        <f>TrialBalanceB!C132</f>
        <v>0</v>
      </c>
      <c r="J2777" s="292"/>
      <c r="K2777" s="292"/>
      <c r="L2777" s="292"/>
      <c r="M2777" s="354">
        <f>TrialBalanceB!I132</f>
        <v>0</v>
      </c>
      <c r="N2777" s="298"/>
      <c r="O2777" s="367">
        <f>TrialBalanceB!K132</f>
        <v>0</v>
      </c>
      <c r="P2777" s="295"/>
      <c r="Q2777" s="442"/>
      <c r="R2777" s="403" t="str">
        <f t="shared" si="200"/>
        <v>DELETE</v>
      </c>
      <c r="T2777" s="381"/>
    </row>
    <row r="2778" spans="2:20" ht="31.5" customHeight="1" x14ac:dyDescent="0.45">
      <c r="B2778" s="441"/>
      <c r="C2778" s="417"/>
      <c r="D2778" s="400">
        <f>TrialBalanceB!C133</f>
        <v>0</v>
      </c>
      <c r="J2778" s="292"/>
      <c r="K2778" s="292"/>
      <c r="L2778" s="292"/>
      <c r="M2778" s="354">
        <f>TrialBalanceB!I133</f>
        <v>0</v>
      </c>
      <c r="N2778" s="298"/>
      <c r="O2778" s="367">
        <f>TrialBalanceB!K133</f>
        <v>0</v>
      </c>
      <c r="P2778" s="295"/>
      <c r="Q2778" s="442"/>
      <c r="R2778" s="403" t="str">
        <f t="shared" si="200"/>
        <v>DELETE</v>
      </c>
      <c r="T2778" s="381"/>
    </row>
    <row r="2779" spans="2:20" ht="31.5" customHeight="1" x14ac:dyDescent="0.45">
      <c r="B2779" s="441"/>
      <c r="C2779" s="417"/>
      <c r="D2779" s="400">
        <f>TrialBalanceB!C134</f>
        <v>0</v>
      </c>
      <c r="J2779" s="292"/>
      <c r="K2779" s="292"/>
      <c r="L2779" s="292"/>
      <c r="M2779" s="354">
        <f>TrialBalanceB!I134</f>
        <v>0</v>
      </c>
      <c r="N2779" s="298"/>
      <c r="O2779" s="367">
        <f>TrialBalanceB!K134</f>
        <v>0</v>
      </c>
      <c r="P2779" s="295"/>
      <c r="Q2779" s="442"/>
      <c r="R2779" s="403" t="str">
        <f t="shared" si="200"/>
        <v>DELETE</v>
      </c>
      <c r="T2779" s="381"/>
    </row>
    <row r="2780" spans="2:20" ht="31.5" customHeight="1" x14ac:dyDescent="0.45">
      <c r="B2780" s="441"/>
      <c r="C2780" s="417"/>
      <c r="D2780" s="400">
        <f>TrialBalanceB!C135</f>
        <v>0</v>
      </c>
      <c r="J2780" s="292"/>
      <c r="K2780" s="292"/>
      <c r="L2780" s="292"/>
      <c r="M2780" s="354">
        <f>TrialBalanceB!I135</f>
        <v>0</v>
      </c>
      <c r="N2780" s="298"/>
      <c r="O2780" s="367">
        <f>TrialBalanceB!K135</f>
        <v>0</v>
      </c>
      <c r="P2780" s="295"/>
      <c r="Q2780" s="442"/>
      <c r="R2780" s="403" t="str">
        <f t="shared" si="200"/>
        <v>DELETE</v>
      </c>
      <c r="T2780" s="381"/>
    </row>
    <row r="2781" spans="2:20" ht="31.5" customHeight="1" x14ac:dyDescent="0.45">
      <c r="B2781" s="441"/>
      <c r="C2781" s="417"/>
      <c r="D2781" s="400">
        <f>TrialBalanceB!C136</f>
        <v>0</v>
      </c>
      <c r="J2781" s="292"/>
      <c r="K2781" s="292"/>
      <c r="L2781" s="292"/>
      <c r="M2781" s="354">
        <f>TrialBalanceB!I136</f>
        <v>0</v>
      </c>
      <c r="N2781" s="298"/>
      <c r="O2781" s="367">
        <f>TrialBalanceB!K136</f>
        <v>0</v>
      </c>
      <c r="P2781" s="295"/>
      <c r="Q2781" s="442"/>
      <c r="R2781" s="403" t="str">
        <f t="shared" si="200"/>
        <v>DELETE</v>
      </c>
      <c r="T2781" s="381"/>
    </row>
    <row r="2782" spans="2:20" ht="31.5" customHeight="1" x14ac:dyDescent="0.45">
      <c r="B2782" s="441"/>
      <c r="C2782" s="417"/>
      <c r="D2782" s="400">
        <f>TrialBalanceB!C137</f>
        <v>0</v>
      </c>
      <c r="J2782" s="292"/>
      <c r="K2782" s="292"/>
      <c r="L2782" s="292"/>
      <c r="M2782" s="354">
        <f>TrialBalanceB!I137</f>
        <v>0</v>
      </c>
      <c r="N2782" s="298"/>
      <c r="O2782" s="367">
        <f>TrialBalanceB!K137</f>
        <v>0</v>
      </c>
      <c r="P2782" s="295"/>
      <c r="Q2782" s="442"/>
      <c r="R2782" s="403" t="str">
        <f t="shared" si="200"/>
        <v>DELETE</v>
      </c>
      <c r="T2782" s="381"/>
    </row>
    <row r="2783" spans="2:20" ht="31.5" customHeight="1" x14ac:dyDescent="0.45">
      <c r="B2783" s="441"/>
      <c r="C2783" s="417"/>
      <c r="D2783" s="400" t="str">
        <f>TrialBalanceB!C138</f>
        <v>Amortisation of prepaid lease agreement</v>
      </c>
      <c r="J2783" s="292"/>
      <c r="K2783" s="292"/>
      <c r="L2783" s="292"/>
      <c r="M2783" s="354">
        <f>TrialBalanceB!I138</f>
        <v>0</v>
      </c>
      <c r="N2783" s="298"/>
      <c r="O2783" s="367">
        <f>TrialBalanceB!K138</f>
        <v>0</v>
      </c>
      <c r="P2783" s="295"/>
      <c r="Q2783" s="442"/>
      <c r="R2783" s="403" t="str">
        <f t="shared" si="200"/>
        <v>DELETE</v>
      </c>
      <c r="T2783" s="381"/>
    </row>
    <row r="2784" spans="2:20" ht="31.5" customHeight="1" x14ac:dyDescent="0.45">
      <c r="B2784" s="441"/>
      <c r="C2784" s="417"/>
      <c r="D2784" s="400" t="str">
        <f>TrialBalanceB!C139</f>
        <v>Amortisation of goodwill</v>
      </c>
      <c r="J2784" s="292"/>
      <c r="K2784" s="292"/>
      <c r="L2784" s="292"/>
      <c r="M2784" s="354">
        <f>TrialBalanceB!I139</f>
        <v>0</v>
      </c>
      <c r="N2784" s="298"/>
      <c r="O2784" s="367">
        <f>TrialBalanceB!K139</f>
        <v>0</v>
      </c>
      <c r="P2784" s="295"/>
      <c r="Q2784" s="442"/>
      <c r="R2784" s="403" t="str">
        <f t="shared" ref="R2784" si="201">IF(R$2651="DELETE","DELETE",IF(M2784+O2784=0,"DELETE"," "))</f>
        <v>DELETE</v>
      </c>
      <c r="T2784" s="381"/>
    </row>
    <row r="2785" spans="2:26" ht="9" customHeight="1" x14ac:dyDescent="0.45">
      <c r="B2785" s="441"/>
      <c r="C2785" s="417"/>
      <c r="J2785" s="292"/>
      <c r="K2785" s="292"/>
      <c r="L2785" s="292"/>
      <c r="M2785" s="355"/>
      <c r="N2785" s="300"/>
      <c r="O2785" s="368"/>
      <c r="P2785" s="295"/>
      <c r="Q2785" s="442"/>
      <c r="R2785" s="403" t="str">
        <f>R2749</f>
        <v>DELETE</v>
      </c>
      <c r="T2785" s="381"/>
    </row>
    <row r="2786" spans="2:26" ht="9" customHeight="1" x14ac:dyDescent="0.45">
      <c r="B2786" s="441"/>
      <c r="C2786" s="417"/>
      <c r="J2786" s="292"/>
      <c r="K2786" s="292"/>
      <c r="L2786" s="292"/>
      <c r="M2786" s="349"/>
      <c r="N2786" s="300"/>
      <c r="O2786" s="349"/>
      <c r="P2786" s="295"/>
      <c r="Q2786" s="442"/>
      <c r="R2786" s="403" t="str">
        <f t="shared" ref="R2786:R2789" si="202">R$2651</f>
        <v>DELETE</v>
      </c>
      <c r="T2786" s="381"/>
    </row>
    <row r="2787" spans="2:26" ht="9" customHeight="1" x14ac:dyDescent="0.45">
      <c r="B2787" s="441"/>
      <c r="C2787" s="417"/>
      <c r="J2787" s="292"/>
      <c r="K2787" s="292"/>
      <c r="L2787" s="292"/>
      <c r="M2787" s="347"/>
      <c r="N2787" s="298"/>
      <c r="O2787" s="347"/>
      <c r="P2787" s="295"/>
      <c r="Q2787" s="442"/>
      <c r="R2787" s="403" t="str">
        <f t="shared" si="202"/>
        <v>DELETE</v>
      </c>
      <c r="T2787" s="381"/>
    </row>
    <row r="2788" spans="2:26" ht="31.5" customHeight="1" x14ac:dyDescent="0.45">
      <c r="B2788" s="441"/>
      <c r="C2788" s="315" t="str">
        <f>IF((Y2788+Z2788)=3,"OPERATING PROFIT/(LOSS) FOR THE YEAR",(IF((Y2788+Z2788=4),"OPERATING PROFIT FOR THE YEAR","OPERATING LOSS FOR THE YEAR")))</f>
        <v>OPERATING PROFIT FOR THE YEAR</v>
      </c>
      <c r="J2788" s="292"/>
      <c r="K2788" s="292">
        <f>FS!B878</f>
        <v>5</v>
      </c>
      <c r="L2788" s="292"/>
      <c r="M2788" s="347">
        <f>SUM(S2663:S2785)</f>
        <v>0</v>
      </c>
      <c r="N2788" s="298"/>
      <c r="O2788" s="347">
        <f>SUM(U2663:U2785)</f>
        <v>0</v>
      </c>
      <c r="P2788" s="295"/>
      <c r="Q2788" s="442"/>
      <c r="R2788" s="403" t="str">
        <f t="shared" si="202"/>
        <v>DELETE</v>
      </c>
      <c r="T2788" s="381"/>
      <c r="Y2788" s="378">
        <f>IF(M2788&lt;0,1,IF(M2788=0,IF(O2788&lt;0,1,2),2))</f>
        <v>2</v>
      </c>
      <c r="Z2788" s="378">
        <f>IF(O2788&lt;0,1,IF(O2788=0,IF(M2788&lt;0,1,2),2))</f>
        <v>2</v>
      </c>
    </row>
    <row r="2789" spans="2:26" ht="31.5" customHeight="1" x14ac:dyDescent="0.45">
      <c r="B2789" s="441"/>
      <c r="C2789" s="417"/>
      <c r="J2789" s="292"/>
      <c r="K2789" s="292"/>
      <c r="L2789" s="292"/>
      <c r="M2789" s="347"/>
      <c r="N2789" s="298"/>
      <c r="O2789" s="347"/>
      <c r="P2789" s="295"/>
      <c r="Q2789" s="442"/>
      <c r="R2789" s="403" t="str">
        <f t="shared" si="202"/>
        <v>DELETE</v>
      </c>
      <c r="T2789" s="381"/>
    </row>
    <row r="2790" spans="2:26" ht="31.5" customHeight="1" x14ac:dyDescent="0.45">
      <c r="B2790" s="441"/>
      <c r="C2790" s="417" t="s">
        <v>114</v>
      </c>
      <c r="J2790" s="292"/>
      <c r="K2790" s="292">
        <f>FS!B965</f>
        <v>6</v>
      </c>
      <c r="L2790" s="292"/>
      <c r="M2790" s="347">
        <f>SUM(M2793:M2800)</f>
        <v>0</v>
      </c>
      <c r="N2790" s="298"/>
      <c r="O2790" s="347">
        <f>SUM(O2793:O2800)</f>
        <v>0</v>
      </c>
      <c r="P2790" s="295"/>
      <c r="Q2790" s="442"/>
      <c r="R2790" s="403" t="str">
        <f t="shared" ref="R2790" si="203">IF(R$2651="DELETE","DELETE",IF(M2790+O2790=0,"DELETE"," "))</f>
        <v>DELETE</v>
      </c>
      <c r="S2790" s="380">
        <f>M2790</f>
        <v>0</v>
      </c>
      <c r="T2790" s="381"/>
      <c r="U2790" s="380">
        <f>O2790</f>
        <v>0</v>
      </c>
      <c r="V2790" s="380"/>
      <c r="W2790" s="380"/>
      <c r="X2790" s="380"/>
    </row>
    <row r="2791" spans="2:26" ht="9" customHeight="1" x14ac:dyDescent="0.45">
      <c r="B2791" s="441"/>
      <c r="C2791" s="417"/>
      <c r="J2791" s="292"/>
      <c r="K2791" s="292"/>
      <c r="L2791" s="292"/>
      <c r="M2791" s="347"/>
      <c r="N2791" s="298"/>
      <c r="O2791" s="347"/>
      <c r="P2791" s="295"/>
      <c r="Q2791" s="442"/>
      <c r="R2791" s="403" t="str">
        <f>R2790</f>
        <v>DELETE</v>
      </c>
      <c r="T2791" s="381"/>
    </row>
    <row r="2792" spans="2:26" ht="9" customHeight="1" x14ac:dyDescent="0.45">
      <c r="B2792" s="441"/>
      <c r="C2792" s="417"/>
      <c r="J2792" s="292"/>
      <c r="K2792" s="292"/>
      <c r="L2792" s="292"/>
      <c r="M2792" s="353"/>
      <c r="N2792" s="299"/>
      <c r="O2792" s="366"/>
      <c r="P2792" s="295"/>
      <c r="Q2792" s="442"/>
      <c r="R2792" s="403" t="str">
        <f>R2791</f>
        <v>DELETE</v>
      </c>
      <c r="T2792" s="381"/>
    </row>
    <row r="2793" spans="2:26" ht="31.5" customHeight="1" x14ac:dyDescent="0.45">
      <c r="B2793" s="441"/>
      <c r="C2793" s="417"/>
      <c r="D2793" s="400" t="s">
        <v>205</v>
      </c>
      <c r="J2793" s="292"/>
      <c r="K2793" s="292"/>
      <c r="L2793" s="292"/>
      <c r="M2793" s="354">
        <f>-TrialBalanceB!I94</f>
        <v>0</v>
      </c>
      <c r="N2793" s="298"/>
      <c r="O2793" s="367">
        <f>-TrialBalanceB!K94</f>
        <v>0</v>
      </c>
      <c r="P2793" s="295"/>
      <c r="Q2793" s="442"/>
      <c r="R2793" s="403" t="str">
        <f t="shared" ref="R2793:R2798" si="204">IF(R$2651="DELETE","DELETE",IF(M2793+O2793=0,"DELETE"," "))</f>
        <v>DELETE</v>
      </c>
      <c r="T2793" s="381"/>
    </row>
    <row r="2794" spans="2:26" ht="31.5" customHeight="1" x14ac:dyDescent="0.45">
      <c r="B2794" s="441"/>
      <c r="C2794" s="417"/>
      <c r="D2794" s="400" t="s">
        <v>531</v>
      </c>
      <c r="J2794" s="292"/>
      <c r="K2794" s="292"/>
      <c r="L2794" s="292"/>
      <c r="M2794" s="354">
        <f>-SUM(TrialBalanceB!I90:I92)</f>
        <v>0</v>
      </c>
      <c r="N2794" s="298"/>
      <c r="O2794" s="367">
        <f>-SUM(TrialBalanceB!K90:K92)</f>
        <v>0</v>
      </c>
      <c r="P2794" s="295"/>
      <c r="Q2794" s="442"/>
      <c r="R2794" s="403" t="str">
        <f t="shared" si="204"/>
        <v>DELETE</v>
      </c>
      <c r="T2794" s="381"/>
    </row>
    <row r="2795" spans="2:26" ht="31.5" customHeight="1" x14ac:dyDescent="0.45">
      <c r="B2795" s="441"/>
      <c r="C2795" s="417"/>
      <c r="D2795" s="400" t="s">
        <v>532</v>
      </c>
      <c r="J2795" s="292"/>
      <c r="K2795" s="292"/>
      <c r="L2795" s="292"/>
      <c r="M2795" s="365">
        <f>-SUM(TrialBalanceB!I85:I88)</f>
        <v>0</v>
      </c>
      <c r="N2795" s="304"/>
      <c r="O2795" s="371">
        <f>-SUM(TrialBalanceB!K85:K88)</f>
        <v>0</v>
      </c>
      <c r="P2795" s="295"/>
      <c r="Q2795" s="442"/>
      <c r="R2795" s="403" t="str">
        <f t="shared" si="204"/>
        <v>DELETE</v>
      </c>
      <c r="T2795" s="381"/>
    </row>
    <row r="2796" spans="2:26" ht="31.5" customHeight="1" x14ac:dyDescent="0.45">
      <c r="B2796" s="441"/>
      <c r="C2796" s="417"/>
      <c r="D2796" s="400" t="s">
        <v>207</v>
      </c>
      <c r="J2796" s="292"/>
      <c r="K2796" s="292"/>
      <c r="L2796" s="292"/>
      <c r="M2796" s="365">
        <f>-SUM(TrialBalanceB!I95)</f>
        <v>0</v>
      </c>
      <c r="N2796" s="304"/>
      <c r="O2796" s="371">
        <f>-TrialBalanceB!K95</f>
        <v>0</v>
      </c>
      <c r="P2796" s="295"/>
      <c r="Q2796" s="442"/>
      <c r="R2796" s="403" t="str">
        <f t="shared" si="204"/>
        <v>DELETE</v>
      </c>
      <c r="T2796" s="381"/>
    </row>
    <row r="2797" spans="2:26" ht="31.5" customHeight="1" x14ac:dyDescent="0.45">
      <c r="B2797" s="441"/>
      <c r="C2797" s="417"/>
      <c r="D2797" s="400" t="s">
        <v>548</v>
      </c>
      <c r="J2797" s="292"/>
      <c r="K2797" s="292"/>
      <c r="L2797" s="292"/>
      <c r="M2797" s="354">
        <f>IF(TrialBalanceB!I93&lt;0,-TrialBalanceB!I93,0)</f>
        <v>0</v>
      </c>
      <c r="N2797" s="298"/>
      <c r="O2797" s="367">
        <f>IF(TrialBalanceB!K93&lt;0,-TrialBalanceB!K93,0)</f>
        <v>0</v>
      </c>
      <c r="P2797" s="295"/>
      <c r="Q2797" s="442"/>
      <c r="R2797" s="403" t="str">
        <f t="shared" si="204"/>
        <v>DELETE</v>
      </c>
      <c r="T2797" s="381"/>
    </row>
    <row r="2798" spans="2:26" ht="31.5" customHeight="1" x14ac:dyDescent="0.45">
      <c r="B2798" s="441"/>
      <c r="C2798" s="417"/>
      <c r="D2798" s="400" t="s">
        <v>359</v>
      </c>
      <c r="J2798" s="292"/>
      <c r="K2798" s="292"/>
      <c r="L2798" s="292"/>
      <c r="M2798" s="354">
        <f>-TrialBalanceB!I83</f>
        <v>0</v>
      </c>
      <c r="N2798" s="298"/>
      <c r="O2798" s="367">
        <f>-TrialBalanceB!K83</f>
        <v>0</v>
      </c>
      <c r="P2798" s="295"/>
      <c r="Q2798" s="442"/>
      <c r="R2798" s="403" t="str">
        <f t="shared" si="204"/>
        <v>DELETE</v>
      </c>
      <c r="T2798" s="381"/>
    </row>
    <row r="2799" spans="2:26" ht="31.5" customHeight="1" x14ac:dyDescent="0.45">
      <c r="B2799" s="441"/>
      <c r="C2799" s="417"/>
      <c r="D2799" s="400" t="str">
        <f>TrialBalance!C96</f>
        <v>Revaluation of investment property</v>
      </c>
      <c r="J2799" s="292"/>
      <c r="K2799" s="292"/>
      <c r="L2799" s="292"/>
      <c r="M2799" s="354">
        <f>-TrialBalanceB!I96</f>
        <v>0</v>
      </c>
      <c r="N2799" s="298"/>
      <c r="O2799" s="367">
        <f>-TrialBalanceB!K96</f>
        <v>0</v>
      </c>
      <c r="P2799" s="295"/>
      <c r="Q2799" s="442"/>
      <c r="R2799" s="403" t="str">
        <f>IF(R$2651="DELETE","DELETE",IF(M2799+O2799=0,"DELETE"," "))</f>
        <v>DELETE</v>
      </c>
      <c r="T2799" s="381"/>
    </row>
    <row r="2800" spans="2:26" ht="9" customHeight="1" x14ac:dyDescent="0.45">
      <c r="B2800" s="441"/>
      <c r="C2800" s="417"/>
      <c r="J2800" s="292"/>
      <c r="K2800" s="292"/>
      <c r="L2800" s="292"/>
      <c r="M2800" s="355"/>
      <c r="N2800" s="300"/>
      <c r="O2800" s="368"/>
      <c r="P2800" s="295"/>
      <c r="Q2800" s="442"/>
      <c r="R2800" s="403" t="str">
        <f>R2790</f>
        <v>DELETE</v>
      </c>
      <c r="T2800" s="381"/>
    </row>
    <row r="2801" spans="2:26" ht="9" customHeight="1" x14ac:dyDescent="0.45">
      <c r="B2801" s="441"/>
      <c r="C2801" s="417"/>
      <c r="J2801" s="292"/>
      <c r="K2801" s="292"/>
      <c r="L2801" s="292"/>
      <c r="M2801" s="349"/>
      <c r="N2801" s="300"/>
      <c r="O2801" s="349"/>
      <c r="P2801" s="295"/>
      <c r="Q2801" s="442"/>
      <c r="R2801" s="403" t="str">
        <f>R2800</f>
        <v>DELETE</v>
      </c>
      <c r="T2801" s="381"/>
    </row>
    <row r="2802" spans="2:26" ht="9" customHeight="1" x14ac:dyDescent="0.45">
      <c r="B2802" s="441"/>
      <c r="C2802" s="417"/>
      <c r="J2802" s="292"/>
      <c r="K2802" s="292"/>
      <c r="L2802" s="292"/>
      <c r="M2802" s="347"/>
      <c r="N2802" s="298"/>
      <c r="O2802" s="347"/>
      <c r="P2802" s="295"/>
      <c r="Q2802" s="442"/>
      <c r="R2802" s="403" t="str">
        <f>R2801</f>
        <v>DELETE</v>
      </c>
      <c r="T2802" s="381"/>
    </row>
    <row r="2803" spans="2:26" ht="31.5" customHeight="1" x14ac:dyDescent="0.45">
      <c r="B2803" s="441"/>
      <c r="C2803" s="417"/>
      <c r="J2803" s="292"/>
      <c r="K2803" s="292"/>
      <c r="L2803" s="292"/>
      <c r="M2803" s="347">
        <f>SUM(S2663:S2800)</f>
        <v>0</v>
      </c>
      <c r="N2803" s="298"/>
      <c r="O2803" s="347">
        <f>SUM(U2663:U2800)</f>
        <v>0</v>
      </c>
      <c r="P2803" s="295"/>
      <c r="Q2803" s="442"/>
      <c r="R2803" s="403" t="str">
        <f>R2802</f>
        <v>DELETE</v>
      </c>
      <c r="T2803" s="381"/>
    </row>
    <row r="2804" spans="2:26" ht="31.5" customHeight="1" x14ac:dyDescent="0.45">
      <c r="B2804" s="441"/>
      <c r="C2804" s="417"/>
      <c r="J2804" s="292"/>
      <c r="K2804" s="292"/>
      <c r="L2804" s="292"/>
      <c r="M2804" s="347"/>
      <c r="N2804" s="298"/>
      <c r="O2804" s="347"/>
      <c r="P2804" s="295"/>
      <c r="Q2804" s="442"/>
      <c r="R2804" s="403" t="str">
        <f>R2803</f>
        <v>DELETE</v>
      </c>
      <c r="T2804" s="381"/>
    </row>
    <row r="2805" spans="2:26" ht="31.5" customHeight="1" x14ac:dyDescent="0.45">
      <c r="B2805" s="441"/>
      <c r="C2805" s="417" t="s">
        <v>262</v>
      </c>
      <c r="J2805" s="292"/>
      <c r="K2805" s="292">
        <f>FS!B1024</f>
        <v>7</v>
      </c>
      <c r="L2805" s="292"/>
      <c r="M2805" s="347">
        <f>SUM(TrialBalanceB!I142:I152)</f>
        <v>0</v>
      </c>
      <c r="N2805" s="298"/>
      <c r="O2805" s="347">
        <f>SUM(TrialBalanceB!K142:K152)</f>
        <v>0</v>
      </c>
      <c r="P2805" s="295"/>
      <c r="Q2805" s="442"/>
      <c r="R2805" s="403" t="str">
        <f t="shared" ref="R2805" si="205">IF(R$2651="DELETE","DELETE",IF(M2805+O2805=0,"DELETE"," "))</f>
        <v>DELETE</v>
      </c>
      <c r="S2805" s="380">
        <f>-M2805</f>
        <v>0</v>
      </c>
      <c r="T2805" s="381"/>
      <c r="U2805" s="380">
        <f>-O2805</f>
        <v>0</v>
      </c>
      <c r="V2805" s="380"/>
      <c r="W2805" s="380"/>
      <c r="X2805" s="380"/>
    </row>
    <row r="2806" spans="2:26" ht="9" customHeight="1" x14ac:dyDescent="0.45">
      <c r="B2806" s="441"/>
      <c r="C2806" s="417"/>
      <c r="J2806" s="292"/>
      <c r="K2806" s="292"/>
      <c r="L2806" s="292"/>
      <c r="M2806" s="349"/>
      <c r="N2806" s="300"/>
      <c r="O2806" s="349"/>
      <c r="P2806" s="295"/>
      <c r="Q2806" s="442"/>
      <c r="R2806" s="403" t="str">
        <f t="shared" ref="R2806:R2814" si="206">R$2651</f>
        <v>DELETE</v>
      </c>
      <c r="T2806" s="381"/>
    </row>
    <row r="2807" spans="2:26" ht="9" customHeight="1" x14ac:dyDescent="0.45">
      <c r="B2807" s="441"/>
      <c r="C2807" s="417"/>
      <c r="J2807" s="292"/>
      <c r="K2807" s="292"/>
      <c r="L2807" s="292"/>
      <c r="M2807" s="347"/>
      <c r="N2807" s="298"/>
      <c r="O2807" s="347"/>
      <c r="P2807" s="295"/>
      <c r="Q2807" s="442"/>
      <c r="R2807" s="403" t="str">
        <f t="shared" si="206"/>
        <v>DELETE</v>
      </c>
      <c r="T2807" s="381"/>
    </row>
    <row r="2808" spans="2:26" ht="31.5" customHeight="1" x14ac:dyDescent="0.45">
      <c r="B2808" s="441"/>
      <c r="C2808" s="315" t="str">
        <f>IF((Y2808+Z2808)=3,"PROFIT/(LOSS) BEFORE TAXATION",(IF((Y2808+Z2808=4),"PROFIT BEFORE TAXATION","LOSS BEFORE TAXATION")))</f>
        <v>PROFIT BEFORE TAXATION</v>
      </c>
      <c r="J2808" s="292"/>
      <c r="K2808" s="292"/>
      <c r="L2808" s="292"/>
      <c r="M2808" s="347">
        <f>SUM(S2663:S2807)</f>
        <v>0</v>
      </c>
      <c r="N2808" s="298"/>
      <c r="O2808" s="347">
        <f>SUM(U2663:U2807)</f>
        <v>0</v>
      </c>
      <c r="P2808" s="295"/>
      <c r="Q2808" s="442"/>
      <c r="R2808" s="403" t="str">
        <f t="shared" si="206"/>
        <v>DELETE</v>
      </c>
      <c r="T2808" s="381"/>
      <c r="V2808" s="378" t="b">
        <f>M2808=FS!M2308</f>
        <v>1</v>
      </c>
      <c r="X2808" s="378" t="b">
        <f>O2808=FS!O2308</f>
        <v>1</v>
      </c>
      <c r="Y2808" s="378">
        <f>IF(M2808&lt;0,1,IF(M2808=0,IF(O2808&lt;0,1,2),2))</f>
        <v>2</v>
      </c>
      <c r="Z2808" s="378">
        <f>IF(O2808&lt;0,1,IF(O2808=0,IF(M2808&lt;0,1,2),2))</f>
        <v>2</v>
      </c>
    </row>
    <row r="2809" spans="2:26" ht="9" customHeight="1" thickBot="1" x14ac:dyDescent="0.5">
      <c r="B2809" s="441"/>
      <c r="C2809" s="417"/>
      <c r="J2809" s="292"/>
      <c r="K2809" s="292"/>
      <c r="L2809" s="292"/>
      <c r="M2809" s="351"/>
      <c r="N2809" s="301"/>
      <c r="O2809" s="351"/>
      <c r="P2809" s="295"/>
      <c r="Q2809" s="442"/>
      <c r="R2809" s="403" t="str">
        <f t="shared" si="206"/>
        <v>DELETE</v>
      </c>
      <c r="T2809" s="381"/>
    </row>
    <row r="2810" spans="2:26" ht="9" customHeight="1" thickTop="1" x14ac:dyDescent="0.45">
      <c r="B2810" s="441"/>
      <c r="C2810" s="417"/>
      <c r="J2810" s="292"/>
      <c r="K2810" s="292"/>
      <c r="L2810" s="292"/>
      <c r="M2810" s="347"/>
      <c r="N2810" s="298"/>
      <c r="O2810" s="347"/>
      <c r="P2810" s="295"/>
      <c r="Q2810" s="442"/>
      <c r="R2810" s="403" t="str">
        <f t="shared" si="206"/>
        <v>DELETE</v>
      </c>
      <c r="T2810" s="381"/>
    </row>
    <row r="2811" spans="2:26" ht="31.5" customHeight="1" x14ac:dyDescent="0.45">
      <c r="B2811" s="441"/>
      <c r="C2811" s="417"/>
      <c r="J2811" s="292"/>
      <c r="K2811" s="292"/>
      <c r="L2811" s="292"/>
      <c r="M2811" s="347"/>
      <c r="N2811" s="298"/>
      <c r="O2811" s="347"/>
      <c r="P2811" s="295"/>
      <c r="Q2811" s="442"/>
      <c r="R2811" s="403" t="str">
        <f t="shared" si="206"/>
        <v>DELETE</v>
      </c>
      <c r="T2811" s="381"/>
    </row>
    <row r="2812" spans="2:26" ht="31.5" customHeight="1" x14ac:dyDescent="0.45">
      <c r="B2812" s="441"/>
      <c r="C2812" s="417"/>
      <c r="J2812" s="292"/>
      <c r="K2812" s="292"/>
      <c r="L2812" s="292"/>
      <c r="M2812" s="347"/>
      <c r="N2812" s="298"/>
      <c r="O2812" s="347"/>
      <c r="P2812" s="295"/>
      <c r="Q2812" s="442"/>
      <c r="R2812" s="403" t="str">
        <f t="shared" si="206"/>
        <v>DELETE</v>
      </c>
      <c r="T2812" s="381"/>
    </row>
    <row r="2813" spans="2:26" ht="31.5" customHeight="1" x14ac:dyDescent="0.45">
      <c r="B2813" s="445"/>
      <c r="C2813" s="429"/>
      <c r="D2813" s="429"/>
      <c r="E2813" s="429"/>
      <c r="F2813" s="429"/>
      <c r="G2813" s="429"/>
      <c r="H2813" s="429"/>
      <c r="I2813" s="429"/>
      <c r="J2813" s="429"/>
      <c r="K2813" s="429"/>
      <c r="L2813" s="429"/>
      <c r="M2813" s="437"/>
      <c r="N2813" s="461"/>
      <c r="O2813" s="437"/>
      <c r="P2813" s="433"/>
      <c r="Q2813" s="446"/>
      <c r="R2813" s="403" t="str">
        <f t="shared" si="206"/>
        <v>DELETE</v>
      </c>
      <c r="T2813" s="381"/>
    </row>
    <row r="2814" spans="2:26" ht="31.5" customHeight="1" x14ac:dyDescent="0.45">
      <c r="M2814" s="426"/>
      <c r="N2814" s="406"/>
      <c r="O2814" s="426"/>
      <c r="R2814" s="403" t="str">
        <f t="shared" si="206"/>
        <v>DELETE</v>
      </c>
      <c r="T2814" s="381"/>
    </row>
    <row r="2815" spans="2:26" ht="31.5" customHeight="1" x14ac:dyDescent="0.45">
      <c r="M2815" s="426"/>
      <c r="N2815" s="406"/>
      <c r="O2815" s="426"/>
      <c r="R2815" s="403" t="str">
        <f>IF(SUM(U2663:U2667)+SUM(U2683:U2692)+SUM(U2790:U2800)+O2808=0,IF(SUM(S2827:S2829)+SUM(S2847:S2854)+SUM(S2954:S2964)+O2972=0,"DELETE"," "),"DELETE")</f>
        <v>DELETE</v>
      </c>
      <c r="T2815" s="381"/>
      <c r="V2815" s="382"/>
      <c r="W2815" s="382"/>
      <c r="X2815" s="382"/>
    </row>
    <row r="2816" spans="2:26" ht="31.5" customHeight="1" x14ac:dyDescent="0.45">
      <c r="D2816" s="417" t="s">
        <v>644</v>
      </c>
      <c r="M2816" s="426"/>
      <c r="N2816" s="406"/>
      <c r="O2816" s="426"/>
      <c r="R2816" s="403" t="str">
        <f>R$2815</f>
        <v>DELETE</v>
      </c>
      <c r="T2816" s="381"/>
      <c r="V2816" s="379"/>
      <c r="X2816" s="379"/>
    </row>
    <row r="2817" spans="2:24" ht="31.5" customHeight="1" x14ac:dyDescent="0.45">
      <c r="M2817" s="426"/>
      <c r="N2817" s="406"/>
      <c r="O2817" s="426"/>
      <c r="R2817" s="403" t="str">
        <f t="shared" ref="R2817:R2826" si="207">R$2815</f>
        <v>DELETE</v>
      </c>
      <c r="T2817" s="381"/>
    </row>
    <row r="2818" spans="2:24" ht="31.5" customHeight="1" x14ac:dyDescent="0.45">
      <c r="D2818" s="417" t="str">
        <f>Criteria!E15</f>
        <v>SUBSIDIARY TWO 15 (PTY) LTD</v>
      </c>
      <c r="M2818" s="426"/>
      <c r="N2818" s="406"/>
      <c r="O2818" s="347" t="s">
        <v>96</v>
      </c>
      <c r="Q2818" s="292">
        <v>1</v>
      </c>
      <c r="R2818" s="403" t="str">
        <f t="shared" si="207"/>
        <v>DELETE</v>
      </c>
      <c r="T2818" s="381"/>
    </row>
    <row r="2819" spans="2:24" ht="31.5" customHeight="1" x14ac:dyDescent="0.45">
      <c r="D2819" s="405"/>
      <c r="M2819" s="426"/>
      <c r="N2819" s="406"/>
      <c r="O2819" s="426"/>
      <c r="R2819" s="403" t="str">
        <f t="shared" si="207"/>
        <v>DELETE</v>
      </c>
      <c r="T2819" s="381"/>
    </row>
    <row r="2820" spans="2:24" ht="31.5" customHeight="1" x14ac:dyDescent="0.45">
      <c r="M2820" s="426"/>
      <c r="N2820" s="406"/>
      <c r="O2820" s="426"/>
      <c r="R2820" s="403" t="str">
        <f t="shared" si="207"/>
        <v>DELETE</v>
      </c>
      <c r="T2820" s="381"/>
    </row>
    <row r="2821" spans="2:24" ht="31.5" customHeight="1" x14ac:dyDescent="0.45">
      <c r="D2821" s="417" t="s">
        <v>91</v>
      </c>
      <c r="M2821" s="426"/>
      <c r="N2821" s="406"/>
      <c r="O2821" s="426"/>
      <c r="R2821" s="403" t="str">
        <f t="shared" si="207"/>
        <v>DELETE</v>
      </c>
      <c r="T2821" s="381"/>
    </row>
    <row r="2822" spans="2:24" ht="31.5" customHeight="1" x14ac:dyDescent="0.45">
      <c r="D2822" s="417" t="str">
        <f>Criteria!E20</f>
        <v>29 FEBRUARY 2024</v>
      </c>
      <c r="M2822" s="426"/>
      <c r="N2822" s="406"/>
      <c r="O2822" s="426"/>
      <c r="R2822" s="403" t="str">
        <f t="shared" si="207"/>
        <v>DELETE</v>
      </c>
      <c r="T2822" s="381"/>
    </row>
    <row r="2823" spans="2:24" ht="31.5" customHeight="1" x14ac:dyDescent="0.45">
      <c r="M2823" s="426"/>
      <c r="N2823" s="406"/>
      <c r="O2823" s="426"/>
      <c r="R2823" s="403" t="str">
        <f t="shared" si="207"/>
        <v>DELETE</v>
      </c>
      <c r="T2823" s="381"/>
    </row>
    <row r="2824" spans="2:24" ht="31.5" customHeight="1" x14ac:dyDescent="0.45">
      <c r="B2824" s="438"/>
      <c r="C2824" s="439"/>
      <c r="D2824" s="439"/>
      <c r="E2824" s="439"/>
      <c r="F2824" s="439"/>
      <c r="G2824" s="439"/>
      <c r="H2824" s="439"/>
      <c r="I2824" s="439"/>
      <c r="J2824" s="439"/>
      <c r="K2824" s="439"/>
      <c r="L2824" s="439"/>
      <c r="M2824" s="469"/>
      <c r="N2824" s="470"/>
      <c r="O2824" s="469"/>
      <c r="P2824" s="448"/>
      <c r="Q2824" s="440"/>
      <c r="R2824" s="403" t="str">
        <f t="shared" si="207"/>
        <v>DELETE</v>
      </c>
      <c r="T2824" s="381"/>
    </row>
    <row r="2825" spans="2:24" ht="31.5" customHeight="1" x14ac:dyDescent="0.45">
      <c r="B2825" s="441"/>
      <c r="J2825" s="292"/>
      <c r="K2825" s="292" t="s">
        <v>104</v>
      </c>
      <c r="L2825" s="405"/>
      <c r="M2825" s="421"/>
      <c r="N2825" s="292"/>
      <c r="O2825" s="344">
        <f>Criteria!E22</f>
        <v>2024</v>
      </c>
      <c r="P2825" s="295"/>
      <c r="Q2825" s="442"/>
      <c r="R2825" s="403" t="str">
        <f t="shared" si="207"/>
        <v>DELETE</v>
      </c>
      <c r="T2825" s="381"/>
    </row>
    <row r="2826" spans="2:24" ht="31.5" customHeight="1" x14ac:dyDescent="0.45">
      <c r="B2826" s="441"/>
      <c r="J2826" s="292"/>
      <c r="K2826" s="292"/>
      <c r="L2826" s="405"/>
      <c r="M2826" s="421"/>
      <c r="N2826" s="292"/>
      <c r="O2826" s="347"/>
      <c r="P2826" s="295"/>
      <c r="Q2826" s="442"/>
      <c r="R2826" s="403" t="str">
        <f t="shared" si="207"/>
        <v>DELETE</v>
      </c>
      <c r="T2826" s="381"/>
    </row>
    <row r="2827" spans="2:24" ht="31.5" customHeight="1" x14ac:dyDescent="0.45">
      <c r="B2827" s="441"/>
      <c r="C2827" s="417" t="s">
        <v>112</v>
      </c>
      <c r="J2827" s="292"/>
      <c r="K2827" s="292"/>
      <c r="L2827" s="405"/>
      <c r="M2827" s="421"/>
      <c r="N2827" s="292"/>
      <c r="O2827" s="347">
        <f>-SUM(TrialBalanceB!I5:I10)</f>
        <v>0</v>
      </c>
      <c r="P2827" s="295"/>
      <c r="Q2827" s="442"/>
      <c r="R2827" s="403" t="str">
        <f>IF(R2815="DELETE","DELETE",IF(O2827=0,IF(O2829=0," ","DELETE")," "))</f>
        <v>DELETE</v>
      </c>
      <c r="S2827" s="380">
        <f>O2827</f>
        <v>0</v>
      </c>
      <c r="T2827" s="381"/>
      <c r="U2827" s="380"/>
      <c r="V2827" s="380"/>
      <c r="W2827" s="380"/>
      <c r="X2827" s="380"/>
    </row>
    <row r="2828" spans="2:24" ht="31.5" customHeight="1" x14ac:dyDescent="0.45">
      <c r="B2828" s="441"/>
      <c r="C2828" s="417"/>
      <c r="J2828" s="292"/>
      <c r="K2828" s="292"/>
      <c r="L2828" s="405"/>
      <c r="M2828" s="421"/>
      <c r="N2828" s="292"/>
      <c r="O2828" s="347"/>
      <c r="P2828" s="295"/>
      <c r="Q2828" s="442"/>
      <c r="R2828" s="403" t="str">
        <f>R2827</f>
        <v>DELETE</v>
      </c>
      <c r="S2828" s="380"/>
      <c r="T2828" s="381"/>
      <c r="U2828" s="380"/>
      <c r="V2828" s="380"/>
      <c r="W2828" s="380"/>
      <c r="X2828" s="380"/>
    </row>
    <row r="2829" spans="2:24" ht="31.5" customHeight="1" x14ac:dyDescent="0.45">
      <c r="B2829" s="441"/>
      <c r="C2829" s="417" t="s">
        <v>525</v>
      </c>
      <c r="J2829" s="292"/>
      <c r="K2829" s="292"/>
      <c r="L2829" s="405"/>
      <c r="M2829" s="421"/>
      <c r="N2829" s="292"/>
      <c r="O2829" s="347">
        <f>-TrialBalanceB!I11</f>
        <v>0</v>
      </c>
      <c r="P2829" s="295"/>
      <c r="Q2829" s="442"/>
      <c r="R2829" s="403" t="str">
        <f>IF(R2815="DELETE","DELETE",IF(O2829=0,"DELETE"," "))</f>
        <v>DELETE</v>
      </c>
      <c r="S2829" s="380">
        <f>O2829</f>
        <v>0</v>
      </c>
      <c r="T2829" s="381"/>
      <c r="U2829" s="380"/>
      <c r="V2829" s="380"/>
      <c r="W2829" s="380"/>
      <c r="X2829" s="380"/>
    </row>
    <row r="2830" spans="2:24" ht="31.5" customHeight="1" x14ac:dyDescent="0.45">
      <c r="B2830" s="441"/>
      <c r="C2830" s="417"/>
      <c r="J2830" s="292"/>
      <c r="K2830" s="292"/>
      <c r="L2830" s="405"/>
      <c r="M2830" s="421"/>
      <c r="N2830" s="292"/>
      <c r="O2830" s="347"/>
      <c r="P2830" s="295"/>
      <c r="Q2830" s="442"/>
      <c r="R2830" s="403" t="str">
        <f>R2829</f>
        <v>DELETE</v>
      </c>
      <c r="T2830" s="381"/>
    </row>
    <row r="2831" spans="2:24" ht="31.5" customHeight="1" x14ac:dyDescent="0.45">
      <c r="B2831" s="441"/>
      <c r="C2831" s="417" t="s">
        <v>273</v>
      </c>
      <c r="J2831" s="292"/>
      <c r="K2831" s="292"/>
      <c r="L2831" s="405"/>
      <c r="M2831" s="421"/>
      <c r="N2831" s="292"/>
      <c r="O2831" s="347">
        <f>SUM(O2834:O2841)</f>
        <v>0</v>
      </c>
      <c r="P2831" s="295"/>
      <c r="Q2831" s="442"/>
      <c r="R2831" s="403" t="str">
        <f>IF(R$2815="DELETE","DELETE",IF(O2831=0,"DELETE"," "))</f>
        <v>DELETE</v>
      </c>
      <c r="S2831" s="380">
        <f>-O2831</f>
        <v>0</v>
      </c>
      <c r="T2831" s="381"/>
      <c r="U2831" s="380"/>
      <c r="V2831" s="380"/>
      <c r="W2831" s="380"/>
      <c r="X2831" s="380"/>
    </row>
    <row r="2832" spans="2:24" ht="9" customHeight="1" x14ac:dyDescent="0.45">
      <c r="B2832" s="441"/>
      <c r="C2832" s="417"/>
      <c r="J2832" s="292"/>
      <c r="K2832" s="292"/>
      <c r="L2832" s="405"/>
      <c r="M2832" s="421"/>
      <c r="N2832" s="292"/>
      <c r="O2832" s="347"/>
      <c r="P2832" s="295"/>
      <c r="Q2832" s="442"/>
      <c r="R2832" s="403" t="str">
        <f>R2831</f>
        <v>DELETE</v>
      </c>
      <c r="T2832" s="381"/>
    </row>
    <row r="2833" spans="2:21" ht="9" customHeight="1" x14ac:dyDescent="0.45">
      <c r="B2833" s="441"/>
      <c r="C2833" s="417"/>
      <c r="J2833" s="292"/>
      <c r="K2833" s="292"/>
      <c r="L2833" s="405"/>
      <c r="M2833" s="421"/>
      <c r="N2833" s="292"/>
      <c r="O2833" s="372"/>
      <c r="P2833" s="295"/>
      <c r="Q2833" s="442"/>
      <c r="R2833" s="403" t="str">
        <f>R2832</f>
        <v>DELETE</v>
      </c>
      <c r="T2833" s="381"/>
    </row>
    <row r="2834" spans="2:21" ht="31.5" customHeight="1" x14ac:dyDescent="0.45">
      <c r="B2834" s="441"/>
      <c r="C2834" s="417"/>
      <c r="D2834" s="400" t="s">
        <v>527</v>
      </c>
      <c r="J2834" s="292"/>
      <c r="K2834" s="292"/>
      <c r="L2834" s="405"/>
      <c r="M2834" s="421"/>
      <c r="N2834" s="292"/>
      <c r="O2834" s="373">
        <f>SUM(TrialBalanceB!I13:I16)</f>
        <v>0</v>
      </c>
      <c r="P2834" s="295"/>
      <c r="Q2834" s="442"/>
      <c r="R2834" s="403" t="str">
        <f t="shared" ref="R2834:R2841" si="208">IF(R$2815="DELETE","DELETE",IF(O2834=0,"DELETE"," "))</f>
        <v>DELETE</v>
      </c>
      <c r="T2834" s="381"/>
    </row>
    <row r="2835" spans="2:21" ht="31.5" customHeight="1" x14ac:dyDescent="0.45">
      <c r="B2835" s="441"/>
      <c r="C2835" s="417"/>
      <c r="D2835" s="400" t="s">
        <v>274</v>
      </c>
      <c r="J2835" s="292"/>
      <c r="K2835" s="292"/>
      <c r="L2835" s="405"/>
      <c r="M2835" s="421"/>
      <c r="N2835" s="292"/>
      <c r="O2835" s="373">
        <f>TrialBalanceB!I17</f>
        <v>0</v>
      </c>
      <c r="P2835" s="295"/>
      <c r="Q2835" s="442"/>
      <c r="R2835" s="403" t="str">
        <f t="shared" si="208"/>
        <v>DELETE</v>
      </c>
      <c r="T2835" s="381"/>
    </row>
    <row r="2836" spans="2:21" ht="31.5" customHeight="1" x14ac:dyDescent="0.45">
      <c r="B2836" s="441"/>
      <c r="C2836" s="417"/>
      <c r="D2836" s="400">
        <f>TrialBalanceB!C18</f>
        <v>0</v>
      </c>
      <c r="J2836" s="292"/>
      <c r="K2836" s="292"/>
      <c r="L2836" s="405"/>
      <c r="M2836" s="421"/>
      <c r="N2836" s="292"/>
      <c r="O2836" s="373">
        <f>TrialBalanceB!I18</f>
        <v>0</v>
      </c>
      <c r="P2836" s="295"/>
      <c r="Q2836" s="442"/>
      <c r="R2836" s="403" t="str">
        <f t="shared" si="208"/>
        <v>DELETE</v>
      </c>
      <c r="T2836" s="381"/>
    </row>
    <row r="2837" spans="2:21" ht="31.5" customHeight="1" x14ac:dyDescent="0.45">
      <c r="B2837" s="441"/>
      <c r="C2837" s="417"/>
      <c r="D2837" s="400">
        <f>TrialBalanceB!C19</f>
        <v>0</v>
      </c>
      <c r="J2837" s="292"/>
      <c r="K2837" s="292"/>
      <c r="L2837" s="405"/>
      <c r="M2837" s="421"/>
      <c r="N2837" s="292"/>
      <c r="O2837" s="373">
        <f>TrialBalanceB!I19</f>
        <v>0</v>
      </c>
      <c r="P2837" s="295"/>
      <c r="Q2837" s="442"/>
      <c r="R2837" s="403" t="str">
        <f t="shared" si="208"/>
        <v>DELETE</v>
      </c>
      <c r="T2837" s="381"/>
    </row>
    <row r="2838" spans="2:21" ht="31.5" customHeight="1" x14ac:dyDescent="0.45">
      <c r="B2838" s="441"/>
      <c r="C2838" s="417"/>
      <c r="D2838" s="400">
        <f>TrialBalanceB!C20</f>
        <v>0</v>
      </c>
      <c r="J2838" s="292"/>
      <c r="K2838" s="292"/>
      <c r="L2838" s="405"/>
      <c r="M2838" s="421"/>
      <c r="N2838" s="292"/>
      <c r="O2838" s="373">
        <f>TrialBalanceB!I20</f>
        <v>0</v>
      </c>
      <c r="P2838" s="295"/>
      <c r="Q2838" s="442"/>
      <c r="R2838" s="403" t="str">
        <f t="shared" si="208"/>
        <v>DELETE</v>
      </c>
      <c r="T2838" s="381"/>
    </row>
    <row r="2839" spans="2:21" ht="31.5" customHeight="1" x14ac:dyDescent="0.45">
      <c r="B2839" s="441"/>
      <c r="C2839" s="417"/>
      <c r="D2839" s="400">
        <f>TrialBalanceB!C21</f>
        <v>0</v>
      </c>
      <c r="J2839" s="292"/>
      <c r="K2839" s="292"/>
      <c r="L2839" s="405"/>
      <c r="M2839" s="421"/>
      <c r="N2839" s="292"/>
      <c r="O2839" s="373">
        <f>TrialBalanceB!I21</f>
        <v>0</v>
      </c>
      <c r="P2839" s="295"/>
      <c r="Q2839" s="442"/>
      <c r="R2839" s="403" t="str">
        <f t="shared" si="208"/>
        <v>DELETE</v>
      </c>
      <c r="T2839" s="381"/>
    </row>
    <row r="2840" spans="2:21" ht="31.5" customHeight="1" x14ac:dyDescent="0.45">
      <c r="B2840" s="441"/>
      <c r="C2840" s="417"/>
      <c r="D2840" s="400">
        <f>TrialBalanceB!C22</f>
        <v>0</v>
      </c>
      <c r="J2840" s="292"/>
      <c r="K2840" s="292"/>
      <c r="L2840" s="405"/>
      <c r="M2840" s="421"/>
      <c r="N2840" s="292"/>
      <c r="O2840" s="373">
        <f>TrialBalanceB!I22</f>
        <v>0</v>
      </c>
      <c r="P2840" s="295"/>
      <c r="Q2840" s="442"/>
      <c r="R2840" s="403" t="str">
        <f t="shared" si="208"/>
        <v>DELETE</v>
      </c>
      <c r="T2840" s="381"/>
    </row>
    <row r="2841" spans="2:21" ht="31.5" customHeight="1" x14ac:dyDescent="0.45">
      <c r="B2841" s="441"/>
      <c r="C2841" s="417"/>
      <c r="D2841" s="400" t="s">
        <v>528</v>
      </c>
      <c r="J2841" s="292"/>
      <c r="K2841" s="292"/>
      <c r="L2841" s="405"/>
      <c r="M2841" s="421"/>
      <c r="N2841" s="292"/>
      <c r="O2841" s="373">
        <f>SUM(TrialBalanceB!I23:I26)</f>
        <v>0</v>
      </c>
      <c r="P2841" s="295"/>
      <c r="Q2841" s="442"/>
      <c r="R2841" s="403" t="str">
        <f t="shared" si="208"/>
        <v>DELETE</v>
      </c>
      <c r="T2841" s="381"/>
    </row>
    <row r="2842" spans="2:21" ht="9" customHeight="1" x14ac:dyDescent="0.45">
      <c r="B2842" s="441"/>
      <c r="C2842" s="417"/>
      <c r="J2842" s="292"/>
      <c r="K2842" s="292"/>
      <c r="L2842" s="405"/>
      <c r="M2842" s="421"/>
      <c r="N2842" s="292"/>
      <c r="O2842" s="374"/>
      <c r="P2842" s="295"/>
      <c r="Q2842" s="442"/>
      <c r="R2842" s="403" t="str">
        <f>R2831</f>
        <v>DELETE</v>
      </c>
      <c r="T2842" s="381"/>
    </row>
    <row r="2843" spans="2:21" ht="9" customHeight="1" x14ac:dyDescent="0.45">
      <c r="B2843" s="441"/>
      <c r="C2843" s="417"/>
      <c r="J2843" s="292"/>
      <c r="K2843" s="292"/>
      <c r="L2843" s="405"/>
      <c r="M2843" s="421"/>
      <c r="N2843" s="292"/>
      <c r="O2843" s="349"/>
      <c r="P2843" s="295"/>
      <c r="Q2843" s="442"/>
      <c r="R2843" s="403" t="str">
        <f>R2831</f>
        <v>DELETE</v>
      </c>
      <c r="T2843" s="381"/>
    </row>
    <row r="2844" spans="2:21" ht="9" customHeight="1" x14ac:dyDescent="0.45">
      <c r="B2844" s="441"/>
      <c r="C2844" s="417"/>
      <c r="J2844" s="292"/>
      <c r="K2844" s="292"/>
      <c r="L2844" s="405"/>
      <c r="M2844" s="421"/>
      <c r="N2844" s="292"/>
      <c r="O2844" s="347"/>
      <c r="P2844" s="295"/>
      <c r="Q2844" s="442"/>
      <c r="R2844" s="403" t="str">
        <f>R2843</f>
        <v>DELETE</v>
      </c>
      <c r="T2844" s="381"/>
    </row>
    <row r="2845" spans="2:21" ht="31.5" customHeight="1" x14ac:dyDescent="0.45">
      <c r="B2845" s="441"/>
      <c r="C2845" s="315" t="str">
        <f>IF(O2845&lt;0,"GROSS LOSS","GROSS PROFIT")</f>
        <v>GROSS PROFIT</v>
      </c>
      <c r="J2845" s="292"/>
      <c r="K2845" s="292"/>
      <c r="L2845" s="405"/>
      <c r="M2845" s="421"/>
      <c r="N2845" s="292"/>
      <c r="O2845" s="347">
        <f>SUM(S2827:S2842)</f>
        <v>0</v>
      </c>
      <c r="P2845" s="295"/>
      <c r="Q2845" s="442"/>
      <c r="R2845" s="403" t="str">
        <f>R2844</f>
        <v>DELETE</v>
      </c>
      <c r="T2845" s="381"/>
    </row>
    <row r="2846" spans="2:21" ht="31.5" customHeight="1" x14ac:dyDescent="0.45">
      <c r="B2846" s="441"/>
      <c r="C2846" s="417"/>
      <c r="J2846" s="292"/>
      <c r="K2846" s="292"/>
      <c r="L2846" s="405"/>
      <c r="M2846" s="421"/>
      <c r="N2846" s="292"/>
      <c r="O2846" s="347"/>
      <c r="P2846" s="295"/>
      <c r="Q2846" s="442"/>
      <c r="R2846" s="403" t="str">
        <f>R2845</f>
        <v>DELETE</v>
      </c>
      <c r="T2846" s="381"/>
    </row>
    <row r="2847" spans="2:21" ht="31.5" customHeight="1" x14ac:dyDescent="0.45">
      <c r="B2847" s="441"/>
      <c r="C2847" s="417" t="s">
        <v>323</v>
      </c>
      <c r="J2847" s="292"/>
      <c r="K2847" s="292"/>
      <c r="L2847" s="405"/>
      <c r="M2847" s="421"/>
      <c r="N2847" s="292"/>
      <c r="O2847" s="347">
        <f>SUM(O2849:O2856)</f>
        <v>0</v>
      </c>
      <c r="P2847" s="295"/>
      <c r="Q2847" s="442"/>
      <c r="R2847" s="403" t="str">
        <f t="shared" ref="R2847" si="209">IF(R$2815="DELETE","DELETE",IF(O2847=0,"DELETE"," "))</f>
        <v>DELETE</v>
      </c>
      <c r="S2847" s="380">
        <f>O2847</f>
        <v>0</v>
      </c>
      <c r="T2847" s="381"/>
      <c r="U2847" s="380"/>
    </row>
    <row r="2848" spans="2:21" ht="9" customHeight="1" x14ac:dyDescent="0.45">
      <c r="B2848" s="441"/>
      <c r="C2848" s="417"/>
      <c r="J2848" s="292"/>
      <c r="K2848" s="292"/>
      <c r="L2848" s="405"/>
      <c r="M2848" s="421"/>
      <c r="N2848" s="292"/>
      <c r="O2848" s="347"/>
      <c r="P2848" s="295"/>
      <c r="Q2848" s="442"/>
      <c r="R2848" s="403" t="str">
        <f>R2847</f>
        <v>DELETE</v>
      </c>
      <c r="T2848" s="381"/>
    </row>
    <row r="2849" spans="2:24" ht="9" customHeight="1" x14ac:dyDescent="0.45">
      <c r="B2849" s="441"/>
      <c r="C2849" s="417"/>
      <c r="J2849" s="292"/>
      <c r="K2849" s="292"/>
      <c r="L2849" s="405"/>
      <c r="M2849" s="421"/>
      <c r="N2849" s="292"/>
      <c r="O2849" s="372"/>
      <c r="P2849" s="295"/>
      <c r="Q2849" s="442"/>
      <c r="R2849" s="403" t="str">
        <f>R2847</f>
        <v>DELETE</v>
      </c>
      <c r="T2849" s="381"/>
    </row>
    <row r="2850" spans="2:24" ht="31.5" customHeight="1" x14ac:dyDescent="0.45">
      <c r="B2850" s="441"/>
      <c r="C2850" s="417"/>
      <c r="D2850" s="400" t="str">
        <f>TrialBalanceB!C28</f>
        <v>Insurance claims - Subsidiary Two 15 (Pty) Ltd</v>
      </c>
      <c r="J2850" s="292"/>
      <c r="K2850" s="292"/>
      <c r="L2850" s="405"/>
      <c r="M2850" s="421"/>
      <c r="N2850" s="292"/>
      <c r="O2850" s="373">
        <f>-TrialBalanceB!I28</f>
        <v>0</v>
      </c>
      <c r="P2850" s="295"/>
      <c r="Q2850" s="442"/>
      <c r="R2850" s="403" t="str">
        <f t="shared" ref="R2850:R2854" si="210">IF(R$2815="DELETE","DELETE",IF(O2850=0,"DELETE"," "))</f>
        <v>DELETE</v>
      </c>
      <c r="T2850" s="381"/>
    </row>
    <row r="2851" spans="2:24" ht="31.5" customHeight="1" x14ac:dyDescent="0.45">
      <c r="B2851" s="441"/>
      <c r="C2851" s="417"/>
      <c r="D2851" s="400" t="str">
        <f>TrialBalanceB!C29</f>
        <v>Government grants received</v>
      </c>
      <c r="J2851" s="292"/>
      <c r="K2851" s="292"/>
      <c r="L2851" s="405"/>
      <c r="M2851" s="421"/>
      <c r="N2851" s="292"/>
      <c r="O2851" s="373">
        <f>-TrialBalanceB!I29</f>
        <v>0</v>
      </c>
      <c r="P2851" s="295"/>
      <c r="Q2851" s="442"/>
      <c r="R2851" s="403" t="str">
        <f t="shared" si="210"/>
        <v>DELETE</v>
      </c>
      <c r="T2851" s="381"/>
    </row>
    <row r="2852" spans="2:24" ht="31.5" customHeight="1" x14ac:dyDescent="0.45">
      <c r="B2852" s="441"/>
      <c r="C2852" s="417"/>
      <c r="D2852" s="400">
        <f>TrialBalanceB!C30</f>
        <v>0</v>
      </c>
      <c r="J2852" s="292"/>
      <c r="K2852" s="292"/>
      <c r="L2852" s="405"/>
      <c r="M2852" s="421"/>
      <c r="N2852" s="292"/>
      <c r="O2852" s="373">
        <f>-TrialBalanceB!I30</f>
        <v>0</v>
      </c>
      <c r="P2852" s="295"/>
      <c r="Q2852" s="442"/>
      <c r="R2852" s="403" t="str">
        <f t="shared" si="210"/>
        <v>DELETE</v>
      </c>
      <c r="T2852" s="381"/>
    </row>
    <row r="2853" spans="2:24" ht="31.5" customHeight="1" x14ac:dyDescent="0.45">
      <c r="B2853" s="441"/>
      <c r="C2853" s="417"/>
      <c r="D2853" s="400">
        <f>TrialBalanceB!C31</f>
        <v>0</v>
      </c>
      <c r="J2853" s="292"/>
      <c r="K2853" s="292"/>
      <c r="L2853" s="405"/>
      <c r="M2853" s="421"/>
      <c r="N2853" s="292"/>
      <c r="O2853" s="373">
        <f>-TrialBalanceB!I31</f>
        <v>0</v>
      </c>
      <c r="P2853" s="295"/>
      <c r="Q2853" s="442"/>
      <c r="R2853" s="403" t="str">
        <f t="shared" si="210"/>
        <v>DELETE</v>
      </c>
      <c r="T2853" s="381"/>
    </row>
    <row r="2854" spans="2:24" ht="31.5" customHeight="1" x14ac:dyDescent="0.45">
      <c r="B2854" s="441"/>
      <c r="C2854" s="417"/>
      <c r="D2854" s="400">
        <f>TrialBalanceB!C32</f>
        <v>0</v>
      </c>
      <c r="J2854" s="292"/>
      <c r="K2854" s="292"/>
      <c r="L2854" s="405"/>
      <c r="M2854" s="421"/>
      <c r="N2854" s="292"/>
      <c r="O2854" s="373">
        <f>-TrialBalanceB!I32</f>
        <v>0</v>
      </c>
      <c r="P2854" s="295"/>
      <c r="Q2854" s="442"/>
      <c r="R2854" s="403" t="str">
        <f t="shared" si="210"/>
        <v>DELETE</v>
      </c>
      <c r="T2854" s="381"/>
    </row>
    <row r="2855" spans="2:24" ht="31.5" customHeight="1" x14ac:dyDescent="0.45">
      <c r="B2855" s="441"/>
      <c r="C2855" s="417"/>
      <c r="D2855" s="400" t="str">
        <f>TrialBalanceB!C33</f>
        <v>Recoupment of depreciation</v>
      </c>
      <c r="J2855" s="292"/>
      <c r="K2855" s="292"/>
      <c r="L2855" s="405"/>
      <c r="M2855" s="421"/>
      <c r="N2855" s="292"/>
      <c r="O2855" s="373">
        <f>-TrialBalanceB!I33</f>
        <v>0</v>
      </c>
      <c r="P2855" s="295"/>
      <c r="Q2855" s="442"/>
      <c r="R2855" s="403" t="str">
        <f t="shared" ref="R2855" si="211">IF(R$2815="DELETE","DELETE",IF(O2855=0,"DELETE"," "))</f>
        <v>DELETE</v>
      </c>
      <c r="T2855" s="381"/>
    </row>
    <row r="2856" spans="2:24" ht="9" customHeight="1" x14ac:dyDescent="0.45">
      <c r="B2856" s="441"/>
      <c r="C2856" s="417"/>
      <c r="J2856" s="292"/>
      <c r="K2856" s="292"/>
      <c r="L2856" s="405"/>
      <c r="M2856" s="421"/>
      <c r="N2856" s="292"/>
      <c r="O2856" s="374"/>
      <c r="P2856" s="295"/>
      <c r="Q2856" s="442"/>
      <c r="R2856" s="403" t="str">
        <f>R2847</f>
        <v>DELETE</v>
      </c>
      <c r="T2856" s="381"/>
    </row>
    <row r="2857" spans="2:24" ht="9" customHeight="1" x14ac:dyDescent="0.45">
      <c r="B2857" s="441"/>
      <c r="C2857" s="417"/>
      <c r="J2857" s="292"/>
      <c r="K2857" s="292"/>
      <c r="L2857" s="405"/>
      <c r="M2857" s="421"/>
      <c r="N2857" s="292"/>
      <c r="O2857" s="364"/>
      <c r="P2857" s="295"/>
      <c r="Q2857" s="442"/>
      <c r="R2857" s="403" t="str">
        <f>R2856</f>
        <v>DELETE</v>
      </c>
      <c r="T2857" s="381"/>
    </row>
    <row r="2858" spans="2:24" ht="9" customHeight="1" x14ac:dyDescent="0.45">
      <c r="B2858" s="441"/>
      <c r="C2858" s="417"/>
      <c r="J2858" s="292"/>
      <c r="K2858" s="292"/>
      <c r="L2858" s="405"/>
      <c r="M2858" s="421"/>
      <c r="N2858" s="292"/>
      <c r="O2858" s="347"/>
      <c r="P2858" s="295"/>
      <c r="Q2858" s="442"/>
      <c r="R2858" s="403" t="str">
        <f>R2857</f>
        <v>DELETE</v>
      </c>
      <c r="T2858" s="381"/>
    </row>
    <row r="2859" spans="2:24" ht="31.5" customHeight="1" x14ac:dyDescent="0.45">
      <c r="B2859" s="441"/>
      <c r="C2859" s="417"/>
      <c r="J2859" s="292"/>
      <c r="K2859" s="292"/>
      <c r="L2859" s="405"/>
      <c r="M2859" s="421"/>
      <c r="N2859" s="292"/>
      <c r="O2859" s="347">
        <f>SUM(S2827:S2847)</f>
        <v>0</v>
      </c>
      <c r="P2859" s="295"/>
      <c r="Q2859" s="442"/>
      <c r="R2859" s="403" t="str">
        <f>R2847</f>
        <v>DELETE</v>
      </c>
      <c r="T2859" s="381"/>
    </row>
    <row r="2860" spans="2:24" ht="31.5" customHeight="1" x14ac:dyDescent="0.45">
      <c r="B2860" s="441"/>
      <c r="C2860" s="417"/>
      <c r="J2860" s="292"/>
      <c r="K2860" s="292"/>
      <c r="L2860" s="405"/>
      <c r="M2860" s="421"/>
      <c r="N2860" s="292"/>
      <c r="O2860" s="347"/>
      <c r="P2860" s="295"/>
      <c r="Q2860" s="442"/>
      <c r="R2860" s="403" t="str">
        <f>R2859</f>
        <v>DELETE</v>
      </c>
      <c r="T2860" s="381"/>
    </row>
    <row r="2861" spans="2:24" ht="31.5" customHeight="1" x14ac:dyDescent="0.45">
      <c r="B2861" s="441"/>
      <c r="C2861" s="417" t="s">
        <v>996</v>
      </c>
      <c r="J2861" s="292"/>
      <c r="K2861" s="292"/>
      <c r="L2861" s="405"/>
      <c r="M2861" s="421"/>
      <c r="N2861" s="292"/>
      <c r="O2861" s="347">
        <f>SUM(O2863:O2891)</f>
        <v>0</v>
      </c>
      <c r="P2861" s="295"/>
      <c r="Q2861" s="442"/>
      <c r="R2861" s="403" t="str">
        <f t="shared" ref="R2861" si="212">IF(R$2815="DELETE","DELETE",IF(O2861=0,"DELETE"," "))</f>
        <v>DELETE</v>
      </c>
      <c r="S2861" s="380">
        <f>-O2861</f>
        <v>0</v>
      </c>
      <c r="T2861" s="381"/>
      <c r="U2861" s="380"/>
      <c r="V2861" s="380"/>
      <c r="W2861" s="380"/>
      <c r="X2861" s="380"/>
    </row>
    <row r="2862" spans="2:24" ht="9" customHeight="1" x14ac:dyDescent="0.45">
      <c r="B2862" s="441"/>
      <c r="C2862" s="417"/>
      <c r="J2862" s="292"/>
      <c r="K2862" s="292"/>
      <c r="L2862" s="405"/>
      <c r="M2862" s="421"/>
      <c r="N2862" s="292"/>
      <c r="O2862" s="347"/>
      <c r="P2862" s="295"/>
      <c r="Q2862" s="442"/>
      <c r="R2862" s="403" t="str">
        <f>R2861</f>
        <v>DELETE</v>
      </c>
      <c r="T2862" s="381"/>
    </row>
    <row r="2863" spans="2:24" ht="9" customHeight="1" x14ac:dyDescent="0.45">
      <c r="B2863" s="441"/>
      <c r="C2863" s="417"/>
      <c r="J2863" s="292"/>
      <c r="K2863" s="292"/>
      <c r="L2863" s="405"/>
      <c r="M2863" s="421"/>
      <c r="N2863" s="292"/>
      <c r="O2863" s="372"/>
      <c r="P2863" s="295"/>
      <c r="Q2863" s="442"/>
      <c r="R2863" s="403" t="str">
        <f>R2862</f>
        <v>DELETE</v>
      </c>
      <c r="T2863" s="381"/>
    </row>
    <row r="2864" spans="2:24" ht="31.5" customHeight="1" x14ac:dyDescent="0.45">
      <c r="B2864" s="441"/>
      <c r="C2864" s="417"/>
      <c r="D2864" s="400" t="s">
        <v>275</v>
      </c>
      <c r="J2864" s="292"/>
      <c r="K2864" s="292"/>
      <c r="L2864" s="405"/>
      <c r="M2864" s="421"/>
      <c r="N2864" s="292"/>
      <c r="O2864" s="373">
        <f>TrialBalanceB!I40</f>
        <v>0</v>
      </c>
      <c r="P2864" s="295"/>
      <c r="Q2864" s="442"/>
      <c r="R2864" s="403" t="str">
        <f t="shared" ref="R2864:R2890" si="213">IF(R$2815="DELETE","DELETE",IF(O2864=0,"DELETE"," "))</f>
        <v>DELETE</v>
      </c>
      <c r="T2864" s="381"/>
    </row>
    <row r="2865" spans="2:24" ht="31.5" customHeight="1" x14ac:dyDescent="0.45">
      <c r="B2865" s="441"/>
      <c r="C2865" s="417"/>
      <c r="D2865" s="400" t="s">
        <v>702</v>
      </c>
      <c r="J2865" s="292"/>
      <c r="K2865" s="292"/>
      <c r="L2865" s="405"/>
      <c r="M2865" s="421"/>
      <c r="N2865" s="292"/>
      <c r="O2865" s="373">
        <f>TrialBalanceB!I41</f>
        <v>0</v>
      </c>
      <c r="P2865" s="295"/>
      <c r="Q2865" s="442"/>
      <c r="R2865" s="403" t="str">
        <f t="shared" si="213"/>
        <v>DELETE</v>
      </c>
      <c r="T2865" s="381"/>
    </row>
    <row r="2866" spans="2:24" ht="31.5" customHeight="1" x14ac:dyDescent="0.45">
      <c r="B2866" s="441"/>
      <c r="C2866" s="417"/>
      <c r="D2866" s="400" t="s">
        <v>276</v>
      </c>
      <c r="J2866" s="292"/>
      <c r="K2866" s="292"/>
      <c r="L2866" s="405"/>
      <c r="M2866" s="421"/>
      <c r="N2866" s="292"/>
      <c r="O2866" s="373">
        <f>TrialBalanceB!I42</f>
        <v>0</v>
      </c>
      <c r="P2866" s="295"/>
      <c r="Q2866" s="442"/>
      <c r="R2866" s="403" t="str">
        <f t="shared" si="213"/>
        <v>DELETE</v>
      </c>
      <c r="T2866" s="381"/>
    </row>
    <row r="2867" spans="2:24" ht="31.5" customHeight="1" x14ac:dyDescent="0.45">
      <c r="B2867" s="441"/>
      <c r="C2867" s="417"/>
      <c r="D2867" s="400" t="s">
        <v>277</v>
      </c>
      <c r="J2867" s="292"/>
      <c r="K2867" s="292">
        <f>C$940</f>
        <v>5.2999999999999989</v>
      </c>
      <c r="L2867" s="405"/>
      <c r="M2867" s="421"/>
      <c r="N2867" s="292"/>
      <c r="O2867" s="373">
        <f>SUM(TrialBalanceB!I44:I46)</f>
        <v>0</v>
      </c>
      <c r="P2867" s="295"/>
      <c r="Q2867" s="442"/>
      <c r="R2867" s="403" t="str">
        <f t="shared" si="213"/>
        <v>DELETE</v>
      </c>
      <c r="T2867" s="381"/>
    </row>
    <row r="2868" spans="2:24" ht="31.5" customHeight="1" x14ac:dyDescent="0.45">
      <c r="B2868" s="441"/>
      <c r="C2868" s="417"/>
      <c r="D2868" s="400" t="s">
        <v>529</v>
      </c>
      <c r="J2868" s="292"/>
      <c r="K2868" s="292"/>
      <c r="L2868" s="405"/>
      <c r="M2868" s="421"/>
      <c r="N2868" s="292"/>
      <c r="O2868" s="373">
        <f>TrialBalanceB!I47</f>
        <v>0</v>
      </c>
      <c r="P2868" s="295"/>
      <c r="Q2868" s="442"/>
      <c r="R2868" s="403" t="str">
        <f t="shared" si="213"/>
        <v>DELETE</v>
      </c>
      <c r="S2868" s="383"/>
      <c r="T2868" s="381"/>
      <c r="U2868" s="383"/>
      <c r="V2868" s="383"/>
      <c r="W2868" s="383"/>
      <c r="X2868" s="383"/>
    </row>
    <row r="2869" spans="2:24" ht="31.5" customHeight="1" x14ac:dyDescent="0.45">
      <c r="B2869" s="441"/>
      <c r="C2869" s="417"/>
      <c r="D2869" s="400" t="s">
        <v>725</v>
      </c>
      <c r="J2869" s="292"/>
      <c r="K2869" s="292"/>
      <c r="L2869" s="405"/>
      <c r="M2869" s="421"/>
      <c r="N2869" s="292"/>
      <c r="O2869" s="373">
        <f>TrialBalanceB!I48</f>
        <v>0</v>
      </c>
      <c r="P2869" s="295"/>
      <c r="Q2869" s="442"/>
      <c r="R2869" s="403" t="str">
        <f t="shared" si="213"/>
        <v>DELETE</v>
      </c>
      <c r="T2869" s="381"/>
    </row>
    <row r="2870" spans="2:24" ht="31.5" customHeight="1" x14ac:dyDescent="0.45">
      <c r="B2870" s="441"/>
      <c r="C2870" s="417"/>
      <c r="D2870" s="400" t="s">
        <v>59</v>
      </c>
      <c r="J2870" s="292"/>
      <c r="K2870" s="292"/>
      <c r="L2870" s="405"/>
      <c r="M2870" s="421"/>
      <c r="N2870" s="292"/>
      <c r="O2870" s="373">
        <f>TrialBalanceB!I49</f>
        <v>0</v>
      </c>
      <c r="P2870" s="295"/>
      <c r="Q2870" s="442"/>
      <c r="R2870" s="403" t="str">
        <f t="shared" si="213"/>
        <v>DELETE</v>
      </c>
      <c r="T2870" s="381"/>
    </row>
    <row r="2871" spans="2:24" ht="31.5" customHeight="1" x14ac:dyDescent="0.45">
      <c r="B2871" s="441"/>
      <c r="C2871" s="417"/>
      <c r="D2871" s="400" t="s">
        <v>278</v>
      </c>
      <c r="J2871" s="292"/>
      <c r="K2871" s="292"/>
      <c r="L2871" s="405"/>
      <c r="M2871" s="421"/>
      <c r="N2871" s="292"/>
      <c r="O2871" s="373">
        <f>TrialBalanceB!I50</f>
        <v>0</v>
      </c>
      <c r="P2871" s="295"/>
      <c r="Q2871" s="442"/>
      <c r="R2871" s="403" t="str">
        <f t="shared" si="213"/>
        <v>DELETE</v>
      </c>
      <c r="T2871" s="381"/>
    </row>
    <row r="2872" spans="2:24" ht="31.5" customHeight="1" x14ac:dyDescent="0.45">
      <c r="B2872" s="441"/>
      <c r="C2872" s="417"/>
      <c r="D2872" s="400" t="s">
        <v>546</v>
      </c>
      <c r="J2872" s="292"/>
      <c r="K2872" s="292"/>
      <c r="L2872" s="405"/>
      <c r="M2872" s="421"/>
      <c r="N2872" s="292"/>
      <c r="O2872" s="373">
        <f>SUM(TrialBalanceB!I51:I52)</f>
        <v>0</v>
      </c>
      <c r="P2872" s="295"/>
      <c r="Q2872" s="442"/>
      <c r="R2872" s="403" t="str">
        <f t="shared" si="213"/>
        <v>DELETE</v>
      </c>
      <c r="T2872" s="381"/>
    </row>
    <row r="2873" spans="2:24" ht="31.5" customHeight="1" x14ac:dyDescent="0.45">
      <c r="B2873" s="441"/>
      <c r="C2873" s="417"/>
      <c r="D2873" s="400" t="s">
        <v>545</v>
      </c>
      <c r="J2873" s="292"/>
      <c r="K2873" s="292"/>
      <c r="L2873" s="405"/>
      <c r="M2873" s="421"/>
      <c r="N2873" s="292"/>
      <c r="O2873" s="373">
        <f>TrialBalanceB!I53</f>
        <v>0</v>
      </c>
      <c r="P2873" s="295"/>
      <c r="Q2873" s="442"/>
      <c r="R2873" s="403" t="str">
        <f t="shared" si="213"/>
        <v>DELETE</v>
      </c>
      <c r="T2873" s="381"/>
    </row>
    <row r="2874" spans="2:24" ht="31.5" customHeight="1" x14ac:dyDescent="0.45">
      <c r="B2874" s="441"/>
      <c r="C2874" s="417"/>
      <c r="D2874" s="400" t="s">
        <v>530</v>
      </c>
      <c r="J2874" s="292"/>
      <c r="K2874" s="292"/>
      <c r="L2874" s="405"/>
      <c r="M2874" s="421"/>
      <c r="N2874" s="292"/>
      <c r="O2874" s="373">
        <f>SUM(TrialBalanceB!I55:I59)</f>
        <v>0</v>
      </c>
      <c r="P2874" s="295"/>
      <c r="Q2874" s="442"/>
      <c r="R2874" s="403" t="str">
        <f t="shared" si="213"/>
        <v>DELETE</v>
      </c>
      <c r="T2874" s="381"/>
    </row>
    <row r="2875" spans="2:24" ht="31.5" customHeight="1" x14ac:dyDescent="0.45">
      <c r="B2875" s="441"/>
      <c r="C2875" s="417"/>
      <c r="D2875" s="400" t="s">
        <v>512</v>
      </c>
      <c r="J2875" s="292"/>
      <c r="K2875" s="292">
        <f>FS!C$908</f>
        <v>5.1999999999999993</v>
      </c>
      <c r="L2875" s="405"/>
      <c r="M2875" s="421"/>
      <c r="N2875" s="292"/>
      <c r="O2875" s="373">
        <f>SUM(TrialBalanceB!I61:I63)</f>
        <v>0</v>
      </c>
      <c r="P2875" s="295"/>
      <c r="Q2875" s="442"/>
      <c r="R2875" s="403" t="str">
        <f t="shared" si="213"/>
        <v>DELETE</v>
      </c>
      <c r="T2875" s="381"/>
    </row>
    <row r="2876" spans="2:24" ht="31.5" customHeight="1" x14ac:dyDescent="0.45">
      <c r="B2876" s="441"/>
      <c r="C2876" s="417"/>
      <c r="D2876" s="400" t="s">
        <v>62</v>
      </c>
      <c r="J2876" s="292"/>
      <c r="K2876" s="292"/>
      <c r="L2876" s="405"/>
      <c r="M2876" s="421"/>
      <c r="N2876" s="292"/>
      <c r="O2876" s="373">
        <f>TrialBalanceB!I64</f>
        <v>0</v>
      </c>
      <c r="P2876" s="295"/>
      <c r="Q2876" s="442"/>
      <c r="R2876" s="403" t="str">
        <f t="shared" si="213"/>
        <v>DELETE</v>
      </c>
      <c r="T2876" s="381"/>
    </row>
    <row r="2877" spans="2:24" ht="31.5" customHeight="1" x14ac:dyDescent="0.45">
      <c r="B2877" s="441"/>
      <c r="C2877" s="417"/>
      <c r="D2877" s="400" t="s">
        <v>253</v>
      </c>
      <c r="J2877" s="292"/>
      <c r="K2877" s="292"/>
      <c r="L2877" s="405"/>
      <c r="M2877" s="421"/>
      <c r="N2877" s="292"/>
      <c r="O2877" s="373">
        <f>SUM(TrialBalanceB!I65:I67)</f>
        <v>0</v>
      </c>
      <c r="P2877" s="295"/>
      <c r="Q2877" s="442"/>
      <c r="R2877" s="403" t="str">
        <f t="shared" si="213"/>
        <v>DELETE</v>
      </c>
      <c r="T2877" s="381"/>
    </row>
    <row r="2878" spans="2:24" ht="31.5" customHeight="1" x14ac:dyDescent="0.45">
      <c r="B2878" s="441"/>
      <c r="C2878" s="417"/>
      <c r="D2878" s="400" t="s">
        <v>726</v>
      </c>
      <c r="J2878" s="292"/>
      <c r="K2878" s="292"/>
      <c r="L2878" s="405"/>
      <c r="M2878" s="421"/>
      <c r="N2878" s="292"/>
      <c r="O2878" s="373">
        <f>SUM(TrialBalanceB!I68:I69)</f>
        <v>0</v>
      </c>
      <c r="P2878" s="295"/>
      <c r="Q2878" s="442"/>
      <c r="R2878" s="403" t="str">
        <f t="shared" si="213"/>
        <v>DELETE</v>
      </c>
      <c r="T2878" s="381"/>
    </row>
    <row r="2879" spans="2:24" ht="31.5" customHeight="1" x14ac:dyDescent="0.45">
      <c r="B2879" s="441"/>
      <c r="C2879" s="417"/>
      <c r="D2879" s="400" t="s">
        <v>254</v>
      </c>
      <c r="J2879" s="292"/>
      <c r="K2879" s="292"/>
      <c r="L2879" s="405"/>
      <c r="M2879" s="421"/>
      <c r="N2879" s="292"/>
      <c r="O2879" s="373">
        <f>TrialBalanceB!I70</f>
        <v>0</v>
      </c>
      <c r="P2879" s="295"/>
      <c r="Q2879" s="442"/>
      <c r="R2879" s="403" t="str">
        <f t="shared" si="213"/>
        <v>DELETE</v>
      </c>
      <c r="T2879" s="381"/>
    </row>
    <row r="2880" spans="2:24" ht="31.5" customHeight="1" x14ac:dyDescent="0.45">
      <c r="B2880" s="441"/>
      <c r="C2880" s="417"/>
      <c r="D2880" s="400" t="s">
        <v>387</v>
      </c>
      <c r="J2880" s="292"/>
      <c r="K2880" s="292"/>
      <c r="L2880" s="405"/>
      <c r="M2880" s="421"/>
      <c r="N2880" s="292"/>
      <c r="O2880" s="373">
        <f>TrialBalanceB!I71</f>
        <v>0</v>
      </c>
      <c r="P2880" s="295"/>
      <c r="Q2880" s="442"/>
      <c r="R2880" s="403" t="str">
        <f t="shared" si="213"/>
        <v>DELETE</v>
      </c>
      <c r="T2880" s="381"/>
    </row>
    <row r="2881" spans="2:20" ht="31.5" customHeight="1" x14ac:dyDescent="0.45">
      <c r="B2881" s="441"/>
      <c r="C2881" s="417"/>
      <c r="D2881" s="400">
        <f>TrialBalanceB!C72</f>
        <v>0</v>
      </c>
      <c r="J2881" s="292"/>
      <c r="K2881" s="292"/>
      <c r="L2881" s="405"/>
      <c r="M2881" s="421"/>
      <c r="N2881" s="292"/>
      <c r="O2881" s="373">
        <f>TrialBalanceB!I72</f>
        <v>0</v>
      </c>
      <c r="P2881" s="295"/>
      <c r="Q2881" s="442"/>
      <c r="R2881" s="403" t="str">
        <f t="shared" si="213"/>
        <v>DELETE</v>
      </c>
      <c r="T2881" s="381"/>
    </row>
    <row r="2882" spans="2:20" ht="31.5" customHeight="1" x14ac:dyDescent="0.45">
      <c r="B2882" s="441"/>
      <c r="C2882" s="417"/>
      <c r="D2882" s="400">
        <f>TrialBalanceB!C73</f>
        <v>0</v>
      </c>
      <c r="J2882" s="292"/>
      <c r="K2882" s="292"/>
      <c r="L2882" s="405"/>
      <c r="M2882" s="421"/>
      <c r="N2882" s="292"/>
      <c r="O2882" s="373">
        <f>TrialBalanceB!I73</f>
        <v>0</v>
      </c>
      <c r="P2882" s="295"/>
      <c r="Q2882" s="442"/>
      <c r="R2882" s="403" t="str">
        <f t="shared" si="213"/>
        <v>DELETE</v>
      </c>
      <c r="T2882" s="381"/>
    </row>
    <row r="2883" spans="2:20" ht="31.5" customHeight="1" x14ac:dyDescent="0.45">
      <c r="B2883" s="441"/>
      <c r="C2883" s="417"/>
      <c r="D2883" s="400">
        <f>TrialBalanceB!C74</f>
        <v>0</v>
      </c>
      <c r="J2883" s="292"/>
      <c r="K2883" s="292"/>
      <c r="L2883" s="405"/>
      <c r="M2883" s="421"/>
      <c r="N2883" s="292"/>
      <c r="O2883" s="373">
        <f>TrialBalanceB!I74</f>
        <v>0</v>
      </c>
      <c r="P2883" s="295"/>
      <c r="Q2883" s="442"/>
      <c r="R2883" s="403" t="str">
        <f t="shared" si="213"/>
        <v>DELETE</v>
      </c>
      <c r="T2883" s="381"/>
    </row>
    <row r="2884" spans="2:20" ht="31.5" customHeight="1" x14ac:dyDescent="0.45">
      <c r="B2884" s="441"/>
      <c r="C2884" s="417"/>
      <c r="D2884" s="400">
        <f>TrialBalanceB!C75</f>
        <v>0</v>
      </c>
      <c r="J2884" s="292"/>
      <c r="K2884" s="292"/>
      <c r="L2884" s="405"/>
      <c r="M2884" s="421"/>
      <c r="N2884" s="292"/>
      <c r="O2884" s="373">
        <f>TrialBalanceB!I75</f>
        <v>0</v>
      </c>
      <c r="P2884" s="295"/>
      <c r="Q2884" s="442"/>
      <c r="R2884" s="403" t="str">
        <f t="shared" si="213"/>
        <v>DELETE</v>
      </c>
      <c r="T2884" s="381"/>
    </row>
    <row r="2885" spans="2:20" ht="31.5" customHeight="1" x14ac:dyDescent="0.45">
      <c r="B2885" s="441"/>
      <c r="C2885" s="417"/>
      <c r="D2885" s="400">
        <f>TrialBalanceB!C76</f>
        <v>0</v>
      </c>
      <c r="J2885" s="292"/>
      <c r="K2885" s="292"/>
      <c r="L2885" s="405"/>
      <c r="M2885" s="421"/>
      <c r="N2885" s="292"/>
      <c r="O2885" s="373">
        <f>TrialBalanceB!I76</f>
        <v>0</v>
      </c>
      <c r="P2885" s="295"/>
      <c r="Q2885" s="442"/>
      <c r="R2885" s="403" t="str">
        <f t="shared" si="213"/>
        <v>DELETE</v>
      </c>
      <c r="T2885" s="381"/>
    </row>
    <row r="2886" spans="2:20" ht="31.5" customHeight="1" x14ac:dyDescent="0.45">
      <c r="B2886" s="441"/>
      <c r="C2886" s="417"/>
      <c r="D2886" s="400">
        <f>TrialBalanceB!C77</f>
        <v>0</v>
      </c>
      <c r="J2886" s="292"/>
      <c r="K2886" s="292"/>
      <c r="L2886" s="405"/>
      <c r="M2886" s="421"/>
      <c r="N2886" s="292"/>
      <c r="O2886" s="373">
        <f>TrialBalanceB!I77</f>
        <v>0</v>
      </c>
      <c r="P2886" s="295"/>
      <c r="Q2886" s="442"/>
      <c r="R2886" s="403" t="str">
        <f t="shared" si="213"/>
        <v>DELETE</v>
      </c>
      <c r="T2886" s="381"/>
    </row>
    <row r="2887" spans="2:20" ht="31.5" customHeight="1" x14ac:dyDescent="0.45">
      <c r="B2887" s="441"/>
      <c r="C2887" s="417"/>
      <c r="D2887" s="400">
        <f>TrialBalanceB!C78</f>
        <v>0</v>
      </c>
      <c r="J2887" s="292"/>
      <c r="K2887" s="292"/>
      <c r="L2887" s="405"/>
      <c r="M2887" s="421"/>
      <c r="N2887" s="292"/>
      <c r="O2887" s="373">
        <f>TrialBalanceB!I78</f>
        <v>0</v>
      </c>
      <c r="P2887" s="295"/>
      <c r="Q2887" s="442"/>
      <c r="R2887" s="403" t="str">
        <f t="shared" si="213"/>
        <v>DELETE</v>
      </c>
      <c r="T2887" s="381"/>
    </row>
    <row r="2888" spans="2:20" ht="31.5" customHeight="1" x14ac:dyDescent="0.45">
      <c r="B2888" s="441"/>
      <c r="C2888" s="417"/>
      <c r="D2888" s="400">
        <f>TrialBalanceB!C79</f>
        <v>0</v>
      </c>
      <c r="J2888" s="292"/>
      <c r="K2888" s="292"/>
      <c r="L2888" s="405"/>
      <c r="M2888" s="421"/>
      <c r="N2888" s="292"/>
      <c r="O2888" s="373">
        <f>TrialBalanceB!I79</f>
        <v>0</v>
      </c>
      <c r="P2888" s="295"/>
      <c r="Q2888" s="442"/>
      <c r="R2888" s="403" t="str">
        <f t="shared" si="213"/>
        <v>DELETE</v>
      </c>
      <c r="T2888" s="381"/>
    </row>
    <row r="2889" spans="2:20" ht="31.5" customHeight="1" x14ac:dyDescent="0.45">
      <c r="B2889" s="441"/>
      <c r="C2889" s="417"/>
      <c r="D2889" s="400">
        <f>TrialBalanceB!C80</f>
        <v>0</v>
      </c>
      <c r="J2889" s="292"/>
      <c r="K2889" s="292"/>
      <c r="L2889" s="405"/>
      <c r="M2889" s="421"/>
      <c r="N2889" s="292"/>
      <c r="O2889" s="373">
        <f>TrialBalanceB!I80</f>
        <v>0</v>
      </c>
      <c r="P2889" s="295"/>
      <c r="Q2889" s="442"/>
      <c r="R2889" s="403" t="str">
        <f t="shared" si="213"/>
        <v>DELETE</v>
      </c>
      <c r="T2889" s="381"/>
    </row>
    <row r="2890" spans="2:20" ht="31.5" customHeight="1" x14ac:dyDescent="0.45">
      <c r="B2890" s="441"/>
      <c r="C2890" s="417"/>
      <c r="D2890" s="400">
        <f>TrialBalanceB!C81</f>
        <v>0</v>
      </c>
      <c r="J2890" s="292"/>
      <c r="K2890" s="292"/>
      <c r="L2890" s="405"/>
      <c r="M2890" s="421"/>
      <c r="N2890" s="292"/>
      <c r="O2890" s="373">
        <f>TrialBalanceB!I81</f>
        <v>0</v>
      </c>
      <c r="P2890" s="295"/>
      <c r="Q2890" s="442"/>
      <c r="R2890" s="403" t="str">
        <f t="shared" si="213"/>
        <v>DELETE</v>
      </c>
      <c r="T2890" s="381"/>
    </row>
    <row r="2891" spans="2:20" ht="9" customHeight="1" x14ac:dyDescent="0.45">
      <c r="B2891" s="441"/>
      <c r="C2891" s="417"/>
      <c r="J2891" s="292"/>
      <c r="K2891" s="292"/>
      <c r="L2891" s="405"/>
      <c r="M2891" s="421"/>
      <c r="N2891" s="292"/>
      <c r="O2891" s="374"/>
      <c r="P2891" s="295"/>
      <c r="Q2891" s="442"/>
      <c r="R2891" s="403" t="str">
        <f>R2861</f>
        <v>DELETE</v>
      </c>
      <c r="T2891" s="381"/>
    </row>
    <row r="2892" spans="2:20" ht="9" customHeight="1" x14ac:dyDescent="0.45">
      <c r="B2892" s="441"/>
      <c r="C2892" s="417"/>
      <c r="J2892" s="292"/>
      <c r="K2892" s="292"/>
      <c r="L2892" s="405"/>
      <c r="M2892" s="421"/>
      <c r="N2892" s="292"/>
      <c r="O2892" s="349"/>
      <c r="P2892" s="295"/>
      <c r="Q2892" s="442"/>
      <c r="R2892" s="403" t="str">
        <f t="shared" ref="R2892:R2912" si="214">R$2815</f>
        <v>DELETE</v>
      </c>
      <c r="T2892" s="381"/>
    </row>
    <row r="2893" spans="2:20" ht="9" customHeight="1" x14ac:dyDescent="0.45">
      <c r="B2893" s="441"/>
      <c r="C2893" s="417"/>
      <c r="J2893" s="292"/>
      <c r="K2893" s="292"/>
      <c r="L2893" s="405"/>
      <c r="M2893" s="421"/>
      <c r="N2893" s="292"/>
      <c r="O2893" s="347"/>
      <c r="P2893" s="295"/>
      <c r="Q2893" s="442"/>
      <c r="R2893" s="403" t="str">
        <f t="shared" si="214"/>
        <v>DELETE</v>
      </c>
      <c r="T2893" s="381"/>
    </row>
    <row r="2894" spans="2:20" ht="31.5" customHeight="1" x14ac:dyDescent="0.45">
      <c r="B2894" s="441"/>
      <c r="C2894" s="315" t="str">
        <f>IF(O2894&lt;0,"OPERATING LOSS","OPERATING PROFIT")</f>
        <v>OPERATING PROFIT</v>
      </c>
      <c r="J2894" s="292"/>
      <c r="K2894" s="292"/>
      <c r="L2894" s="405"/>
      <c r="M2894" s="421"/>
      <c r="N2894" s="292"/>
      <c r="O2894" s="347">
        <f>SUM(S2827:S2892)</f>
        <v>0</v>
      </c>
      <c r="P2894" s="295"/>
      <c r="Q2894" s="442"/>
      <c r="R2894" s="403" t="str">
        <f t="shared" si="214"/>
        <v>DELETE</v>
      </c>
      <c r="T2894" s="381"/>
    </row>
    <row r="2895" spans="2:20" ht="31.5" customHeight="1" x14ac:dyDescent="0.45">
      <c r="B2895" s="441"/>
      <c r="C2895" s="417"/>
      <c r="D2895" s="400" t="s">
        <v>256</v>
      </c>
      <c r="J2895" s="292"/>
      <c r="K2895" s="292"/>
      <c r="L2895" s="405"/>
      <c r="M2895" s="421"/>
      <c r="N2895" s="292"/>
      <c r="O2895" s="347"/>
      <c r="P2895" s="295"/>
      <c r="Q2895" s="442"/>
      <c r="R2895" s="403" t="str">
        <f t="shared" si="214"/>
        <v>DELETE</v>
      </c>
      <c r="T2895" s="381"/>
    </row>
    <row r="2896" spans="2:20" ht="31.5" customHeight="1" x14ac:dyDescent="0.45">
      <c r="B2896" s="441"/>
      <c r="C2896" s="417"/>
      <c r="J2896" s="292"/>
      <c r="K2896" s="292"/>
      <c r="L2896" s="292"/>
      <c r="M2896" s="347"/>
      <c r="N2896" s="298"/>
      <c r="O2896" s="347"/>
      <c r="P2896" s="295"/>
      <c r="Q2896" s="442"/>
      <c r="R2896" s="403" t="str">
        <f t="shared" si="214"/>
        <v>DELETE</v>
      </c>
      <c r="T2896" s="381"/>
    </row>
    <row r="2897" spans="2:22" ht="31.5" customHeight="1" x14ac:dyDescent="0.45">
      <c r="B2897" s="441"/>
      <c r="C2897" s="417"/>
      <c r="J2897" s="292"/>
      <c r="K2897" s="292"/>
      <c r="L2897" s="292"/>
      <c r="M2897" s="347"/>
      <c r="N2897" s="298"/>
      <c r="O2897" s="347"/>
      <c r="P2897" s="295"/>
      <c r="Q2897" s="442"/>
      <c r="R2897" s="403" t="str">
        <f t="shared" si="214"/>
        <v>DELETE</v>
      </c>
      <c r="T2897" s="381"/>
    </row>
    <row r="2898" spans="2:22" ht="31.5" customHeight="1" x14ac:dyDescent="0.45">
      <c r="B2898" s="445"/>
      <c r="C2898" s="465"/>
      <c r="D2898" s="429"/>
      <c r="E2898" s="429"/>
      <c r="F2898" s="429"/>
      <c r="G2898" s="429"/>
      <c r="H2898" s="429"/>
      <c r="I2898" s="429"/>
      <c r="J2898" s="306"/>
      <c r="K2898" s="306"/>
      <c r="L2898" s="306"/>
      <c r="M2898" s="349"/>
      <c r="N2898" s="300"/>
      <c r="O2898" s="349"/>
      <c r="P2898" s="307"/>
      <c r="Q2898" s="446"/>
      <c r="R2898" s="403" t="str">
        <f t="shared" si="214"/>
        <v>DELETE</v>
      </c>
      <c r="T2898" s="381"/>
    </row>
    <row r="2899" spans="2:22" ht="31.5" customHeight="1" x14ac:dyDescent="0.45">
      <c r="C2899" s="417"/>
      <c r="J2899" s="292"/>
      <c r="K2899" s="292"/>
      <c r="L2899" s="292"/>
      <c r="M2899" s="347"/>
      <c r="N2899" s="298"/>
      <c r="O2899" s="347"/>
      <c r="P2899" s="295"/>
      <c r="R2899" s="403" t="str">
        <f t="shared" si="214"/>
        <v>DELETE</v>
      </c>
      <c r="T2899" s="381"/>
    </row>
    <row r="2900" spans="2:22" ht="31.5" customHeight="1" x14ac:dyDescent="0.45">
      <c r="C2900" s="417"/>
      <c r="J2900" s="292"/>
      <c r="K2900" s="292"/>
      <c r="L2900" s="292"/>
      <c r="M2900" s="347"/>
      <c r="N2900" s="298"/>
      <c r="O2900" s="347"/>
      <c r="P2900" s="295"/>
      <c r="R2900" s="403" t="str">
        <f t="shared" si="214"/>
        <v>DELETE</v>
      </c>
      <c r="T2900" s="381"/>
    </row>
    <row r="2901" spans="2:22" ht="31.5" customHeight="1" x14ac:dyDescent="0.45">
      <c r="C2901" s="417"/>
      <c r="D2901" s="417" t="str">
        <f>Criteria!E15</f>
        <v>SUBSIDIARY TWO 15 (PTY) LTD</v>
      </c>
      <c r="J2901" s="292"/>
      <c r="K2901" s="292"/>
      <c r="L2901" s="292"/>
      <c r="M2901" s="347"/>
      <c r="N2901" s="298"/>
      <c r="O2901" s="347" t="s">
        <v>96</v>
      </c>
      <c r="P2901" s="295"/>
      <c r="Q2901" s="292">
        <f>MAX($Q$2818:Q2900)+1</f>
        <v>2</v>
      </c>
      <c r="R2901" s="403" t="str">
        <f t="shared" si="214"/>
        <v>DELETE</v>
      </c>
      <c r="T2901" s="381"/>
    </row>
    <row r="2902" spans="2:22" ht="31.5" customHeight="1" x14ac:dyDescent="0.45">
      <c r="C2902" s="417"/>
      <c r="D2902" s="405"/>
      <c r="J2902" s="292"/>
      <c r="K2902" s="292"/>
      <c r="L2902" s="292"/>
      <c r="M2902" s="347"/>
      <c r="N2902" s="298"/>
      <c r="O2902" s="347"/>
      <c r="P2902" s="295"/>
      <c r="R2902" s="403" t="str">
        <f t="shared" si="214"/>
        <v>DELETE</v>
      </c>
      <c r="T2902" s="381"/>
    </row>
    <row r="2903" spans="2:22" ht="31.5" customHeight="1" x14ac:dyDescent="0.45">
      <c r="C2903" s="417"/>
      <c r="J2903" s="292"/>
      <c r="K2903" s="292"/>
      <c r="L2903" s="292"/>
      <c r="M2903" s="347"/>
      <c r="N2903" s="298"/>
      <c r="O2903" s="347"/>
      <c r="P2903" s="295"/>
      <c r="R2903" s="403" t="str">
        <f t="shared" si="214"/>
        <v>DELETE</v>
      </c>
      <c r="T2903" s="381"/>
    </row>
    <row r="2904" spans="2:22" ht="31.5" customHeight="1" x14ac:dyDescent="0.45">
      <c r="C2904" s="417"/>
      <c r="D2904" s="417" t="s">
        <v>91</v>
      </c>
      <c r="J2904" s="292"/>
      <c r="K2904" s="292"/>
      <c r="L2904" s="292"/>
      <c r="M2904" s="347"/>
      <c r="N2904" s="298"/>
      <c r="O2904" s="347"/>
      <c r="P2904" s="295"/>
      <c r="R2904" s="403" t="str">
        <f t="shared" si="214"/>
        <v>DELETE</v>
      </c>
      <c r="T2904" s="381"/>
    </row>
    <row r="2905" spans="2:22" ht="31.5" customHeight="1" x14ac:dyDescent="0.45">
      <c r="C2905" s="417"/>
      <c r="D2905" s="417" t="str">
        <f>D2822</f>
        <v>29 FEBRUARY 2024</v>
      </c>
      <c r="H2905" s="400" t="s">
        <v>102</v>
      </c>
      <c r="J2905" s="292"/>
      <c r="K2905" s="292"/>
      <c r="L2905" s="292"/>
      <c r="M2905" s="347"/>
      <c r="N2905" s="298"/>
      <c r="O2905" s="347"/>
      <c r="P2905" s="295"/>
      <c r="R2905" s="403" t="str">
        <f t="shared" si="214"/>
        <v>DELETE</v>
      </c>
      <c r="T2905" s="381"/>
    </row>
    <row r="2906" spans="2:22" ht="31.5" customHeight="1" x14ac:dyDescent="0.45">
      <c r="C2906" s="417"/>
      <c r="J2906" s="292"/>
      <c r="K2906" s="306"/>
      <c r="L2906" s="306"/>
      <c r="M2906" s="349"/>
      <c r="N2906" s="300"/>
      <c r="O2906" s="349"/>
      <c r="P2906" s="295"/>
      <c r="R2906" s="403" t="str">
        <f t="shared" si="214"/>
        <v>DELETE</v>
      </c>
      <c r="T2906" s="381"/>
    </row>
    <row r="2907" spans="2:22" ht="31.5" customHeight="1" x14ac:dyDescent="0.45">
      <c r="B2907" s="438"/>
      <c r="C2907" s="458"/>
      <c r="D2907" s="439"/>
      <c r="E2907" s="439"/>
      <c r="F2907" s="439"/>
      <c r="G2907" s="439"/>
      <c r="H2907" s="439"/>
      <c r="I2907" s="439"/>
      <c r="J2907" s="320"/>
      <c r="M2907" s="426"/>
      <c r="N2907" s="406"/>
      <c r="O2907" s="426"/>
      <c r="P2907" s="319"/>
      <c r="Q2907" s="440"/>
      <c r="R2907" s="403" t="str">
        <f t="shared" si="214"/>
        <v>DELETE</v>
      </c>
      <c r="T2907" s="381"/>
    </row>
    <row r="2908" spans="2:22" ht="31.5" customHeight="1" x14ac:dyDescent="0.45">
      <c r="B2908" s="441"/>
      <c r="C2908" s="417"/>
      <c r="J2908" s="292"/>
      <c r="K2908" s="292"/>
      <c r="L2908" s="405"/>
      <c r="M2908" s="421"/>
      <c r="N2908" s="292"/>
      <c r="O2908" s="344">
        <f>Criteria!E22</f>
        <v>2024</v>
      </c>
      <c r="P2908" s="295"/>
      <c r="Q2908" s="442"/>
      <c r="R2908" s="403" t="str">
        <f t="shared" si="214"/>
        <v>DELETE</v>
      </c>
      <c r="T2908" s="381"/>
    </row>
    <row r="2909" spans="2:22" ht="31.5" customHeight="1" x14ac:dyDescent="0.45">
      <c r="B2909" s="441"/>
      <c r="C2909" s="417"/>
      <c r="J2909" s="292"/>
      <c r="K2909" s="292"/>
      <c r="L2909" s="405"/>
      <c r="M2909" s="421"/>
      <c r="N2909" s="292"/>
      <c r="O2909" s="347"/>
      <c r="P2909" s="295"/>
      <c r="Q2909" s="442"/>
      <c r="R2909" s="403" t="str">
        <f t="shared" si="214"/>
        <v>DELETE</v>
      </c>
      <c r="T2909" s="381"/>
    </row>
    <row r="2910" spans="2:22" ht="31.5" customHeight="1" x14ac:dyDescent="0.45">
      <c r="B2910" s="441"/>
      <c r="C2910" s="315" t="str">
        <f>IF(O2910&lt;0,"OPERATING LOSS","OPERATING PROFIT")</f>
        <v>OPERATING PROFIT</v>
      </c>
      <c r="J2910" s="292"/>
      <c r="K2910" s="292"/>
      <c r="L2910" s="405"/>
      <c r="M2910" s="421"/>
      <c r="N2910" s="292"/>
      <c r="O2910" s="347">
        <f>SUM(S2827:S2891)</f>
        <v>0</v>
      </c>
      <c r="P2910" s="295"/>
      <c r="Q2910" s="442"/>
      <c r="R2910" s="403" t="str">
        <f t="shared" si="214"/>
        <v>DELETE</v>
      </c>
      <c r="T2910" s="381"/>
      <c r="V2910" s="378" t="b">
        <f>O2910=O2894</f>
        <v>1</v>
      </c>
    </row>
    <row r="2911" spans="2:22" ht="31.5" customHeight="1" x14ac:dyDescent="0.45">
      <c r="B2911" s="441"/>
      <c r="C2911" s="417"/>
      <c r="D2911" s="400" t="s">
        <v>257</v>
      </c>
      <c r="J2911" s="292"/>
      <c r="K2911" s="292"/>
      <c r="L2911" s="405"/>
      <c r="M2911" s="421"/>
      <c r="N2911" s="292"/>
      <c r="O2911" s="347"/>
      <c r="P2911" s="295"/>
      <c r="Q2911" s="442"/>
      <c r="R2911" s="403" t="str">
        <f t="shared" si="214"/>
        <v>DELETE</v>
      </c>
      <c r="T2911" s="381"/>
    </row>
    <row r="2912" spans="2:22" ht="31.5" customHeight="1" x14ac:dyDescent="0.45">
      <c r="B2912" s="441"/>
      <c r="C2912" s="417"/>
      <c r="J2912" s="292"/>
      <c r="K2912" s="292"/>
      <c r="L2912" s="405"/>
      <c r="M2912" s="421"/>
      <c r="N2912" s="292"/>
      <c r="O2912" s="347"/>
      <c r="P2912" s="295"/>
      <c r="Q2912" s="442"/>
      <c r="R2912" s="403" t="str">
        <f t="shared" si="214"/>
        <v>DELETE</v>
      </c>
      <c r="T2912" s="381"/>
    </row>
    <row r="2913" spans="2:24" ht="31.5" customHeight="1" x14ac:dyDescent="0.45">
      <c r="B2913" s="441"/>
      <c r="C2913" s="417" t="s">
        <v>906</v>
      </c>
      <c r="J2913" s="292"/>
      <c r="K2913" s="292"/>
      <c r="L2913" s="405"/>
      <c r="M2913" s="421"/>
      <c r="N2913" s="292"/>
      <c r="O2913" s="347">
        <f>SUM(O2916:O2949)</f>
        <v>0</v>
      </c>
      <c r="P2913" s="295"/>
      <c r="Q2913" s="442"/>
      <c r="R2913" s="403" t="str">
        <f t="shared" ref="R2913" si="215">IF(R$2815="DELETE","DELETE",IF(O2913=0,"DELETE"," "))</f>
        <v>DELETE</v>
      </c>
      <c r="S2913" s="380">
        <f>-O2913</f>
        <v>0</v>
      </c>
      <c r="T2913" s="381"/>
      <c r="U2913" s="380"/>
      <c r="V2913" s="380"/>
      <c r="W2913" s="380"/>
      <c r="X2913" s="380"/>
    </row>
    <row r="2914" spans="2:24" ht="9" customHeight="1" x14ac:dyDescent="0.45">
      <c r="B2914" s="441"/>
      <c r="C2914" s="417"/>
      <c r="J2914" s="292"/>
      <c r="K2914" s="292"/>
      <c r="L2914" s="405"/>
      <c r="M2914" s="421"/>
      <c r="N2914" s="292"/>
      <c r="O2914" s="347"/>
      <c r="P2914" s="295"/>
      <c r="Q2914" s="442"/>
      <c r="R2914" s="403" t="str">
        <f>R2913</f>
        <v>DELETE</v>
      </c>
      <c r="T2914" s="381"/>
    </row>
    <row r="2915" spans="2:24" ht="9" customHeight="1" x14ac:dyDescent="0.45">
      <c r="B2915" s="441"/>
      <c r="C2915" s="417"/>
      <c r="J2915" s="292"/>
      <c r="K2915" s="292"/>
      <c r="L2915" s="405"/>
      <c r="M2915" s="421"/>
      <c r="N2915" s="292"/>
      <c r="O2915" s="372"/>
      <c r="P2915" s="295"/>
      <c r="Q2915" s="442"/>
      <c r="R2915" s="403" t="str">
        <f>R2914</f>
        <v>DELETE</v>
      </c>
      <c r="T2915" s="381"/>
    </row>
    <row r="2916" spans="2:24" ht="31.5" customHeight="1" x14ac:dyDescent="0.45">
      <c r="B2916" s="441"/>
      <c r="C2916" s="417"/>
      <c r="D2916" s="400" t="s">
        <v>215</v>
      </c>
      <c r="J2916" s="292"/>
      <c r="K2916" s="292"/>
      <c r="L2916" s="405"/>
      <c r="M2916" s="421"/>
      <c r="N2916" s="292"/>
      <c r="O2916" s="373">
        <f>SUM(TrialBalanceB!I98:I101)</f>
        <v>0</v>
      </c>
      <c r="P2916" s="295"/>
      <c r="Q2916" s="442"/>
      <c r="R2916" s="403" t="str">
        <f t="shared" ref="R2916:R2947" si="216">IF(R$2815="DELETE","DELETE",IF(O2916=0,"DELETE"," "))</f>
        <v>DELETE</v>
      </c>
      <c r="T2916" s="381"/>
    </row>
    <row r="2917" spans="2:24" ht="31.5" customHeight="1" x14ac:dyDescent="0.45">
      <c r="B2917" s="441"/>
      <c r="C2917" s="417"/>
      <c r="D2917" s="400" t="s">
        <v>219</v>
      </c>
      <c r="J2917" s="292"/>
      <c r="K2917" s="292"/>
      <c r="L2917" s="405"/>
      <c r="M2917" s="421"/>
      <c r="N2917" s="292"/>
      <c r="O2917" s="373">
        <f>TrialBalanceB!I103</f>
        <v>0</v>
      </c>
      <c r="P2917" s="295"/>
      <c r="Q2917" s="442"/>
      <c r="R2917" s="403" t="str">
        <f>IF(R$2815="DELETE","DELETE",IF(O2917=0,"DELETE"," "))</f>
        <v>DELETE</v>
      </c>
      <c r="T2917" s="381"/>
    </row>
    <row r="2918" spans="2:24" ht="31.5" customHeight="1" x14ac:dyDescent="0.45">
      <c r="B2918" s="441"/>
      <c r="C2918" s="417"/>
      <c r="D2918" s="400" t="s">
        <v>217</v>
      </c>
      <c r="J2918" s="292"/>
      <c r="K2918" s="292"/>
      <c r="L2918" s="405"/>
      <c r="M2918" s="421"/>
      <c r="N2918" s="292"/>
      <c r="O2918" s="373">
        <f>TrialBalanceB!I102</f>
        <v>0</v>
      </c>
      <c r="P2918" s="295"/>
      <c r="Q2918" s="442"/>
      <c r="R2918" s="403" t="str">
        <f>IF(R$2815="DELETE","DELETE",IF(O2918=0,"DELETE"," "))</f>
        <v>DELETE</v>
      </c>
      <c r="T2918" s="381"/>
    </row>
    <row r="2919" spans="2:24" ht="31.5" customHeight="1" x14ac:dyDescent="0.45">
      <c r="B2919" s="441"/>
      <c r="C2919" s="417"/>
      <c r="D2919" s="400" t="s">
        <v>258</v>
      </c>
      <c r="J2919" s="292"/>
      <c r="K2919" s="292"/>
      <c r="L2919" s="405"/>
      <c r="M2919" s="421"/>
      <c r="N2919" s="292"/>
      <c r="O2919" s="373">
        <f>TrialBalanceB!I104</f>
        <v>0</v>
      </c>
      <c r="P2919" s="295"/>
      <c r="Q2919" s="442"/>
      <c r="R2919" s="403" t="str">
        <f t="shared" si="216"/>
        <v>DELETE</v>
      </c>
      <c r="T2919" s="381"/>
    </row>
    <row r="2920" spans="2:24" ht="31.5" customHeight="1" x14ac:dyDescent="0.45">
      <c r="B2920" s="441"/>
      <c r="C2920" s="417"/>
      <c r="D2920" s="400" t="s">
        <v>222</v>
      </c>
      <c r="J2920" s="292"/>
      <c r="K2920" s="292"/>
      <c r="L2920" s="405"/>
      <c r="M2920" s="421"/>
      <c r="N2920" s="292"/>
      <c r="O2920" s="373">
        <f>TrialBalanceB!I105</f>
        <v>0</v>
      </c>
      <c r="P2920" s="295"/>
      <c r="Q2920" s="442"/>
      <c r="R2920" s="403" t="str">
        <f t="shared" si="216"/>
        <v>DELETE</v>
      </c>
      <c r="T2920" s="381"/>
    </row>
    <row r="2921" spans="2:24" ht="31.5" customHeight="1" x14ac:dyDescent="0.45">
      <c r="B2921" s="441"/>
      <c r="C2921" s="417"/>
      <c r="D2921" s="400" t="s">
        <v>727</v>
      </c>
      <c r="J2921" s="292"/>
      <c r="K2921" s="292"/>
      <c r="L2921" s="405"/>
      <c r="M2921" s="421"/>
      <c r="N2921" s="292"/>
      <c r="O2921" s="373">
        <f>TrialBalanceB!I106</f>
        <v>0</v>
      </c>
      <c r="P2921" s="295"/>
      <c r="Q2921" s="442"/>
      <c r="R2921" s="403" t="str">
        <f t="shared" si="216"/>
        <v>DELETE</v>
      </c>
      <c r="T2921" s="381"/>
    </row>
    <row r="2922" spans="2:24" ht="31.5" customHeight="1" x14ac:dyDescent="0.45">
      <c r="B2922" s="441"/>
      <c r="C2922" s="417"/>
      <c r="D2922" s="400" t="s">
        <v>277</v>
      </c>
      <c r="J2922" s="292"/>
      <c r="K2922" s="292">
        <f>C$940</f>
        <v>5.2999999999999989</v>
      </c>
      <c r="L2922" s="405"/>
      <c r="M2922" s="421"/>
      <c r="N2922" s="292"/>
      <c r="O2922" s="373">
        <f>SUM(TrialBalanceB!I108:I109)</f>
        <v>0</v>
      </c>
      <c r="P2922" s="295"/>
      <c r="Q2922" s="442"/>
      <c r="R2922" s="403" t="str">
        <f t="shared" si="216"/>
        <v>DELETE</v>
      </c>
      <c r="T2922" s="381"/>
    </row>
    <row r="2923" spans="2:24" ht="31.5" customHeight="1" x14ac:dyDescent="0.45">
      <c r="B2923" s="441"/>
      <c r="C2923" s="417"/>
      <c r="D2923" s="400" t="str">
        <f>IF(MAX(Criteria!I38:I42)&gt;1,"Directors' remuneration","Director's remuneration")</f>
        <v>Director's remuneration</v>
      </c>
      <c r="J2923" s="292"/>
      <c r="K2923" s="292">
        <f>C$881</f>
        <v>5.0999999999999996</v>
      </c>
      <c r="L2923" s="405"/>
      <c r="M2923" s="421"/>
      <c r="N2923" s="292"/>
      <c r="O2923" s="373">
        <f>SUM(TrialBalanceB!I111:I115)</f>
        <v>0</v>
      </c>
      <c r="P2923" s="295"/>
      <c r="Q2923" s="442"/>
      <c r="R2923" s="403" t="str">
        <f t="shared" si="216"/>
        <v>DELETE</v>
      </c>
      <c r="T2923" s="381"/>
    </row>
    <row r="2924" spans="2:24" ht="31.5" customHeight="1" x14ac:dyDescent="0.45">
      <c r="B2924" s="441"/>
      <c r="C2924" s="417"/>
      <c r="D2924" s="400" t="s">
        <v>259</v>
      </c>
      <c r="J2924" s="292"/>
      <c r="K2924" s="292"/>
      <c r="L2924" s="405"/>
      <c r="M2924" s="421"/>
      <c r="N2924" s="292"/>
      <c r="O2924" s="373">
        <f>TrialBalanceB!I116</f>
        <v>0</v>
      </c>
      <c r="P2924" s="295"/>
      <c r="Q2924" s="442"/>
      <c r="R2924" s="403" t="str">
        <f t="shared" si="216"/>
        <v>DELETE</v>
      </c>
      <c r="T2924" s="381"/>
    </row>
    <row r="2925" spans="2:24" ht="31.5" customHeight="1" x14ac:dyDescent="0.45">
      <c r="B2925" s="441"/>
      <c r="C2925" s="417"/>
      <c r="D2925" s="400" t="s">
        <v>369</v>
      </c>
      <c r="J2925" s="292"/>
      <c r="K2925" s="292"/>
      <c r="L2925" s="405"/>
      <c r="M2925" s="421"/>
      <c r="N2925" s="292"/>
      <c r="O2925" s="373">
        <f>TrialBalanceB!I117</f>
        <v>0</v>
      </c>
      <c r="P2925" s="295"/>
      <c r="Q2925" s="442"/>
      <c r="R2925" s="403" t="str">
        <f t="shared" si="216"/>
        <v>DELETE</v>
      </c>
      <c r="T2925" s="381"/>
    </row>
    <row r="2926" spans="2:24" ht="31.5" customHeight="1" x14ac:dyDescent="0.45">
      <c r="B2926" s="441"/>
      <c r="C2926" s="417"/>
      <c r="D2926" s="400" t="s">
        <v>330</v>
      </c>
      <c r="J2926" s="292"/>
      <c r="K2926" s="292"/>
      <c r="L2926" s="405"/>
      <c r="M2926" s="421"/>
      <c r="N2926" s="292"/>
      <c r="O2926" s="373">
        <f>TrialBalanceB!I118</f>
        <v>0</v>
      </c>
      <c r="P2926" s="295"/>
      <c r="Q2926" s="442"/>
      <c r="R2926" s="403" t="str">
        <f t="shared" si="216"/>
        <v>DELETE</v>
      </c>
      <c r="T2926" s="381"/>
    </row>
    <row r="2927" spans="2:24" ht="31.5" customHeight="1" x14ac:dyDescent="0.45">
      <c r="B2927" s="441"/>
      <c r="C2927" s="417"/>
      <c r="D2927" s="400" t="s">
        <v>371</v>
      </c>
      <c r="J2927" s="292"/>
      <c r="K2927" s="292"/>
      <c r="L2927" s="405"/>
      <c r="M2927" s="421"/>
      <c r="N2927" s="292"/>
      <c r="O2927" s="373">
        <f>TrialBalanceB!I119</f>
        <v>0</v>
      </c>
      <c r="P2927" s="295"/>
      <c r="Q2927" s="442"/>
      <c r="R2927" s="403" t="str">
        <f t="shared" si="216"/>
        <v>DELETE</v>
      </c>
      <c r="T2927" s="381"/>
    </row>
    <row r="2928" spans="2:24" ht="31.5" customHeight="1" x14ac:dyDescent="0.45">
      <c r="B2928" s="441"/>
      <c r="C2928" s="417"/>
      <c r="D2928" s="400" t="s">
        <v>1062</v>
      </c>
      <c r="J2928" s="292"/>
      <c r="K2928" s="292"/>
      <c r="L2928" s="405"/>
      <c r="M2928" s="421"/>
      <c r="N2928" s="292"/>
      <c r="O2928" s="373">
        <f>TrialBalanceB!I154</f>
        <v>0</v>
      </c>
      <c r="P2928" s="295"/>
      <c r="Q2928" s="442"/>
      <c r="R2928" s="403" t="str">
        <f>IF(R$2815="DELETE","DELETE",IF(O2928=0,"DELETE"," "))</f>
        <v>DELETE</v>
      </c>
      <c r="T2928" s="381"/>
    </row>
    <row r="2929" spans="2:20" ht="31.5" customHeight="1" x14ac:dyDescent="0.45">
      <c r="B2929" s="441"/>
      <c r="C2929" s="417"/>
      <c r="D2929" s="400" t="s">
        <v>524</v>
      </c>
      <c r="J2929" s="292"/>
      <c r="K2929" s="292"/>
      <c r="L2929" s="405"/>
      <c r="M2929" s="421"/>
      <c r="N2929" s="292"/>
      <c r="O2929" s="373">
        <f>TrialBalanceB!I120+TrialBalanceB!I121</f>
        <v>0</v>
      </c>
      <c r="P2929" s="295"/>
      <c r="Q2929" s="442"/>
      <c r="R2929" s="403" t="str">
        <f t="shared" si="216"/>
        <v>DELETE</v>
      </c>
      <c r="T2929" s="381"/>
    </row>
    <row r="2930" spans="2:20" ht="31.5" customHeight="1" x14ac:dyDescent="0.45">
      <c r="B2930" s="441"/>
      <c r="C2930" s="417"/>
      <c r="D2930" s="400" t="s">
        <v>547</v>
      </c>
      <c r="J2930" s="292"/>
      <c r="K2930" s="292"/>
      <c r="L2930" s="405"/>
      <c r="M2930" s="421"/>
      <c r="N2930" s="292"/>
      <c r="O2930" s="373">
        <f>IF(TrialBalanceB!I93&gt;0,TrialBalanceB!I93,0)</f>
        <v>0</v>
      </c>
      <c r="P2930" s="295"/>
      <c r="Q2930" s="442"/>
      <c r="R2930" s="403" t="str">
        <f>IF(R$2815="DELETE","DELETE",IF(O2930=0,"DELETE"," "))</f>
        <v>DELETE</v>
      </c>
      <c r="T2930" s="381"/>
    </row>
    <row r="2931" spans="2:20" ht="31.5" customHeight="1" x14ac:dyDescent="0.45">
      <c r="B2931" s="441"/>
      <c r="C2931" s="417"/>
      <c r="D2931" s="400" t="s">
        <v>728</v>
      </c>
      <c r="J2931" s="292"/>
      <c r="K2931" s="292"/>
      <c r="L2931" s="405"/>
      <c r="M2931" s="421"/>
      <c r="N2931" s="292"/>
      <c r="O2931" s="373">
        <f>TrialBalanceB!I122</f>
        <v>0</v>
      </c>
      <c r="P2931" s="295"/>
      <c r="Q2931" s="442"/>
      <c r="R2931" s="403" t="str">
        <f>IF(R$2815="DELETE","DELETE",IF(O2931=0,"DELETE"," "))</f>
        <v>DELETE</v>
      </c>
      <c r="T2931" s="381"/>
    </row>
    <row r="2932" spans="2:20" ht="31.5" customHeight="1" x14ac:dyDescent="0.45">
      <c r="B2932" s="441"/>
      <c r="C2932" s="417"/>
      <c r="D2932" s="400" t="s">
        <v>260</v>
      </c>
      <c r="J2932" s="292"/>
      <c r="K2932" s="292"/>
      <c r="L2932" s="405"/>
      <c r="M2932" s="421"/>
      <c r="N2932" s="292"/>
      <c r="O2932" s="373">
        <f>TrialBalanceB!I123</f>
        <v>0</v>
      </c>
      <c r="P2932" s="295"/>
      <c r="Q2932" s="442"/>
      <c r="R2932" s="403" t="str">
        <f t="shared" si="216"/>
        <v>DELETE</v>
      </c>
      <c r="T2932" s="381"/>
    </row>
    <row r="2933" spans="2:20" ht="31.5" customHeight="1" x14ac:dyDescent="0.45">
      <c r="B2933" s="441"/>
      <c r="C2933" s="417"/>
      <c r="D2933" s="400" t="s">
        <v>1081</v>
      </c>
      <c r="J2933" s="292"/>
      <c r="K2933" s="292"/>
      <c r="L2933" s="405"/>
      <c r="M2933" s="421"/>
      <c r="N2933" s="292"/>
      <c r="O2933" s="373">
        <f>TrialBalanceB!I155</f>
        <v>0</v>
      </c>
      <c r="P2933" s="295"/>
      <c r="Q2933" s="442"/>
      <c r="R2933" s="403" t="str">
        <f t="shared" si="216"/>
        <v>DELETE</v>
      </c>
      <c r="T2933" s="381"/>
    </row>
    <row r="2934" spans="2:20" ht="31.5" customHeight="1" x14ac:dyDescent="0.45">
      <c r="B2934" s="441"/>
      <c r="C2934" s="417"/>
      <c r="D2934" s="400" t="s">
        <v>253</v>
      </c>
      <c r="J2934" s="292"/>
      <c r="K2934" s="292"/>
      <c r="L2934" s="405"/>
      <c r="M2934" s="421"/>
      <c r="N2934" s="292"/>
      <c r="O2934" s="373">
        <f>SUM(TrialBalanceB!I124:I125)</f>
        <v>0</v>
      </c>
      <c r="P2934" s="295"/>
      <c r="Q2934" s="442"/>
      <c r="R2934" s="403" t="str">
        <f t="shared" si="216"/>
        <v>DELETE</v>
      </c>
      <c r="T2934" s="381"/>
    </row>
    <row r="2935" spans="2:20" ht="31.5" customHeight="1" x14ac:dyDescent="0.45">
      <c r="B2935" s="441"/>
      <c r="C2935" s="417"/>
      <c r="D2935" s="400" t="s">
        <v>261</v>
      </c>
      <c r="J2935" s="292"/>
      <c r="K2935" s="292"/>
      <c r="L2935" s="405"/>
      <c r="M2935" s="421"/>
      <c r="N2935" s="292"/>
      <c r="O2935" s="373">
        <f>TrialBalanceB!I126</f>
        <v>0</v>
      </c>
      <c r="P2935" s="295"/>
      <c r="Q2935" s="442"/>
      <c r="R2935" s="403" t="str">
        <f t="shared" si="216"/>
        <v>DELETE</v>
      </c>
      <c r="T2935" s="381"/>
    </row>
    <row r="2936" spans="2:20" ht="31.5" customHeight="1" x14ac:dyDescent="0.45">
      <c r="B2936" s="441"/>
      <c r="C2936" s="417"/>
      <c r="D2936" s="400" t="s">
        <v>729</v>
      </c>
      <c r="J2936" s="292"/>
      <c r="K2936" s="292"/>
      <c r="L2936" s="405"/>
      <c r="M2936" s="421"/>
      <c r="N2936" s="292"/>
      <c r="O2936" s="373">
        <f>TrialBalanceB!I127</f>
        <v>0</v>
      </c>
      <c r="P2936" s="295"/>
      <c r="Q2936" s="442"/>
      <c r="R2936" s="403" t="str">
        <f t="shared" si="216"/>
        <v>DELETE</v>
      </c>
      <c r="T2936" s="381"/>
    </row>
    <row r="2937" spans="2:20" ht="31.5" customHeight="1" x14ac:dyDescent="0.45">
      <c r="B2937" s="441"/>
      <c r="C2937" s="417"/>
      <c r="D2937" s="400" t="s">
        <v>79</v>
      </c>
      <c r="J2937" s="292"/>
      <c r="K2937" s="292"/>
      <c r="L2937" s="405"/>
      <c r="M2937" s="421"/>
      <c r="N2937" s="292"/>
      <c r="O2937" s="373">
        <f>TrialBalanceB!I128</f>
        <v>0</v>
      </c>
      <c r="P2937" s="295"/>
      <c r="Q2937" s="442"/>
      <c r="R2937" s="403" t="str">
        <f t="shared" si="216"/>
        <v>DELETE</v>
      </c>
      <c r="T2937" s="381"/>
    </row>
    <row r="2938" spans="2:20" ht="31.5" customHeight="1" x14ac:dyDescent="0.45">
      <c r="B2938" s="441"/>
      <c r="C2938" s="417"/>
      <c r="D2938" s="400">
        <f>TrialBalanceB!C129</f>
        <v>0</v>
      </c>
      <c r="J2938" s="292"/>
      <c r="K2938" s="292"/>
      <c r="L2938" s="405"/>
      <c r="M2938" s="421"/>
      <c r="N2938" s="292"/>
      <c r="O2938" s="373">
        <f>TrialBalanceB!I129</f>
        <v>0</v>
      </c>
      <c r="P2938" s="295"/>
      <c r="Q2938" s="442"/>
      <c r="R2938" s="403" t="str">
        <f t="shared" si="216"/>
        <v>DELETE</v>
      </c>
      <c r="T2938" s="381"/>
    </row>
    <row r="2939" spans="2:20" ht="31.5" customHeight="1" x14ac:dyDescent="0.45">
      <c r="B2939" s="441"/>
      <c r="C2939" s="417"/>
      <c r="D2939" s="400">
        <f>TrialBalanceB!C130</f>
        <v>0</v>
      </c>
      <c r="J2939" s="292"/>
      <c r="K2939" s="292"/>
      <c r="L2939" s="405"/>
      <c r="M2939" s="421"/>
      <c r="N2939" s="292"/>
      <c r="O2939" s="373">
        <f>TrialBalanceB!I130</f>
        <v>0</v>
      </c>
      <c r="P2939" s="295"/>
      <c r="Q2939" s="442"/>
      <c r="R2939" s="403" t="str">
        <f t="shared" si="216"/>
        <v>DELETE</v>
      </c>
      <c r="T2939" s="381"/>
    </row>
    <row r="2940" spans="2:20" ht="31.5" customHeight="1" x14ac:dyDescent="0.45">
      <c r="B2940" s="441"/>
      <c r="C2940" s="417"/>
      <c r="D2940" s="400">
        <f>TrialBalanceB!C131</f>
        <v>0</v>
      </c>
      <c r="J2940" s="292"/>
      <c r="K2940" s="292"/>
      <c r="L2940" s="405"/>
      <c r="M2940" s="421"/>
      <c r="N2940" s="292"/>
      <c r="O2940" s="373">
        <f>TrialBalanceB!I131</f>
        <v>0</v>
      </c>
      <c r="P2940" s="295"/>
      <c r="Q2940" s="442"/>
      <c r="R2940" s="403" t="str">
        <f t="shared" si="216"/>
        <v>DELETE</v>
      </c>
      <c r="T2940" s="381"/>
    </row>
    <row r="2941" spans="2:20" ht="31.5" customHeight="1" x14ac:dyDescent="0.45">
      <c r="B2941" s="441"/>
      <c r="C2941" s="417"/>
      <c r="D2941" s="400">
        <f>TrialBalanceB!C132</f>
        <v>0</v>
      </c>
      <c r="J2941" s="292"/>
      <c r="K2941" s="292"/>
      <c r="L2941" s="405"/>
      <c r="M2941" s="421"/>
      <c r="N2941" s="292"/>
      <c r="O2941" s="373">
        <f>TrialBalanceB!I132</f>
        <v>0</v>
      </c>
      <c r="P2941" s="295"/>
      <c r="Q2941" s="442"/>
      <c r="R2941" s="403" t="str">
        <f t="shared" si="216"/>
        <v>DELETE</v>
      </c>
      <c r="T2941" s="381"/>
    </row>
    <row r="2942" spans="2:20" ht="31.5" customHeight="1" x14ac:dyDescent="0.45">
      <c r="B2942" s="441"/>
      <c r="C2942" s="417"/>
      <c r="D2942" s="400">
        <f>TrialBalanceB!C133</f>
        <v>0</v>
      </c>
      <c r="J2942" s="292"/>
      <c r="K2942" s="292"/>
      <c r="L2942" s="405"/>
      <c r="M2942" s="421"/>
      <c r="N2942" s="292"/>
      <c r="O2942" s="373">
        <f>TrialBalanceB!I133</f>
        <v>0</v>
      </c>
      <c r="P2942" s="295"/>
      <c r="Q2942" s="442"/>
      <c r="R2942" s="403" t="str">
        <f t="shared" si="216"/>
        <v>DELETE</v>
      </c>
      <c r="T2942" s="381"/>
    </row>
    <row r="2943" spans="2:20" ht="31.5" customHeight="1" x14ac:dyDescent="0.45">
      <c r="B2943" s="441"/>
      <c r="C2943" s="417"/>
      <c r="D2943" s="400">
        <f>TrialBalanceB!C134</f>
        <v>0</v>
      </c>
      <c r="J2943" s="292"/>
      <c r="K2943" s="292"/>
      <c r="L2943" s="405"/>
      <c r="M2943" s="421"/>
      <c r="N2943" s="292"/>
      <c r="O2943" s="373">
        <f>TrialBalanceB!I134</f>
        <v>0</v>
      </c>
      <c r="P2943" s="295"/>
      <c r="Q2943" s="442"/>
      <c r="R2943" s="403" t="str">
        <f t="shared" si="216"/>
        <v>DELETE</v>
      </c>
      <c r="T2943" s="381"/>
    </row>
    <row r="2944" spans="2:20" ht="31.5" customHeight="1" x14ac:dyDescent="0.45">
      <c r="B2944" s="441"/>
      <c r="C2944" s="417"/>
      <c r="D2944" s="400">
        <f>TrialBalanceB!C135</f>
        <v>0</v>
      </c>
      <c r="J2944" s="292"/>
      <c r="K2944" s="292"/>
      <c r="L2944" s="405"/>
      <c r="M2944" s="421"/>
      <c r="N2944" s="292"/>
      <c r="O2944" s="373">
        <f>TrialBalanceB!I135</f>
        <v>0</v>
      </c>
      <c r="P2944" s="295"/>
      <c r="Q2944" s="442"/>
      <c r="R2944" s="403" t="str">
        <f t="shared" si="216"/>
        <v>DELETE</v>
      </c>
      <c r="T2944" s="381"/>
    </row>
    <row r="2945" spans="2:24" ht="31.5" customHeight="1" x14ac:dyDescent="0.45">
      <c r="B2945" s="441"/>
      <c r="C2945" s="417"/>
      <c r="D2945" s="400">
        <f>TrialBalanceB!C136</f>
        <v>0</v>
      </c>
      <c r="J2945" s="292"/>
      <c r="K2945" s="292"/>
      <c r="L2945" s="405"/>
      <c r="M2945" s="421"/>
      <c r="N2945" s="292"/>
      <c r="O2945" s="373">
        <f>TrialBalanceB!I136</f>
        <v>0</v>
      </c>
      <c r="P2945" s="295"/>
      <c r="Q2945" s="442"/>
      <c r="R2945" s="403" t="str">
        <f t="shared" si="216"/>
        <v>DELETE</v>
      </c>
      <c r="T2945" s="381"/>
    </row>
    <row r="2946" spans="2:24" ht="31.5" customHeight="1" x14ac:dyDescent="0.45">
      <c r="B2946" s="441"/>
      <c r="C2946" s="417"/>
      <c r="D2946" s="400">
        <f>TrialBalanceB!C137</f>
        <v>0</v>
      </c>
      <c r="J2946" s="292"/>
      <c r="K2946" s="292"/>
      <c r="L2946" s="405"/>
      <c r="M2946" s="421"/>
      <c r="N2946" s="292"/>
      <c r="O2946" s="373">
        <f>TrialBalanceB!I137</f>
        <v>0</v>
      </c>
      <c r="P2946" s="295"/>
      <c r="Q2946" s="442"/>
      <c r="R2946" s="403" t="str">
        <f t="shared" si="216"/>
        <v>DELETE</v>
      </c>
      <c r="T2946" s="381"/>
    </row>
    <row r="2947" spans="2:24" ht="31.5" customHeight="1" x14ac:dyDescent="0.45">
      <c r="B2947" s="441"/>
      <c r="C2947" s="417"/>
      <c r="D2947" s="400" t="str">
        <f>TrialBalanceB!C138</f>
        <v>Amortisation of prepaid lease agreement</v>
      </c>
      <c r="J2947" s="292"/>
      <c r="K2947" s="292"/>
      <c r="L2947" s="405"/>
      <c r="M2947" s="421"/>
      <c r="N2947" s="292"/>
      <c r="O2947" s="373">
        <f>TrialBalanceB!I138</f>
        <v>0</v>
      </c>
      <c r="P2947" s="295"/>
      <c r="Q2947" s="442"/>
      <c r="R2947" s="403" t="str">
        <f t="shared" si="216"/>
        <v>DELETE</v>
      </c>
      <c r="T2947" s="381"/>
    </row>
    <row r="2948" spans="2:24" ht="31.5" customHeight="1" x14ac:dyDescent="0.45">
      <c r="B2948" s="441"/>
      <c r="C2948" s="417"/>
      <c r="D2948" s="400" t="str">
        <f>TrialBalanceB!C139</f>
        <v>Amortisation of goodwill</v>
      </c>
      <c r="J2948" s="292"/>
      <c r="K2948" s="292"/>
      <c r="L2948" s="405"/>
      <c r="M2948" s="421"/>
      <c r="N2948" s="292"/>
      <c r="O2948" s="373">
        <f>TrialBalanceB!I139</f>
        <v>0</v>
      </c>
      <c r="P2948" s="295"/>
      <c r="Q2948" s="442"/>
      <c r="R2948" s="403" t="str">
        <f t="shared" ref="R2948" si="217">IF(R$2815="DELETE","DELETE",IF(O2948=0,"DELETE"," "))</f>
        <v>DELETE</v>
      </c>
      <c r="T2948" s="381"/>
    </row>
    <row r="2949" spans="2:24" ht="9" customHeight="1" x14ac:dyDescent="0.45">
      <c r="B2949" s="441"/>
      <c r="C2949" s="417"/>
      <c r="J2949" s="292"/>
      <c r="K2949" s="292"/>
      <c r="L2949" s="405"/>
      <c r="M2949" s="421"/>
      <c r="N2949" s="292"/>
      <c r="O2949" s="374"/>
      <c r="P2949" s="295"/>
      <c r="Q2949" s="442"/>
      <c r="R2949" s="403" t="str">
        <f>R2913</f>
        <v>DELETE</v>
      </c>
      <c r="T2949" s="381"/>
    </row>
    <row r="2950" spans="2:24" ht="9" customHeight="1" x14ac:dyDescent="0.45">
      <c r="B2950" s="441"/>
      <c r="C2950" s="417"/>
      <c r="J2950" s="292"/>
      <c r="K2950" s="292"/>
      <c r="L2950" s="405"/>
      <c r="M2950" s="421"/>
      <c r="N2950" s="292"/>
      <c r="O2950" s="349"/>
      <c r="P2950" s="295"/>
      <c r="Q2950" s="442"/>
      <c r="R2950" s="403" t="str">
        <f t="shared" ref="R2950:R2953" si="218">R$2815</f>
        <v>DELETE</v>
      </c>
      <c r="T2950" s="381"/>
    </row>
    <row r="2951" spans="2:24" ht="9" customHeight="1" x14ac:dyDescent="0.45">
      <c r="B2951" s="441"/>
      <c r="C2951" s="417"/>
      <c r="J2951" s="292"/>
      <c r="K2951" s="292"/>
      <c r="L2951" s="405"/>
      <c r="M2951" s="421"/>
      <c r="N2951" s="292"/>
      <c r="O2951" s="347"/>
      <c r="P2951" s="295"/>
      <c r="Q2951" s="442"/>
      <c r="R2951" s="403" t="str">
        <f t="shared" si="218"/>
        <v>DELETE</v>
      </c>
      <c r="T2951" s="381"/>
    </row>
    <row r="2952" spans="2:24" ht="31.5" customHeight="1" x14ac:dyDescent="0.45">
      <c r="B2952" s="441"/>
      <c r="C2952" s="315" t="str">
        <f>IF(O2952&lt;0,"OPERATING LOSS FOR THE YEAR","OPERATING PROFIT FOR THE YEAR")</f>
        <v>OPERATING PROFIT FOR THE YEAR</v>
      </c>
      <c r="J2952" s="292"/>
      <c r="K2952" s="292">
        <f>FS!B878</f>
        <v>5</v>
      </c>
      <c r="L2952" s="405"/>
      <c r="M2952" s="421"/>
      <c r="N2952" s="292"/>
      <c r="O2952" s="347">
        <f>SUM(S2827:S2949)</f>
        <v>0</v>
      </c>
      <c r="P2952" s="295"/>
      <c r="Q2952" s="442"/>
      <c r="R2952" s="403" t="str">
        <f t="shared" si="218"/>
        <v>DELETE</v>
      </c>
      <c r="T2952" s="381"/>
    </row>
    <row r="2953" spans="2:24" ht="31.5" customHeight="1" x14ac:dyDescent="0.45">
      <c r="B2953" s="441"/>
      <c r="C2953" s="417"/>
      <c r="J2953" s="292"/>
      <c r="K2953" s="292"/>
      <c r="L2953" s="405"/>
      <c r="M2953" s="421"/>
      <c r="N2953" s="292"/>
      <c r="O2953" s="347"/>
      <c r="P2953" s="295"/>
      <c r="Q2953" s="442"/>
      <c r="R2953" s="403" t="str">
        <f t="shared" si="218"/>
        <v>DELETE</v>
      </c>
      <c r="T2953" s="381"/>
    </row>
    <row r="2954" spans="2:24" ht="31.5" customHeight="1" x14ac:dyDescent="0.45">
      <c r="B2954" s="441"/>
      <c r="C2954" s="417" t="s">
        <v>114</v>
      </c>
      <c r="J2954" s="292"/>
      <c r="K2954" s="292">
        <f>FS!B965</f>
        <v>6</v>
      </c>
      <c r="L2954" s="405"/>
      <c r="M2954" s="421"/>
      <c r="N2954" s="292"/>
      <c r="O2954" s="347">
        <f>SUM(O2957:O2964)</f>
        <v>0</v>
      </c>
      <c r="P2954" s="295"/>
      <c r="Q2954" s="442"/>
      <c r="R2954" s="403" t="str">
        <f t="shared" ref="R2954" si="219">IF(R$2815="DELETE","DELETE",IF(O2954=0,"DELETE"," "))</f>
        <v>DELETE</v>
      </c>
      <c r="S2954" s="380">
        <f>O2954</f>
        <v>0</v>
      </c>
      <c r="T2954" s="381"/>
      <c r="U2954" s="380"/>
      <c r="V2954" s="380"/>
      <c r="W2954" s="380"/>
      <c r="X2954" s="380"/>
    </row>
    <row r="2955" spans="2:24" ht="9" customHeight="1" x14ac:dyDescent="0.45">
      <c r="B2955" s="441"/>
      <c r="C2955" s="417"/>
      <c r="J2955" s="292"/>
      <c r="K2955" s="292"/>
      <c r="L2955" s="405"/>
      <c r="M2955" s="421"/>
      <c r="N2955" s="292"/>
      <c r="O2955" s="347"/>
      <c r="P2955" s="295"/>
      <c r="Q2955" s="442"/>
      <c r="R2955" s="403" t="str">
        <f>R2954</f>
        <v>DELETE</v>
      </c>
      <c r="T2955" s="381"/>
    </row>
    <row r="2956" spans="2:24" ht="9" customHeight="1" x14ac:dyDescent="0.45">
      <c r="B2956" s="441"/>
      <c r="C2956" s="417"/>
      <c r="J2956" s="292"/>
      <c r="K2956" s="292"/>
      <c r="L2956" s="405"/>
      <c r="M2956" s="421"/>
      <c r="N2956" s="292"/>
      <c r="O2956" s="372"/>
      <c r="P2956" s="295"/>
      <c r="Q2956" s="442"/>
      <c r="R2956" s="403" t="str">
        <f>R2955</f>
        <v>DELETE</v>
      </c>
      <c r="T2956" s="381"/>
    </row>
    <row r="2957" spans="2:24" ht="31.5" customHeight="1" x14ac:dyDescent="0.45">
      <c r="B2957" s="441"/>
      <c r="C2957" s="417"/>
      <c r="D2957" s="400" t="s">
        <v>205</v>
      </c>
      <c r="J2957" s="292"/>
      <c r="K2957" s="292"/>
      <c r="L2957" s="405"/>
      <c r="M2957" s="421"/>
      <c r="N2957" s="292"/>
      <c r="O2957" s="373">
        <f>-TrialBalanceB!I94</f>
        <v>0</v>
      </c>
      <c r="P2957" s="295"/>
      <c r="Q2957" s="442"/>
      <c r="R2957" s="403" t="str">
        <f t="shared" ref="R2957:R2962" si="220">IF(R$2815="DELETE","DELETE",IF(O2957=0,"DELETE"," "))</f>
        <v>DELETE</v>
      </c>
      <c r="T2957" s="381"/>
    </row>
    <row r="2958" spans="2:24" ht="31.5" customHeight="1" x14ac:dyDescent="0.45">
      <c r="B2958" s="441"/>
      <c r="C2958" s="417"/>
      <c r="D2958" s="400" t="s">
        <v>531</v>
      </c>
      <c r="J2958" s="292"/>
      <c r="K2958" s="292"/>
      <c r="L2958" s="405"/>
      <c r="M2958" s="421"/>
      <c r="N2958" s="292"/>
      <c r="O2958" s="373">
        <f>-SUM(TrialBalanceB!I90:I92)</f>
        <v>0</v>
      </c>
      <c r="P2958" s="295"/>
      <c r="Q2958" s="442"/>
      <c r="R2958" s="403" t="str">
        <f t="shared" si="220"/>
        <v>DELETE</v>
      </c>
      <c r="T2958" s="381"/>
    </row>
    <row r="2959" spans="2:24" ht="31.5" customHeight="1" x14ac:dyDescent="0.45">
      <c r="B2959" s="441"/>
      <c r="C2959" s="417"/>
      <c r="D2959" s="400" t="s">
        <v>532</v>
      </c>
      <c r="J2959" s="292"/>
      <c r="K2959" s="292"/>
      <c r="L2959" s="405"/>
      <c r="M2959" s="421"/>
      <c r="N2959" s="292"/>
      <c r="O2959" s="375">
        <f>-SUM(TrialBalanceB!I85:I88)</f>
        <v>0</v>
      </c>
      <c r="P2959" s="295"/>
      <c r="Q2959" s="442"/>
      <c r="R2959" s="403" t="str">
        <f t="shared" si="220"/>
        <v>DELETE</v>
      </c>
      <c r="T2959" s="381"/>
    </row>
    <row r="2960" spans="2:24" ht="31.5" customHeight="1" x14ac:dyDescent="0.45">
      <c r="B2960" s="441"/>
      <c r="C2960" s="417"/>
      <c r="D2960" s="400" t="s">
        <v>207</v>
      </c>
      <c r="J2960" s="292"/>
      <c r="K2960" s="292"/>
      <c r="L2960" s="405"/>
      <c r="M2960" s="421"/>
      <c r="N2960" s="292"/>
      <c r="O2960" s="375">
        <f>-SUM(TrialBalanceB!I95)</f>
        <v>0</v>
      </c>
      <c r="P2960" s="295"/>
      <c r="Q2960" s="442"/>
      <c r="R2960" s="403" t="str">
        <f t="shared" si="220"/>
        <v>DELETE</v>
      </c>
      <c r="T2960" s="381"/>
    </row>
    <row r="2961" spans="2:24" ht="31.5" customHeight="1" x14ac:dyDescent="0.45">
      <c r="B2961" s="441"/>
      <c r="C2961" s="417"/>
      <c r="D2961" s="400" t="s">
        <v>548</v>
      </c>
      <c r="J2961" s="292"/>
      <c r="K2961" s="292"/>
      <c r="L2961" s="405"/>
      <c r="M2961" s="421"/>
      <c r="N2961" s="292"/>
      <c r="O2961" s="373">
        <f>IF(TrialBalanceB!I93&lt;0,-TrialBalanceB!I93,0)</f>
        <v>0</v>
      </c>
      <c r="P2961" s="295"/>
      <c r="Q2961" s="442"/>
      <c r="R2961" s="403" t="str">
        <f t="shared" si="220"/>
        <v>DELETE</v>
      </c>
      <c r="T2961" s="381"/>
    </row>
    <row r="2962" spans="2:24" ht="31.5" customHeight="1" x14ac:dyDescent="0.45">
      <c r="B2962" s="441"/>
      <c r="C2962" s="417"/>
      <c r="D2962" s="400" t="s">
        <v>359</v>
      </c>
      <c r="J2962" s="292"/>
      <c r="K2962" s="292"/>
      <c r="L2962" s="405"/>
      <c r="M2962" s="421"/>
      <c r="N2962" s="292"/>
      <c r="O2962" s="373">
        <f>-TrialBalanceB!I83</f>
        <v>0</v>
      </c>
      <c r="P2962" s="295"/>
      <c r="Q2962" s="442"/>
      <c r="R2962" s="403" t="str">
        <f t="shared" si="220"/>
        <v>DELETE</v>
      </c>
      <c r="T2962" s="381"/>
    </row>
    <row r="2963" spans="2:24" ht="31.5" customHeight="1" x14ac:dyDescent="0.45">
      <c r="B2963" s="441"/>
      <c r="C2963" s="417"/>
      <c r="D2963" s="400" t="str">
        <f>TrialBalance!C96</f>
        <v>Revaluation of investment property</v>
      </c>
      <c r="J2963" s="292"/>
      <c r="K2963" s="292"/>
      <c r="L2963" s="405"/>
      <c r="M2963" s="421"/>
      <c r="N2963" s="292"/>
      <c r="O2963" s="373">
        <f>-TrialBalanceB!I96</f>
        <v>0</v>
      </c>
      <c r="P2963" s="295"/>
      <c r="Q2963" s="442"/>
      <c r="R2963" s="403" t="str">
        <f>IF(R$2815="DELETE","DELETE",IF(O2963=0,"DELETE"," "))</f>
        <v>DELETE</v>
      </c>
      <c r="T2963" s="381"/>
    </row>
    <row r="2964" spans="2:24" ht="9" customHeight="1" x14ac:dyDescent="0.45">
      <c r="B2964" s="441"/>
      <c r="C2964" s="417"/>
      <c r="J2964" s="292"/>
      <c r="K2964" s="292"/>
      <c r="L2964" s="405"/>
      <c r="M2964" s="421"/>
      <c r="N2964" s="292"/>
      <c r="O2964" s="374"/>
      <c r="P2964" s="295"/>
      <c r="Q2964" s="442"/>
      <c r="R2964" s="403" t="str">
        <f>R2954</f>
        <v>DELETE</v>
      </c>
      <c r="T2964" s="381"/>
    </row>
    <row r="2965" spans="2:24" ht="9" customHeight="1" x14ac:dyDescent="0.45">
      <c r="B2965" s="441"/>
      <c r="C2965" s="417"/>
      <c r="J2965" s="292"/>
      <c r="K2965" s="292"/>
      <c r="L2965" s="405"/>
      <c r="M2965" s="421"/>
      <c r="N2965" s="292"/>
      <c r="O2965" s="349"/>
      <c r="P2965" s="295"/>
      <c r="Q2965" s="442"/>
      <c r="R2965" s="403" t="str">
        <f>R2964</f>
        <v>DELETE</v>
      </c>
      <c r="T2965" s="381"/>
    </row>
    <row r="2966" spans="2:24" ht="9" customHeight="1" x14ac:dyDescent="0.45">
      <c r="B2966" s="441"/>
      <c r="C2966" s="417"/>
      <c r="J2966" s="292"/>
      <c r="K2966" s="292"/>
      <c r="L2966" s="405"/>
      <c r="M2966" s="421"/>
      <c r="N2966" s="292"/>
      <c r="O2966" s="347"/>
      <c r="P2966" s="295"/>
      <c r="Q2966" s="442"/>
      <c r="R2966" s="403" t="str">
        <f>R2965</f>
        <v>DELETE</v>
      </c>
      <c r="T2966" s="381"/>
    </row>
    <row r="2967" spans="2:24" ht="31.5" customHeight="1" x14ac:dyDescent="0.45">
      <c r="B2967" s="441"/>
      <c r="C2967" s="417"/>
      <c r="J2967" s="292"/>
      <c r="K2967" s="292"/>
      <c r="L2967" s="405"/>
      <c r="M2967" s="421"/>
      <c r="N2967" s="292"/>
      <c r="O2967" s="347">
        <f>SUM(S2827:S2964)</f>
        <v>0</v>
      </c>
      <c r="P2967" s="295"/>
      <c r="Q2967" s="442"/>
      <c r="R2967" s="403" t="str">
        <f>R2966</f>
        <v>DELETE</v>
      </c>
      <c r="T2967" s="381"/>
    </row>
    <row r="2968" spans="2:24" ht="31.5" customHeight="1" x14ac:dyDescent="0.45">
      <c r="B2968" s="441"/>
      <c r="C2968" s="417"/>
      <c r="J2968" s="292"/>
      <c r="K2968" s="292"/>
      <c r="L2968" s="405"/>
      <c r="M2968" s="421"/>
      <c r="N2968" s="292"/>
      <c r="O2968" s="347"/>
      <c r="P2968" s="295"/>
      <c r="Q2968" s="442"/>
      <c r="R2968" s="403" t="str">
        <f>R2967</f>
        <v>DELETE</v>
      </c>
      <c r="T2968" s="381"/>
    </row>
    <row r="2969" spans="2:24" ht="31.5" customHeight="1" x14ac:dyDescent="0.45">
      <c r="B2969" s="441"/>
      <c r="C2969" s="417" t="s">
        <v>262</v>
      </c>
      <c r="J2969" s="292"/>
      <c r="K2969" s="292">
        <f>FS!B1024</f>
        <v>7</v>
      </c>
      <c r="L2969" s="405"/>
      <c r="M2969" s="421"/>
      <c r="N2969" s="292"/>
      <c r="O2969" s="347">
        <f>SUM(TrialBalanceB!I142:I152)</f>
        <v>0</v>
      </c>
      <c r="P2969" s="295"/>
      <c r="Q2969" s="442"/>
      <c r="R2969" s="403" t="str">
        <f t="shared" ref="R2969" si="221">IF(R$2815="DELETE","DELETE",IF(O2969=0,"DELETE"," "))</f>
        <v>DELETE</v>
      </c>
      <c r="S2969" s="380">
        <f>-O2969</f>
        <v>0</v>
      </c>
      <c r="T2969" s="381"/>
      <c r="U2969" s="380"/>
      <c r="V2969" s="380"/>
      <c r="W2969" s="380"/>
      <c r="X2969" s="380"/>
    </row>
    <row r="2970" spans="2:24" ht="9" customHeight="1" x14ac:dyDescent="0.45">
      <c r="B2970" s="441"/>
      <c r="C2970" s="417"/>
      <c r="J2970" s="292"/>
      <c r="K2970" s="292"/>
      <c r="L2970" s="405"/>
      <c r="M2970" s="421"/>
      <c r="N2970" s="292"/>
      <c r="O2970" s="349"/>
      <c r="P2970" s="295"/>
      <c r="Q2970" s="442"/>
      <c r="R2970" s="403" t="str">
        <f t="shared" ref="R2970:R2978" si="222">R$2815</f>
        <v>DELETE</v>
      </c>
      <c r="T2970" s="381"/>
    </row>
    <row r="2971" spans="2:24" ht="9" customHeight="1" x14ac:dyDescent="0.45">
      <c r="B2971" s="441"/>
      <c r="C2971" s="417"/>
      <c r="J2971" s="292"/>
      <c r="K2971" s="292"/>
      <c r="L2971" s="405"/>
      <c r="M2971" s="421"/>
      <c r="N2971" s="292"/>
      <c r="O2971" s="347"/>
      <c r="P2971" s="295"/>
      <c r="Q2971" s="442"/>
      <c r="R2971" s="403" t="str">
        <f t="shared" si="222"/>
        <v>DELETE</v>
      </c>
      <c r="T2971" s="381"/>
    </row>
    <row r="2972" spans="2:24" ht="31.5" customHeight="1" x14ac:dyDescent="0.45">
      <c r="B2972" s="441"/>
      <c r="C2972" s="315" t="str">
        <f>IF(O2972&lt;0,"LOSS BEFORE TAXATION","PROFIT BEFORE TAXATION")</f>
        <v>PROFIT BEFORE TAXATION</v>
      </c>
      <c r="J2972" s="292"/>
      <c r="K2972" s="292"/>
      <c r="L2972" s="405"/>
      <c r="M2972" s="421"/>
      <c r="N2972" s="292"/>
      <c r="O2972" s="347">
        <f>SUM(S2827:S2971)</f>
        <v>0</v>
      </c>
      <c r="P2972" s="295"/>
      <c r="Q2972" s="442"/>
      <c r="R2972" s="403" t="str">
        <f t="shared" si="222"/>
        <v>DELETE</v>
      </c>
      <c r="T2972" s="381"/>
      <c r="V2972" s="378" t="b">
        <f>O2972=FS!M2308</f>
        <v>1</v>
      </c>
    </row>
    <row r="2973" spans="2:24" ht="9" customHeight="1" thickBot="1" x14ac:dyDescent="0.5">
      <c r="B2973" s="441"/>
      <c r="C2973" s="417"/>
      <c r="J2973" s="292"/>
      <c r="K2973" s="292"/>
      <c r="L2973" s="405"/>
      <c r="M2973" s="421"/>
      <c r="N2973" s="292"/>
      <c r="O2973" s="351"/>
      <c r="P2973" s="295"/>
      <c r="Q2973" s="442"/>
      <c r="R2973" s="403" t="str">
        <f t="shared" si="222"/>
        <v>DELETE</v>
      </c>
      <c r="T2973" s="381"/>
    </row>
    <row r="2974" spans="2:24" ht="9" customHeight="1" thickTop="1" x14ac:dyDescent="0.45">
      <c r="B2974" s="441"/>
      <c r="C2974" s="417"/>
      <c r="J2974" s="292"/>
      <c r="K2974" s="292"/>
      <c r="L2974" s="405"/>
      <c r="M2974" s="421"/>
      <c r="N2974" s="292"/>
      <c r="O2974" s="347"/>
      <c r="P2974" s="295"/>
      <c r="Q2974" s="442"/>
      <c r="R2974" s="403" t="str">
        <f t="shared" si="222"/>
        <v>DELETE</v>
      </c>
      <c r="T2974" s="381"/>
    </row>
    <row r="2975" spans="2:24" ht="31.5" customHeight="1" x14ac:dyDescent="0.45">
      <c r="B2975" s="441"/>
      <c r="C2975" s="417"/>
      <c r="J2975" s="292"/>
      <c r="K2975" s="292"/>
      <c r="L2975" s="405"/>
      <c r="M2975" s="421"/>
      <c r="N2975" s="292"/>
      <c r="O2975" s="347"/>
      <c r="P2975" s="295"/>
      <c r="Q2975" s="442"/>
      <c r="R2975" s="403" t="str">
        <f t="shared" si="222"/>
        <v>DELETE</v>
      </c>
      <c r="T2975" s="381"/>
    </row>
    <row r="2976" spans="2:24" ht="31.5" customHeight="1" x14ac:dyDescent="0.45">
      <c r="B2976" s="441"/>
      <c r="C2976" s="417"/>
      <c r="J2976" s="292"/>
      <c r="K2976" s="292"/>
      <c r="L2976" s="405"/>
      <c r="M2976" s="421"/>
      <c r="N2976" s="292"/>
      <c r="O2976" s="347"/>
      <c r="P2976" s="295"/>
      <c r="Q2976" s="442"/>
      <c r="R2976" s="403" t="str">
        <f t="shared" si="222"/>
        <v>DELETE</v>
      </c>
      <c r="T2976" s="381"/>
    </row>
    <row r="2977" spans="2:24" ht="31.5" customHeight="1" x14ac:dyDescent="0.45">
      <c r="B2977" s="445"/>
      <c r="C2977" s="429"/>
      <c r="D2977" s="429"/>
      <c r="E2977" s="429"/>
      <c r="F2977" s="429"/>
      <c r="G2977" s="429"/>
      <c r="H2977" s="429"/>
      <c r="I2977" s="429"/>
      <c r="J2977" s="429"/>
      <c r="K2977" s="429"/>
      <c r="L2977" s="429"/>
      <c r="M2977" s="437"/>
      <c r="N2977" s="461"/>
      <c r="O2977" s="437"/>
      <c r="P2977" s="433"/>
      <c r="Q2977" s="446"/>
      <c r="R2977" s="403" t="str">
        <f t="shared" si="222"/>
        <v>DELETE</v>
      </c>
      <c r="T2977" s="381"/>
    </row>
    <row r="2978" spans="2:24" ht="31.5" customHeight="1" x14ac:dyDescent="0.45">
      <c r="M2978" s="426"/>
      <c r="N2978" s="406"/>
      <c r="O2978" s="426"/>
      <c r="R2978" s="403" t="str">
        <f t="shared" si="222"/>
        <v>DELETE</v>
      </c>
      <c r="T2978" s="381"/>
    </row>
    <row r="2979" spans="2:24" ht="31.5" customHeight="1" x14ac:dyDescent="0.45">
      <c r="M2979" s="426"/>
      <c r="N2979" s="406"/>
      <c r="O2979" s="426"/>
      <c r="R2979" s="403" t="str">
        <f>IF(SUM(U2991:U2993)+SUM(U3011:U3018)+SUM(U3118:U3128)+O3136=0,"DELETE",IF(SUM(S2991:S2993)+SUM(U2991:U2993)+SUM(S3011:S3018)+SUM(U3011:U3018)+SUM(S3118:S3128)+SUM(U3118:U3128)+M3136+O3136=0,"DELETE"," "))</f>
        <v>DELETE</v>
      </c>
      <c r="V2979" s="382"/>
      <c r="W2979" s="382"/>
      <c r="X2979" s="382"/>
    </row>
    <row r="2980" spans="2:24" ht="31.5" customHeight="1" x14ac:dyDescent="0.45">
      <c r="D2980" s="417" t="s">
        <v>652</v>
      </c>
      <c r="M2980" s="426"/>
      <c r="N2980" s="406"/>
      <c r="O2980" s="426"/>
      <c r="R2980" s="403" t="str">
        <f>R$2979</f>
        <v>DELETE</v>
      </c>
      <c r="V2980" s="379"/>
      <c r="X2980" s="379"/>
    </row>
    <row r="2981" spans="2:24" ht="31.5" customHeight="1" x14ac:dyDescent="0.45">
      <c r="M2981" s="426"/>
      <c r="N2981" s="406"/>
      <c r="O2981" s="426"/>
      <c r="R2981" s="403" t="str">
        <f t="shared" ref="R2981:R2990" si="223">R$2979</f>
        <v>DELETE</v>
      </c>
    </row>
    <row r="2982" spans="2:24" ht="31.5" customHeight="1" x14ac:dyDescent="0.45">
      <c r="D2982" s="417">
        <f>Criteria!E16</f>
        <v>0</v>
      </c>
      <c r="M2982" s="426"/>
      <c r="N2982" s="406"/>
      <c r="O2982" s="347" t="s">
        <v>96</v>
      </c>
      <c r="Q2982" s="292">
        <v>1</v>
      </c>
      <c r="R2982" s="403" t="str">
        <f t="shared" si="223"/>
        <v>DELETE</v>
      </c>
    </row>
    <row r="2983" spans="2:24" ht="31.5" customHeight="1" x14ac:dyDescent="0.45">
      <c r="D2983" s="405"/>
      <c r="M2983" s="426"/>
      <c r="N2983" s="406"/>
      <c r="O2983" s="426"/>
      <c r="R2983" s="403" t="str">
        <f t="shared" si="223"/>
        <v>DELETE</v>
      </c>
    </row>
    <row r="2984" spans="2:24" ht="31.5" customHeight="1" x14ac:dyDescent="0.45">
      <c r="M2984" s="426"/>
      <c r="N2984" s="406"/>
      <c r="O2984" s="426"/>
      <c r="R2984" s="403" t="str">
        <f t="shared" si="223"/>
        <v>DELETE</v>
      </c>
    </row>
    <row r="2985" spans="2:24" ht="31.5" customHeight="1" x14ac:dyDescent="0.45">
      <c r="D2985" s="417" t="s">
        <v>91</v>
      </c>
      <c r="M2985" s="426"/>
      <c r="N2985" s="406"/>
      <c r="O2985" s="426"/>
      <c r="R2985" s="403" t="str">
        <f t="shared" si="223"/>
        <v>DELETE</v>
      </c>
    </row>
    <row r="2986" spans="2:24" ht="31.5" customHeight="1" x14ac:dyDescent="0.45">
      <c r="D2986" s="417" t="str">
        <f>Criteria!E20</f>
        <v>29 FEBRUARY 2024</v>
      </c>
      <c r="M2986" s="426"/>
      <c r="N2986" s="406"/>
      <c r="O2986" s="426"/>
      <c r="R2986" s="403" t="str">
        <f t="shared" si="223"/>
        <v>DELETE</v>
      </c>
    </row>
    <row r="2987" spans="2:24" ht="31.5" customHeight="1" x14ac:dyDescent="0.45">
      <c r="M2987" s="426"/>
      <c r="N2987" s="406"/>
      <c r="O2987" s="426"/>
      <c r="R2987" s="403" t="str">
        <f t="shared" si="223"/>
        <v>DELETE</v>
      </c>
    </row>
    <row r="2988" spans="2:24" ht="31.5" customHeight="1" x14ac:dyDescent="0.45">
      <c r="B2988" s="438"/>
      <c r="C2988" s="439"/>
      <c r="D2988" s="439"/>
      <c r="E2988" s="439"/>
      <c r="F2988" s="439"/>
      <c r="G2988" s="439"/>
      <c r="H2988" s="439"/>
      <c r="I2988" s="439"/>
      <c r="J2988" s="439"/>
      <c r="K2988" s="439"/>
      <c r="L2988" s="439"/>
      <c r="M2988" s="469"/>
      <c r="N2988" s="470"/>
      <c r="O2988" s="469"/>
      <c r="P2988" s="448"/>
      <c r="Q2988" s="440"/>
      <c r="R2988" s="403" t="str">
        <f t="shared" si="223"/>
        <v>DELETE</v>
      </c>
    </row>
    <row r="2989" spans="2:24" ht="31.5" customHeight="1" x14ac:dyDescent="0.45">
      <c r="B2989" s="441"/>
      <c r="J2989" s="292"/>
      <c r="K2989" s="292" t="s">
        <v>104</v>
      </c>
      <c r="L2989" s="292"/>
      <c r="M2989" s="344">
        <f>Criteria!E22</f>
        <v>2024</v>
      </c>
      <c r="N2989" s="294"/>
      <c r="O2989" s="344">
        <f>Criteria!E27</f>
        <v>2023</v>
      </c>
      <c r="P2989" s="295"/>
      <c r="Q2989" s="442"/>
      <c r="R2989" s="403" t="str">
        <f t="shared" si="223"/>
        <v>DELETE</v>
      </c>
    </row>
    <row r="2990" spans="2:24" ht="31.5" customHeight="1" x14ac:dyDescent="0.45">
      <c r="B2990" s="441"/>
      <c r="J2990" s="292"/>
      <c r="K2990" s="292"/>
      <c r="L2990" s="292"/>
      <c r="M2990" s="347"/>
      <c r="N2990" s="298"/>
      <c r="O2990" s="347"/>
      <c r="P2990" s="295"/>
      <c r="Q2990" s="442"/>
      <c r="R2990" s="403" t="str">
        <f t="shared" si="223"/>
        <v>DELETE</v>
      </c>
    </row>
    <row r="2991" spans="2:24" ht="31.5" customHeight="1" x14ac:dyDescent="0.45">
      <c r="B2991" s="441"/>
      <c r="C2991" s="417" t="s">
        <v>112</v>
      </c>
      <c r="J2991" s="292"/>
      <c r="K2991" s="292"/>
      <c r="L2991" s="292"/>
      <c r="M2991" s="347">
        <f>-SUM(TrialBalanceC!I5:I10)</f>
        <v>0</v>
      </c>
      <c r="N2991" s="298"/>
      <c r="O2991" s="347">
        <f>-SUM(TrialBalanceC!K5:K10)</f>
        <v>0</v>
      </c>
      <c r="P2991" s="295"/>
      <c r="Q2991" s="442"/>
      <c r="R2991" s="403" t="str">
        <f>IF(R2979="DELETE","DELETE",IF(M2991+O2991=0,IF(M2993+O2993=0," ","DELETE")," "))</f>
        <v>DELETE</v>
      </c>
      <c r="S2991" s="380">
        <f>M2991</f>
        <v>0</v>
      </c>
      <c r="T2991" s="380"/>
      <c r="U2991" s="380">
        <f>O2991</f>
        <v>0</v>
      </c>
      <c r="V2991" s="380"/>
      <c r="W2991" s="380"/>
      <c r="X2991" s="380"/>
    </row>
    <row r="2992" spans="2:24" ht="31.5" customHeight="1" x14ac:dyDescent="0.45">
      <c r="B2992" s="441"/>
      <c r="C2992" s="417"/>
      <c r="J2992" s="292"/>
      <c r="K2992" s="292"/>
      <c r="L2992" s="292"/>
      <c r="M2992" s="347"/>
      <c r="N2992" s="298"/>
      <c r="O2992" s="347"/>
      <c r="P2992" s="295"/>
      <c r="Q2992" s="442"/>
      <c r="R2992" s="403" t="str">
        <f>R2991</f>
        <v>DELETE</v>
      </c>
      <c r="S2992" s="380"/>
      <c r="T2992" s="380"/>
      <c r="U2992" s="380"/>
      <c r="V2992" s="380"/>
      <c r="W2992" s="380"/>
      <c r="X2992" s="380"/>
    </row>
    <row r="2993" spans="2:24" ht="31.5" customHeight="1" x14ac:dyDescent="0.45">
      <c r="B2993" s="441"/>
      <c r="C2993" s="417" t="s">
        <v>525</v>
      </c>
      <c r="J2993" s="292"/>
      <c r="K2993" s="292"/>
      <c r="L2993" s="292"/>
      <c r="M2993" s="347">
        <f>-TrialBalanceC!I11</f>
        <v>0</v>
      </c>
      <c r="N2993" s="298"/>
      <c r="O2993" s="347">
        <f>-TrialBalanceC!K11</f>
        <v>0</v>
      </c>
      <c r="P2993" s="295"/>
      <c r="Q2993" s="442"/>
      <c r="R2993" s="403" t="str">
        <f>IF(R2979="DELETE","DELETE",IF(M2993+O2993=0,"DELETE"," "))</f>
        <v>DELETE</v>
      </c>
      <c r="S2993" s="380">
        <f>M2993</f>
        <v>0</v>
      </c>
      <c r="T2993" s="380"/>
      <c r="U2993" s="380">
        <f>O2993</f>
        <v>0</v>
      </c>
      <c r="V2993" s="380"/>
      <c r="W2993" s="380"/>
      <c r="X2993" s="380"/>
    </row>
    <row r="2994" spans="2:24" ht="31.5" customHeight="1" x14ac:dyDescent="0.45">
      <c r="B2994" s="441"/>
      <c r="C2994" s="417"/>
      <c r="J2994" s="292"/>
      <c r="K2994" s="292"/>
      <c r="L2994" s="292"/>
      <c r="M2994" s="347"/>
      <c r="N2994" s="298"/>
      <c r="O2994" s="347"/>
      <c r="P2994" s="295"/>
      <c r="Q2994" s="442"/>
      <c r="R2994" s="403" t="str">
        <f>R2993</f>
        <v>DELETE</v>
      </c>
    </row>
    <row r="2995" spans="2:24" ht="31.5" customHeight="1" x14ac:dyDescent="0.45">
      <c r="B2995" s="441"/>
      <c r="C2995" s="417" t="s">
        <v>273</v>
      </c>
      <c r="J2995" s="292"/>
      <c r="K2995" s="292"/>
      <c r="L2995" s="292"/>
      <c r="M2995" s="347">
        <f>SUM(M2998:M3005)</f>
        <v>0</v>
      </c>
      <c r="N2995" s="298"/>
      <c r="O2995" s="347">
        <f>SUM(O2998:O3005)</f>
        <v>0</v>
      </c>
      <c r="P2995" s="295"/>
      <c r="Q2995" s="442"/>
      <c r="R2995" s="403" t="str">
        <f>IF(R$2979="DELETE","DELETE",IF(M2995=0,IF(O2995=0,"DELETE"," ")," "))</f>
        <v>DELETE</v>
      </c>
      <c r="S2995" s="380">
        <f>-M2995</f>
        <v>0</v>
      </c>
      <c r="T2995" s="380"/>
      <c r="U2995" s="380">
        <f>-O2995</f>
        <v>0</v>
      </c>
      <c r="V2995" s="380"/>
      <c r="W2995" s="380"/>
      <c r="X2995" s="380"/>
    </row>
    <row r="2996" spans="2:24" ht="9" customHeight="1" x14ac:dyDescent="0.45">
      <c r="B2996" s="441"/>
      <c r="C2996" s="417"/>
      <c r="J2996" s="292"/>
      <c r="K2996" s="292"/>
      <c r="L2996" s="292"/>
      <c r="M2996" s="347"/>
      <c r="N2996" s="298"/>
      <c r="O2996" s="347"/>
      <c r="P2996" s="295"/>
      <c r="Q2996" s="442"/>
      <c r="R2996" s="403" t="str">
        <f>R2995</f>
        <v>DELETE</v>
      </c>
    </row>
    <row r="2997" spans="2:24" ht="9" customHeight="1" x14ac:dyDescent="0.45">
      <c r="B2997" s="441"/>
      <c r="C2997" s="417"/>
      <c r="J2997" s="292"/>
      <c r="K2997" s="292"/>
      <c r="L2997" s="292"/>
      <c r="M2997" s="353"/>
      <c r="N2997" s="299"/>
      <c r="O2997" s="366"/>
      <c r="P2997" s="295"/>
      <c r="Q2997" s="442"/>
      <c r="R2997" s="403" t="str">
        <f>R2996</f>
        <v>DELETE</v>
      </c>
    </row>
    <row r="2998" spans="2:24" ht="31.5" customHeight="1" x14ac:dyDescent="0.45">
      <c r="B2998" s="441"/>
      <c r="C2998" s="417"/>
      <c r="D2998" s="400" t="s">
        <v>527</v>
      </c>
      <c r="J2998" s="292"/>
      <c r="K2998" s="292"/>
      <c r="L2998" s="292"/>
      <c r="M2998" s="354">
        <f>SUM(TrialBalanceC!I13:I16)</f>
        <v>0</v>
      </c>
      <c r="N2998" s="298"/>
      <c r="O2998" s="367">
        <f>SUM(TrialBalanceC!K13:K16)</f>
        <v>0</v>
      </c>
      <c r="P2998" s="295"/>
      <c r="Q2998" s="442"/>
      <c r="R2998" s="403" t="str">
        <f t="shared" ref="R2998:R3005" si="224">IF(R$2979="DELETE","DELETE",IF(M2998+O2998=0,"DELETE"," "))</f>
        <v>DELETE</v>
      </c>
    </row>
    <row r="2999" spans="2:24" ht="31.5" customHeight="1" x14ac:dyDescent="0.45">
      <c r="B2999" s="441"/>
      <c r="C2999" s="417"/>
      <c r="D2999" s="400" t="s">
        <v>274</v>
      </c>
      <c r="J2999" s="292"/>
      <c r="K2999" s="292"/>
      <c r="L2999" s="292"/>
      <c r="M2999" s="354">
        <f>TrialBalanceC!I17</f>
        <v>0</v>
      </c>
      <c r="N2999" s="298"/>
      <c r="O2999" s="367">
        <f>TrialBalanceC!K17</f>
        <v>0</v>
      </c>
      <c r="P2999" s="295"/>
      <c r="Q2999" s="442"/>
      <c r="R2999" s="403" t="str">
        <f t="shared" si="224"/>
        <v>DELETE</v>
      </c>
    </row>
    <row r="3000" spans="2:24" ht="31.5" customHeight="1" x14ac:dyDescent="0.45">
      <c r="B3000" s="441"/>
      <c r="C3000" s="417"/>
      <c r="D3000" s="400">
        <f>TrialBalanceC!C18</f>
        <v>0</v>
      </c>
      <c r="J3000" s="292"/>
      <c r="K3000" s="292"/>
      <c r="L3000" s="292"/>
      <c r="M3000" s="354">
        <f>TrialBalanceC!I18</f>
        <v>0</v>
      </c>
      <c r="N3000" s="298"/>
      <c r="O3000" s="367">
        <f>TrialBalanceC!K18</f>
        <v>0</v>
      </c>
      <c r="P3000" s="295"/>
      <c r="Q3000" s="442"/>
      <c r="R3000" s="403" t="str">
        <f t="shared" si="224"/>
        <v>DELETE</v>
      </c>
    </row>
    <row r="3001" spans="2:24" ht="31.5" customHeight="1" x14ac:dyDescent="0.45">
      <c r="B3001" s="441"/>
      <c r="C3001" s="417"/>
      <c r="D3001" s="400">
        <f>TrialBalanceC!C19</f>
        <v>0</v>
      </c>
      <c r="J3001" s="292"/>
      <c r="K3001" s="292"/>
      <c r="L3001" s="292"/>
      <c r="M3001" s="354">
        <f>TrialBalanceC!I19</f>
        <v>0</v>
      </c>
      <c r="N3001" s="298"/>
      <c r="O3001" s="367">
        <f>TrialBalanceC!K19</f>
        <v>0</v>
      </c>
      <c r="P3001" s="295"/>
      <c r="Q3001" s="442"/>
      <c r="R3001" s="403" t="str">
        <f t="shared" si="224"/>
        <v>DELETE</v>
      </c>
    </row>
    <row r="3002" spans="2:24" ht="31.5" customHeight="1" x14ac:dyDescent="0.45">
      <c r="B3002" s="441"/>
      <c r="C3002" s="417"/>
      <c r="D3002" s="400">
        <f>TrialBalanceC!C20</f>
        <v>0</v>
      </c>
      <c r="J3002" s="292"/>
      <c r="K3002" s="292"/>
      <c r="L3002" s="292"/>
      <c r="M3002" s="354">
        <f>TrialBalanceC!I20</f>
        <v>0</v>
      </c>
      <c r="N3002" s="298"/>
      <c r="O3002" s="367">
        <f>TrialBalanceC!K20</f>
        <v>0</v>
      </c>
      <c r="P3002" s="295"/>
      <c r="Q3002" s="442"/>
      <c r="R3002" s="403" t="str">
        <f t="shared" si="224"/>
        <v>DELETE</v>
      </c>
    </row>
    <row r="3003" spans="2:24" ht="31.5" customHeight="1" x14ac:dyDescent="0.45">
      <c r="B3003" s="441"/>
      <c r="C3003" s="417"/>
      <c r="D3003" s="400">
        <f>TrialBalanceC!C21</f>
        <v>0</v>
      </c>
      <c r="J3003" s="292"/>
      <c r="K3003" s="292"/>
      <c r="L3003" s="292"/>
      <c r="M3003" s="354">
        <f>TrialBalanceC!I21</f>
        <v>0</v>
      </c>
      <c r="N3003" s="298"/>
      <c r="O3003" s="367">
        <f>TrialBalanceC!K21</f>
        <v>0</v>
      </c>
      <c r="P3003" s="295"/>
      <c r="Q3003" s="442"/>
      <c r="R3003" s="403" t="str">
        <f t="shared" si="224"/>
        <v>DELETE</v>
      </c>
    </row>
    <row r="3004" spans="2:24" ht="31.5" customHeight="1" x14ac:dyDescent="0.45">
      <c r="B3004" s="441"/>
      <c r="C3004" s="417"/>
      <c r="D3004" s="400">
        <f>TrialBalanceC!C22</f>
        <v>0</v>
      </c>
      <c r="J3004" s="292"/>
      <c r="K3004" s="292"/>
      <c r="L3004" s="292"/>
      <c r="M3004" s="354">
        <f>TrialBalanceC!I22</f>
        <v>0</v>
      </c>
      <c r="N3004" s="298"/>
      <c r="O3004" s="367">
        <f>TrialBalanceC!K22</f>
        <v>0</v>
      </c>
      <c r="P3004" s="295"/>
      <c r="Q3004" s="442"/>
      <c r="R3004" s="403" t="str">
        <f t="shared" si="224"/>
        <v>DELETE</v>
      </c>
    </row>
    <row r="3005" spans="2:24" ht="31.5" customHeight="1" x14ac:dyDescent="0.45">
      <c r="B3005" s="441"/>
      <c r="C3005" s="417"/>
      <c r="D3005" s="400" t="s">
        <v>528</v>
      </c>
      <c r="J3005" s="292"/>
      <c r="K3005" s="292"/>
      <c r="L3005" s="292"/>
      <c r="M3005" s="354">
        <f>SUM(TrialBalanceC!I23:I26)</f>
        <v>0</v>
      </c>
      <c r="N3005" s="298"/>
      <c r="O3005" s="367">
        <f>SUM(TrialBalanceC!K23:K26)</f>
        <v>0</v>
      </c>
      <c r="P3005" s="295"/>
      <c r="Q3005" s="442"/>
      <c r="R3005" s="403" t="str">
        <f t="shared" si="224"/>
        <v>DELETE</v>
      </c>
    </row>
    <row r="3006" spans="2:24" ht="9" customHeight="1" x14ac:dyDescent="0.45">
      <c r="B3006" s="441"/>
      <c r="C3006" s="417"/>
      <c r="J3006" s="292"/>
      <c r="K3006" s="292"/>
      <c r="L3006" s="292"/>
      <c r="M3006" s="355"/>
      <c r="N3006" s="300"/>
      <c r="O3006" s="368"/>
      <c r="P3006" s="295"/>
      <c r="Q3006" s="442"/>
      <c r="R3006" s="403" t="str">
        <f>R2995</f>
        <v>DELETE</v>
      </c>
    </row>
    <row r="3007" spans="2:24" ht="9" customHeight="1" x14ac:dyDescent="0.45">
      <c r="B3007" s="441"/>
      <c r="C3007" s="417"/>
      <c r="J3007" s="292"/>
      <c r="K3007" s="292"/>
      <c r="L3007" s="292"/>
      <c r="M3007" s="349"/>
      <c r="N3007" s="300"/>
      <c r="O3007" s="349"/>
      <c r="P3007" s="295"/>
      <c r="Q3007" s="442"/>
      <c r="R3007" s="403" t="str">
        <f>R2995</f>
        <v>DELETE</v>
      </c>
    </row>
    <row r="3008" spans="2:24" ht="9" customHeight="1" x14ac:dyDescent="0.45">
      <c r="B3008" s="441"/>
      <c r="C3008" s="417"/>
      <c r="J3008" s="292"/>
      <c r="K3008" s="292"/>
      <c r="L3008" s="292"/>
      <c r="M3008" s="347"/>
      <c r="N3008" s="298"/>
      <c r="O3008" s="347"/>
      <c r="P3008" s="295"/>
      <c r="Q3008" s="442"/>
      <c r="R3008" s="403" t="str">
        <f>R3007</f>
        <v>DELETE</v>
      </c>
    </row>
    <row r="3009" spans="2:26" ht="31.5" customHeight="1" x14ac:dyDescent="0.45">
      <c r="B3009" s="441"/>
      <c r="C3009" s="315" t="str">
        <f>IF((Y3009+Z3009)=3,"GROSS PROFIT/(LOSS)",(IF((Y3009+Z3009=4),"GROSS PROFIT","GROSS LOSS")))</f>
        <v>GROSS PROFIT</v>
      </c>
      <c r="J3009" s="292"/>
      <c r="K3009" s="292"/>
      <c r="L3009" s="292"/>
      <c r="M3009" s="347">
        <f>SUM(S2991:S3006)</f>
        <v>0</v>
      </c>
      <c r="N3009" s="298"/>
      <c r="O3009" s="347">
        <f>SUM(U2991:U3006)</f>
        <v>0</v>
      </c>
      <c r="P3009" s="295"/>
      <c r="Q3009" s="442"/>
      <c r="R3009" s="403" t="str">
        <f>R3008</f>
        <v>DELETE</v>
      </c>
      <c r="Y3009" s="378">
        <f>IF(M3009&lt;0,1,IF(M3009=0,IF(O3009&lt;0,1,2),2))</f>
        <v>2</v>
      </c>
      <c r="Z3009" s="378">
        <f>IF(O3009&lt;0,1,IF(O3009=0,IF(M3009&lt;0,1,2),2))</f>
        <v>2</v>
      </c>
    </row>
    <row r="3010" spans="2:26" ht="31.5" customHeight="1" x14ac:dyDescent="0.45">
      <c r="B3010" s="441"/>
      <c r="C3010" s="417"/>
      <c r="J3010" s="292"/>
      <c r="K3010" s="292"/>
      <c r="L3010" s="292"/>
      <c r="M3010" s="347"/>
      <c r="N3010" s="298"/>
      <c r="O3010" s="347"/>
      <c r="P3010" s="295"/>
      <c r="Q3010" s="442"/>
      <c r="R3010" s="403" t="str">
        <f>R3009</f>
        <v>DELETE</v>
      </c>
    </row>
    <row r="3011" spans="2:26" ht="31.5" customHeight="1" x14ac:dyDescent="0.45">
      <c r="B3011" s="441"/>
      <c r="C3011" s="417" t="s">
        <v>323</v>
      </c>
      <c r="J3011" s="292"/>
      <c r="K3011" s="292"/>
      <c r="L3011" s="292"/>
      <c r="M3011" s="347">
        <f>SUM(M3013:M3020)</f>
        <v>0</v>
      </c>
      <c r="N3011" s="298"/>
      <c r="O3011" s="347">
        <f>SUM(O3013:O3020)</f>
        <v>0</v>
      </c>
      <c r="P3011" s="295"/>
      <c r="Q3011" s="442"/>
      <c r="R3011" s="403" t="str">
        <f t="shared" ref="R3011" si="225">IF(R$2979="DELETE","DELETE",IF(M3011+O3011=0,"DELETE"," "))</f>
        <v>DELETE</v>
      </c>
      <c r="S3011" s="380">
        <f>M3011</f>
        <v>0</v>
      </c>
      <c r="T3011" s="380"/>
      <c r="U3011" s="380">
        <f>O3011</f>
        <v>0</v>
      </c>
    </row>
    <row r="3012" spans="2:26" ht="9" customHeight="1" x14ac:dyDescent="0.45">
      <c r="B3012" s="441"/>
      <c r="C3012" s="417"/>
      <c r="J3012" s="292"/>
      <c r="K3012" s="292"/>
      <c r="L3012" s="292"/>
      <c r="M3012" s="347"/>
      <c r="N3012" s="298"/>
      <c r="O3012" s="347"/>
      <c r="P3012" s="295"/>
      <c r="Q3012" s="442"/>
      <c r="R3012" s="403" t="str">
        <f>R3011</f>
        <v>DELETE</v>
      </c>
    </row>
    <row r="3013" spans="2:26" ht="9" customHeight="1" x14ac:dyDescent="0.45">
      <c r="B3013" s="441"/>
      <c r="C3013" s="417"/>
      <c r="J3013" s="292"/>
      <c r="K3013" s="292"/>
      <c r="L3013" s="292"/>
      <c r="M3013" s="353"/>
      <c r="N3013" s="299"/>
      <c r="O3013" s="366"/>
      <c r="P3013" s="295"/>
      <c r="Q3013" s="442"/>
      <c r="R3013" s="403" t="str">
        <f>R3011</f>
        <v>DELETE</v>
      </c>
    </row>
    <row r="3014" spans="2:26" ht="31.5" customHeight="1" x14ac:dyDescent="0.45">
      <c r="B3014" s="441"/>
      <c r="C3014" s="417"/>
      <c r="D3014" s="400" t="str">
        <f>TrialBalanceC!C28</f>
        <v xml:space="preserve">Insurance claims - </v>
      </c>
      <c r="J3014" s="292"/>
      <c r="K3014" s="292"/>
      <c r="L3014" s="292"/>
      <c r="M3014" s="354">
        <f>-TrialBalanceC!I28</f>
        <v>0</v>
      </c>
      <c r="N3014" s="298"/>
      <c r="O3014" s="367">
        <f>-TrialBalanceC!K28</f>
        <v>0</v>
      </c>
      <c r="P3014" s="295"/>
      <c r="Q3014" s="442"/>
      <c r="R3014" s="403" t="str">
        <f t="shared" ref="R3014:R3018" si="226">IF(R$2979="DELETE","DELETE",IF(M3014+O3014=0,"DELETE"," "))</f>
        <v>DELETE</v>
      </c>
    </row>
    <row r="3015" spans="2:26" ht="31.5" customHeight="1" x14ac:dyDescent="0.45">
      <c r="B3015" s="441"/>
      <c r="C3015" s="417"/>
      <c r="D3015" s="400" t="str">
        <f>TrialBalanceC!C29</f>
        <v>Government grants received</v>
      </c>
      <c r="J3015" s="292"/>
      <c r="K3015" s="292"/>
      <c r="L3015" s="292"/>
      <c r="M3015" s="354">
        <f>-TrialBalanceC!I29</f>
        <v>0</v>
      </c>
      <c r="N3015" s="298"/>
      <c r="O3015" s="367">
        <f>-TrialBalanceC!K29</f>
        <v>0</v>
      </c>
      <c r="P3015" s="295"/>
      <c r="Q3015" s="442"/>
      <c r="R3015" s="403" t="str">
        <f t="shared" si="226"/>
        <v>DELETE</v>
      </c>
    </row>
    <row r="3016" spans="2:26" ht="31.5" customHeight="1" x14ac:dyDescent="0.45">
      <c r="B3016" s="441"/>
      <c r="C3016" s="417"/>
      <c r="D3016" s="400">
        <f>TrialBalanceC!C30</f>
        <v>0</v>
      </c>
      <c r="J3016" s="292"/>
      <c r="K3016" s="292"/>
      <c r="L3016" s="292"/>
      <c r="M3016" s="354">
        <f>-TrialBalanceC!I30</f>
        <v>0</v>
      </c>
      <c r="N3016" s="298"/>
      <c r="O3016" s="367">
        <f>-TrialBalanceC!K30</f>
        <v>0</v>
      </c>
      <c r="P3016" s="295"/>
      <c r="Q3016" s="442"/>
      <c r="R3016" s="403" t="str">
        <f t="shared" si="226"/>
        <v>DELETE</v>
      </c>
    </row>
    <row r="3017" spans="2:26" ht="31.5" customHeight="1" x14ac:dyDescent="0.45">
      <c r="B3017" s="441"/>
      <c r="C3017" s="417"/>
      <c r="D3017" s="400">
        <f>TrialBalanceC!C31</f>
        <v>0</v>
      </c>
      <c r="J3017" s="292"/>
      <c r="K3017" s="292"/>
      <c r="L3017" s="292"/>
      <c r="M3017" s="354">
        <f>-TrialBalanceC!I31</f>
        <v>0</v>
      </c>
      <c r="N3017" s="298"/>
      <c r="O3017" s="367">
        <f>-TrialBalanceC!K31</f>
        <v>0</v>
      </c>
      <c r="P3017" s="295"/>
      <c r="Q3017" s="442"/>
      <c r="R3017" s="403" t="str">
        <f t="shared" si="226"/>
        <v>DELETE</v>
      </c>
    </row>
    <row r="3018" spans="2:26" ht="31.5" customHeight="1" x14ac:dyDescent="0.45">
      <c r="B3018" s="441"/>
      <c r="C3018" s="417"/>
      <c r="D3018" s="400">
        <f>TrialBalanceC!C32</f>
        <v>0</v>
      </c>
      <c r="J3018" s="292"/>
      <c r="K3018" s="292"/>
      <c r="L3018" s="292"/>
      <c r="M3018" s="354">
        <f>-TrialBalanceC!I32</f>
        <v>0</v>
      </c>
      <c r="N3018" s="298"/>
      <c r="O3018" s="367">
        <f>-TrialBalanceC!K32</f>
        <v>0</v>
      </c>
      <c r="P3018" s="295"/>
      <c r="Q3018" s="442"/>
      <c r="R3018" s="403" t="str">
        <f t="shared" si="226"/>
        <v>DELETE</v>
      </c>
    </row>
    <row r="3019" spans="2:26" ht="31.5" customHeight="1" x14ac:dyDescent="0.45">
      <c r="B3019" s="441"/>
      <c r="C3019" s="417"/>
      <c r="D3019" s="400" t="str">
        <f>TrialBalanceC!C33</f>
        <v>Recoupment of depreciation</v>
      </c>
      <c r="J3019" s="292"/>
      <c r="K3019" s="292"/>
      <c r="L3019" s="292"/>
      <c r="M3019" s="354">
        <f>-TrialBalanceC!I33</f>
        <v>0</v>
      </c>
      <c r="N3019" s="298"/>
      <c r="O3019" s="367">
        <f>-TrialBalanceC!K33</f>
        <v>0</v>
      </c>
      <c r="P3019" s="295"/>
      <c r="Q3019" s="442"/>
      <c r="R3019" s="403" t="str">
        <f t="shared" ref="R3019" si="227">IF(R$2979="DELETE","DELETE",IF(M3019+O3019=0,"DELETE"," "))</f>
        <v>DELETE</v>
      </c>
    </row>
    <row r="3020" spans="2:26" ht="9" customHeight="1" x14ac:dyDescent="0.45">
      <c r="B3020" s="441"/>
      <c r="C3020" s="417"/>
      <c r="J3020" s="292"/>
      <c r="K3020" s="292"/>
      <c r="L3020" s="292"/>
      <c r="M3020" s="355"/>
      <c r="N3020" s="300"/>
      <c r="O3020" s="368"/>
      <c r="P3020" s="295"/>
      <c r="Q3020" s="442"/>
      <c r="R3020" s="403" t="str">
        <f>R3011</f>
        <v>DELETE</v>
      </c>
    </row>
    <row r="3021" spans="2:26" ht="9" customHeight="1" x14ac:dyDescent="0.45">
      <c r="B3021" s="441"/>
      <c r="C3021" s="417"/>
      <c r="J3021" s="292"/>
      <c r="K3021" s="292"/>
      <c r="L3021" s="292"/>
      <c r="M3021" s="364"/>
      <c r="N3021" s="321"/>
      <c r="O3021" s="364"/>
      <c r="P3021" s="295"/>
      <c r="Q3021" s="442"/>
      <c r="R3021" s="403" t="str">
        <f>R3020</f>
        <v>DELETE</v>
      </c>
    </row>
    <row r="3022" spans="2:26" ht="9" customHeight="1" x14ac:dyDescent="0.45">
      <c r="B3022" s="441"/>
      <c r="C3022" s="417"/>
      <c r="J3022" s="292"/>
      <c r="K3022" s="292"/>
      <c r="L3022" s="292"/>
      <c r="M3022" s="347"/>
      <c r="N3022" s="298"/>
      <c r="O3022" s="347"/>
      <c r="P3022" s="295"/>
      <c r="Q3022" s="442"/>
      <c r="R3022" s="403" t="str">
        <f>R3021</f>
        <v>DELETE</v>
      </c>
    </row>
    <row r="3023" spans="2:26" ht="31.5" customHeight="1" x14ac:dyDescent="0.45">
      <c r="B3023" s="441"/>
      <c r="C3023" s="417"/>
      <c r="J3023" s="292"/>
      <c r="K3023" s="292"/>
      <c r="L3023" s="292"/>
      <c r="M3023" s="347">
        <f>SUM(S2991:S3011)</f>
        <v>0</v>
      </c>
      <c r="N3023" s="298"/>
      <c r="O3023" s="347">
        <f>SUM(U2991:U3011)</f>
        <v>0</v>
      </c>
      <c r="P3023" s="295"/>
      <c r="Q3023" s="442"/>
      <c r="R3023" s="403" t="str">
        <f>R3011</f>
        <v>DELETE</v>
      </c>
    </row>
    <row r="3024" spans="2:26" ht="31.5" customHeight="1" x14ac:dyDescent="0.45">
      <c r="B3024" s="441"/>
      <c r="C3024" s="417"/>
      <c r="J3024" s="292"/>
      <c r="K3024" s="292"/>
      <c r="L3024" s="292"/>
      <c r="M3024" s="347"/>
      <c r="N3024" s="298"/>
      <c r="O3024" s="347"/>
      <c r="P3024" s="295"/>
      <c r="Q3024" s="442"/>
      <c r="R3024" s="403" t="str">
        <f>R3023</f>
        <v>DELETE</v>
      </c>
    </row>
    <row r="3025" spans="2:24" ht="31.5" customHeight="1" x14ac:dyDescent="0.45">
      <c r="B3025" s="441"/>
      <c r="C3025" s="417" t="s">
        <v>996</v>
      </c>
      <c r="J3025" s="292"/>
      <c r="K3025" s="292"/>
      <c r="L3025" s="292"/>
      <c r="M3025" s="347">
        <f>SUM(M3027:M3055)</f>
        <v>0</v>
      </c>
      <c r="N3025" s="298"/>
      <c r="O3025" s="347">
        <f>SUM(O3027:O3055)</f>
        <v>0</v>
      </c>
      <c r="P3025" s="295"/>
      <c r="Q3025" s="442"/>
      <c r="R3025" s="403" t="str">
        <f t="shared" ref="R3025" si="228">IF(R$2979="DELETE","DELETE",IF(M3025+O3025=0,"DELETE"," "))</f>
        <v>DELETE</v>
      </c>
      <c r="S3025" s="380">
        <f>-M3025</f>
        <v>0</v>
      </c>
      <c r="T3025" s="380"/>
      <c r="U3025" s="380">
        <f>-O3025</f>
        <v>0</v>
      </c>
      <c r="V3025" s="380"/>
      <c r="W3025" s="380"/>
      <c r="X3025" s="380"/>
    </row>
    <row r="3026" spans="2:24" ht="9" customHeight="1" x14ac:dyDescent="0.45">
      <c r="B3026" s="441"/>
      <c r="C3026" s="417"/>
      <c r="J3026" s="292"/>
      <c r="K3026" s="292"/>
      <c r="L3026" s="292"/>
      <c r="M3026" s="347"/>
      <c r="N3026" s="298"/>
      <c r="O3026" s="347"/>
      <c r="P3026" s="295"/>
      <c r="Q3026" s="442"/>
      <c r="R3026" s="403" t="str">
        <f>R3025</f>
        <v>DELETE</v>
      </c>
    </row>
    <row r="3027" spans="2:24" ht="9" customHeight="1" x14ac:dyDescent="0.45">
      <c r="B3027" s="441"/>
      <c r="C3027" s="417"/>
      <c r="J3027" s="292"/>
      <c r="K3027" s="292"/>
      <c r="L3027" s="292"/>
      <c r="M3027" s="353"/>
      <c r="N3027" s="299"/>
      <c r="O3027" s="366"/>
      <c r="P3027" s="295"/>
      <c r="Q3027" s="442"/>
      <c r="R3027" s="403" t="str">
        <f>R3026</f>
        <v>DELETE</v>
      </c>
    </row>
    <row r="3028" spans="2:24" ht="31.5" customHeight="1" x14ac:dyDescent="0.45">
      <c r="B3028" s="441"/>
      <c r="C3028" s="417"/>
      <c r="D3028" s="400" t="s">
        <v>275</v>
      </c>
      <c r="J3028" s="292"/>
      <c r="K3028" s="292"/>
      <c r="L3028" s="292"/>
      <c r="M3028" s="354">
        <f>TrialBalanceC!I40</f>
        <v>0</v>
      </c>
      <c r="N3028" s="298"/>
      <c r="O3028" s="367">
        <f>TrialBalanceC!K40</f>
        <v>0</v>
      </c>
      <c r="P3028" s="295"/>
      <c r="Q3028" s="442"/>
      <c r="R3028" s="403" t="str">
        <f t="shared" ref="R3028:R3054" si="229">IF(R$2979="DELETE","DELETE",IF(M3028+O3028=0,"DELETE"," "))</f>
        <v>DELETE</v>
      </c>
    </row>
    <row r="3029" spans="2:24" ht="31.5" customHeight="1" x14ac:dyDescent="0.45">
      <c r="B3029" s="441"/>
      <c r="C3029" s="417"/>
      <c r="D3029" s="400" t="s">
        <v>702</v>
      </c>
      <c r="J3029" s="292"/>
      <c r="K3029" s="292"/>
      <c r="L3029" s="292"/>
      <c r="M3029" s="354">
        <f>TrialBalanceC!I41</f>
        <v>0</v>
      </c>
      <c r="N3029" s="298"/>
      <c r="O3029" s="367">
        <f>TrialBalanceC!K41</f>
        <v>0</v>
      </c>
      <c r="P3029" s="295"/>
      <c r="Q3029" s="442"/>
      <c r="R3029" s="403" t="str">
        <f t="shared" si="229"/>
        <v>DELETE</v>
      </c>
    </row>
    <row r="3030" spans="2:24" ht="31.5" customHeight="1" x14ac:dyDescent="0.45">
      <c r="B3030" s="441"/>
      <c r="C3030" s="417"/>
      <c r="D3030" s="400" t="s">
        <v>276</v>
      </c>
      <c r="J3030" s="292"/>
      <c r="K3030" s="292"/>
      <c r="L3030" s="292"/>
      <c r="M3030" s="354">
        <f>TrialBalanceC!I42</f>
        <v>0</v>
      </c>
      <c r="N3030" s="298"/>
      <c r="O3030" s="367">
        <f>TrialBalanceC!K42</f>
        <v>0</v>
      </c>
      <c r="P3030" s="295"/>
      <c r="Q3030" s="442"/>
      <c r="R3030" s="403" t="str">
        <f t="shared" si="229"/>
        <v>DELETE</v>
      </c>
    </row>
    <row r="3031" spans="2:24" ht="31.5" customHeight="1" x14ac:dyDescent="0.45">
      <c r="B3031" s="441"/>
      <c r="C3031" s="417"/>
      <c r="D3031" s="400" t="s">
        <v>277</v>
      </c>
      <c r="J3031" s="292"/>
      <c r="K3031" s="292">
        <f>C$940</f>
        <v>5.2999999999999989</v>
      </c>
      <c r="L3031" s="292"/>
      <c r="M3031" s="354">
        <f>SUM(TrialBalanceC!I44:I46)</f>
        <v>0</v>
      </c>
      <c r="N3031" s="298"/>
      <c r="O3031" s="367">
        <f>SUM(TrialBalanceC!K44:K46)</f>
        <v>0</v>
      </c>
      <c r="P3031" s="295"/>
      <c r="Q3031" s="442"/>
      <c r="R3031" s="403" t="str">
        <f t="shared" si="229"/>
        <v>DELETE</v>
      </c>
    </row>
    <row r="3032" spans="2:24" ht="31.5" customHeight="1" x14ac:dyDescent="0.45">
      <c r="B3032" s="441"/>
      <c r="C3032" s="417"/>
      <c r="D3032" s="400" t="s">
        <v>529</v>
      </c>
      <c r="J3032" s="292"/>
      <c r="K3032" s="292"/>
      <c r="L3032" s="292"/>
      <c r="M3032" s="354">
        <f>TrialBalanceC!I47</f>
        <v>0</v>
      </c>
      <c r="N3032" s="298"/>
      <c r="O3032" s="367">
        <f>TrialBalanceC!K47</f>
        <v>0</v>
      </c>
      <c r="P3032" s="295"/>
      <c r="Q3032" s="442"/>
      <c r="R3032" s="403" t="str">
        <f t="shared" si="229"/>
        <v>DELETE</v>
      </c>
      <c r="S3032" s="383"/>
      <c r="T3032" s="383"/>
      <c r="U3032" s="383"/>
      <c r="V3032" s="383"/>
      <c r="W3032" s="383"/>
      <c r="X3032" s="383"/>
    </row>
    <row r="3033" spans="2:24" ht="31.5" customHeight="1" x14ac:dyDescent="0.45">
      <c r="B3033" s="441"/>
      <c r="C3033" s="417"/>
      <c r="D3033" s="400" t="s">
        <v>725</v>
      </c>
      <c r="J3033" s="292"/>
      <c r="K3033" s="292"/>
      <c r="L3033" s="292"/>
      <c r="M3033" s="354">
        <f>TrialBalanceC!I48</f>
        <v>0</v>
      </c>
      <c r="N3033" s="298"/>
      <c r="O3033" s="367">
        <f>TrialBalanceC!K48</f>
        <v>0</v>
      </c>
      <c r="P3033" s="295"/>
      <c r="Q3033" s="442"/>
      <c r="R3033" s="403" t="str">
        <f t="shared" si="229"/>
        <v>DELETE</v>
      </c>
    </row>
    <row r="3034" spans="2:24" ht="31.5" customHeight="1" x14ac:dyDescent="0.45">
      <c r="B3034" s="441"/>
      <c r="C3034" s="417"/>
      <c r="D3034" s="400" t="s">
        <v>59</v>
      </c>
      <c r="J3034" s="292"/>
      <c r="K3034" s="292"/>
      <c r="L3034" s="292"/>
      <c r="M3034" s="354">
        <f>TrialBalanceC!I49</f>
        <v>0</v>
      </c>
      <c r="N3034" s="298"/>
      <c r="O3034" s="367">
        <f>TrialBalanceC!K49</f>
        <v>0</v>
      </c>
      <c r="P3034" s="295"/>
      <c r="Q3034" s="442"/>
      <c r="R3034" s="403" t="str">
        <f t="shared" si="229"/>
        <v>DELETE</v>
      </c>
    </row>
    <row r="3035" spans="2:24" ht="31.5" customHeight="1" x14ac:dyDescent="0.45">
      <c r="B3035" s="441"/>
      <c r="C3035" s="417"/>
      <c r="D3035" s="400" t="s">
        <v>278</v>
      </c>
      <c r="J3035" s="292"/>
      <c r="K3035" s="292"/>
      <c r="L3035" s="292"/>
      <c r="M3035" s="354">
        <f>TrialBalanceC!I50</f>
        <v>0</v>
      </c>
      <c r="N3035" s="298"/>
      <c r="O3035" s="367">
        <f>TrialBalanceC!K50</f>
        <v>0</v>
      </c>
      <c r="P3035" s="295"/>
      <c r="Q3035" s="442"/>
      <c r="R3035" s="403" t="str">
        <f t="shared" si="229"/>
        <v>DELETE</v>
      </c>
    </row>
    <row r="3036" spans="2:24" ht="31.5" customHeight="1" x14ac:dyDescent="0.45">
      <c r="B3036" s="441"/>
      <c r="C3036" s="417"/>
      <c r="D3036" s="400" t="s">
        <v>546</v>
      </c>
      <c r="J3036" s="292"/>
      <c r="K3036" s="292"/>
      <c r="L3036" s="292"/>
      <c r="M3036" s="354">
        <f>SUM(TrialBalanceC!I51:I52)</f>
        <v>0</v>
      </c>
      <c r="N3036" s="298"/>
      <c r="O3036" s="367">
        <f>SUM(TrialBalanceC!K51:K52)</f>
        <v>0</v>
      </c>
      <c r="P3036" s="295"/>
      <c r="Q3036" s="442"/>
      <c r="R3036" s="403" t="str">
        <f t="shared" si="229"/>
        <v>DELETE</v>
      </c>
    </row>
    <row r="3037" spans="2:24" ht="31.5" customHeight="1" x14ac:dyDescent="0.45">
      <c r="B3037" s="441"/>
      <c r="C3037" s="417"/>
      <c r="D3037" s="400" t="s">
        <v>545</v>
      </c>
      <c r="J3037" s="292"/>
      <c r="K3037" s="292"/>
      <c r="L3037" s="292"/>
      <c r="M3037" s="354">
        <f>TrialBalanceC!I53</f>
        <v>0</v>
      </c>
      <c r="N3037" s="298"/>
      <c r="O3037" s="367">
        <f>TrialBalanceC!K53</f>
        <v>0</v>
      </c>
      <c r="P3037" s="295"/>
      <c r="Q3037" s="442"/>
      <c r="R3037" s="403" t="str">
        <f t="shared" si="229"/>
        <v>DELETE</v>
      </c>
    </row>
    <row r="3038" spans="2:24" ht="31.5" customHeight="1" x14ac:dyDescent="0.45">
      <c r="B3038" s="441"/>
      <c r="C3038" s="417"/>
      <c r="D3038" s="400" t="s">
        <v>530</v>
      </c>
      <c r="J3038" s="292"/>
      <c r="K3038" s="292"/>
      <c r="L3038" s="292"/>
      <c r="M3038" s="354">
        <f>SUM(TrialBalanceC!I55:I59)</f>
        <v>0</v>
      </c>
      <c r="N3038" s="298"/>
      <c r="O3038" s="367">
        <f>SUM(TrialBalanceC!K55:K59)</f>
        <v>0</v>
      </c>
      <c r="P3038" s="295"/>
      <c r="Q3038" s="442"/>
      <c r="R3038" s="403" t="str">
        <f t="shared" si="229"/>
        <v>DELETE</v>
      </c>
    </row>
    <row r="3039" spans="2:24" ht="31.5" customHeight="1" x14ac:dyDescent="0.45">
      <c r="B3039" s="441"/>
      <c r="C3039" s="417"/>
      <c r="D3039" s="400" t="s">
        <v>512</v>
      </c>
      <c r="J3039" s="292"/>
      <c r="K3039" s="292">
        <f>FS!C$908</f>
        <v>5.1999999999999993</v>
      </c>
      <c r="L3039" s="292"/>
      <c r="M3039" s="354">
        <f>SUM(TrialBalanceC!I61:I63)</f>
        <v>0</v>
      </c>
      <c r="N3039" s="298"/>
      <c r="O3039" s="367">
        <f>SUM(TrialBalanceC!K61:K63)</f>
        <v>0</v>
      </c>
      <c r="P3039" s="295"/>
      <c r="Q3039" s="442"/>
      <c r="R3039" s="403" t="str">
        <f t="shared" si="229"/>
        <v>DELETE</v>
      </c>
    </row>
    <row r="3040" spans="2:24" ht="31.5" customHeight="1" x14ac:dyDescent="0.45">
      <c r="B3040" s="441"/>
      <c r="C3040" s="417"/>
      <c r="D3040" s="400" t="s">
        <v>62</v>
      </c>
      <c r="J3040" s="292"/>
      <c r="K3040" s="292"/>
      <c r="L3040" s="292"/>
      <c r="M3040" s="354">
        <f>TrialBalanceC!I64</f>
        <v>0</v>
      </c>
      <c r="N3040" s="298"/>
      <c r="O3040" s="367">
        <f>TrialBalanceC!K64</f>
        <v>0</v>
      </c>
      <c r="P3040" s="295"/>
      <c r="Q3040" s="442"/>
      <c r="R3040" s="403" t="str">
        <f t="shared" si="229"/>
        <v>DELETE</v>
      </c>
    </row>
    <row r="3041" spans="2:18" ht="31.5" customHeight="1" x14ac:dyDescent="0.45">
      <c r="B3041" s="441"/>
      <c r="C3041" s="417"/>
      <c r="D3041" s="400" t="s">
        <v>253</v>
      </c>
      <c r="J3041" s="292"/>
      <c r="K3041" s="292"/>
      <c r="L3041" s="292"/>
      <c r="M3041" s="354">
        <f>SUM(TrialBalanceC!I65:I67)</f>
        <v>0</v>
      </c>
      <c r="N3041" s="298"/>
      <c r="O3041" s="367">
        <f>SUM(TrialBalanceC!K65:K67)</f>
        <v>0</v>
      </c>
      <c r="P3041" s="295"/>
      <c r="Q3041" s="442"/>
      <c r="R3041" s="403" t="str">
        <f t="shared" si="229"/>
        <v>DELETE</v>
      </c>
    </row>
    <row r="3042" spans="2:18" ht="31.5" customHeight="1" x14ac:dyDescent="0.45">
      <c r="B3042" s="441"/>
      <c r="C3042" s="417"/>
      <c r="D3042" s="400" t="s">
        <v>726</v>
      </c>
      <c r="J3042" s="292"/>
      <c r="K3042" s="292"/>
      <c r="L3042" s="292"/>
      <c r="M3042" s="354">
        <f>SUM(TrialBalanceC!I68:I69)</f>
        <v>0</v>
      </c>
      <c r="N3042" s="298"/>
      <c r="O3042" s="367">
        <f>SUM(TrialBalanceC!K68:K69)</f>
        <v>0</v>
      </c>
      <c r="P3042" s="295"/>
      <c r="Q3042" s="442"/>
      <c r="R3042" s="403" t="str">
        <f t="shared" si="229"/>
        <v>DELETE</v>
      </c>
    </row>
    <row r="3043" spans="2:18" ht="31.5" customHeight="1" x14ac:dyDescent="0.45">
      <c r="B3043" s="441"/>
      <c r="C3043" s="417"/>
      <c r="D3043" s="400" t="s">
        <v>254</v>
      </c>
      <c r="J3043" s="292"/>
      <c r="K3043" s="292"/>
      <c r="L3043" s="292"/>
      <c r="M3043" s="354">
        <f>TrialBalanceC!I70</f>
        <v>0</v>
      </c>
      <c r="N3043" s="298"/>
      <c r="O3043" s="367">
        <f>TrialBalanceC!K70</f>
        <v>0</v>
      </c>
      <c r="P3043" s="295"/>
      <c r="Q3043" s="442"/>
      <c r="R3043" s="403" t="str">
        <f t="shared" si="229"/>
        <v>DELETE</v>
      </c>
    </row>
    <row r="3044" spans="2:18" ht="31.5" customHeight="1" x14ac:dyDescent="0.45">
      <c r="B3044" s="441"/>
      <c r="C3044" s="417"/>
      <c r="D3044" s="400" t="s">
        <v>387</v>
      </c>
      <c r="J3044" s="292"/>
      <c r="K3044" s="292"/>
      <c r="L3044" s="292"/>
      <c r="M3044" s="354">
        <f>TrialBalanceC!I71</f>
        <v>0</v>
      </c>
      <c r="N3044" s="298"/>
      <c r="O3044" s="367">
        <f>TrialBalanceC!K71</f>
        <v>0</v>
      </c>
      <c r="P3044" s="295"/>
      <c r="Q3044" s="442"/>
      <c r="R3044" s="403" t="str">
        <f t="shared" si="229"/>
        <v>DELETE</v>
      </c>
    </row>
    <row r="3045" spans="2:18" ht="31.5" customHeight="1" x14ac:dyDescent="0.45">
      <c r="B3045" s="441"/>
      <c r="C3045" s="417"/>
      <c r="D3045" s="400">
        <f>TrialBalanceC!C72</f>
        <v>0</v>
      </c>
      <c r="J3045" s="292"/>
      <c r="K3045" s="292"/>
      <c r="L3045" s="292"/>
      <c r="M3045" s="354">
        <f>TrialBalanceC!I72</f>
        <v>0</v>
      </c>
      <c r="N3045" s="298"/>
      <c r="O3045" s="367">
        <f>TrialBalanceC!K72</f>
        <v>0</v>
      </c>
      <c r="P3045" s="295"/>
      <c r="Q3045" s="442"/>
      <c r="R3045" s="403" t="str">
        <f t="shared" si="229"/>
        <v>DELETE</v>
      </c>
    </row>
    <row r="3046" spans="2:18" ht="31.5" customHeight="1" x14ac:dyDescent="0.45">
      <c r="B3046" s="441"/>
      <c r="C3046" s="417"/>
      <c r="D3046" s="400">
        <f>TrialBalanceC!C73</f>
        <v>0</v>
      </c>
      <c r="J3046" s="292"/>
      <c r="K3046" s="292"/>
      <c r="L3046" s="292"/>
      <c r="M3046" s="354">
        <f>TrialBalanceC!I73</f>
        <v>0</v>
      </c>
      <c r="N3046" s="298"/>
      <c r="O3046" s="367">
        <f>TrialBalanceC!K73</f>
        <v>0</v>
      </c>
      <c r="P3046" s="295"/>
      <c r="Q3046" s="442"/>
      <c r="R3046" s="403" t="str">
        <f t="shared" si="229"/>
        <v>DELETE</v>
      </c>
    </row>
    <row r="3047" spans="2:18" ht="31.5" customHeight="1" x14ac:dyDescent="0.45">
      <c r="B3047" s="441"/>
      <c r="C3047" s="417"/>
      <c r="D3047" s="400">
        <f>TrialBalanceC!C74</f>
        <v>0</v>
      </c>
      <c r="J3047" s="292"/>
      <c r="K3047" s="292"/>
      <c r="L3047" s="292"/>
      <c r="M3047" s="354">
        <f>TrialBalanceC!I74</f>
        <v>0</v>
      </c>
      <c r="N3047" s="298"/>
      <c r="O3047" s="367">
        <f>TrialBalanceC!K74</f>
        <v>0</v>
      </c>
      <c r="P3047" s="295"/>
      <c r="Q3047" s="442"/>
      <c r="R3047" s="403" t="str">
        <f t="shared" si="229"/>
        <v>DELETE</v>
      </c>
    </row>
    <row r="3048" spans="2:18" ht="31.5" customHeight="1" x14ac:dyDescent="0.45">
      <c r="B3048" s="441"/>
      <c r="C3048" s="417"/>
      <c r="D3048" s="400">
        <f>TrialBalanceC!C75</f>
        <v>0</v>
      </c>
      <c r="J3048" s="292"/>
      <c r="K3048" s="292"/>
      <c r="L3048" s="292"/>
      <c r="M3048" s="354">
        <f>TrialBalanceC!I75</f>
        <v>0</v>
      </c>
      <c r="N3048" s="298"/>
      <c r="O3048" s="367">
        <f>TrialBalanceC!K75</f>
        <v>0</v>
      </c>
      <c r="P3048" s="295"/>
      <c r="Q3048" s="442"/>
      <c r="R3048" s="403" t="str">
        <f t="shared" si="229"/>
        <v>DELETE</v>
      </c>
    </row>
    <row r="3049" spans="2:18" ht="31.5" customHeight="1" x14ac:dyDescent="0.45">
      <c r="B3049" s="441"/>
      <c r="C3049" s="417"/>
      <c r="D3049" s="400">
        <f>TrialBalanceC!C76</f>
        <v>0</v>
      </c>
      <c r="J3049" s="292"/>
      <c r="K3049" s="292"/>
      <c r="L3049" s="292"/>
      <c r="M3049" s="354">
        <f>TrialBalanceC!I76</f>
        <v>0</v>
      </c>
      <c r="N3049" s="298"/>
      <c r="O3049" s="367">
        <f>TrialBalanceC!K76</f>
        <v>0</v>
      </c>
      <c r="P3049" s="295"/>
      <c r="Q3049" s="442"/>
      <c r="R3049" s="403" t="str">
        <f t="shared" si="229"/>
        <v>DELETE</v>
      </c>
    </row>
    <row r="3050" spans="2:18" ht="31.5" customHeight="1" x14ac:dyDescent="0.45">
      <c r="B3050" s="441"/>
      <c r="C3050" s="417"/>
      <c r="D3050" s="400">
        <f>TrialBalanceC!C77</f>
        <v>0</v>
      </c>
      <c r="J3050" s="292"/>
      <c r="K3050" s="292"/>
      <c r="L3050" s="292"/>
      <c r="M3050" s="354">
        <f>TrialBalanceC!I77</f>
        <v>0</v>
      </c>
      <c r="N3050" s="298"/>
      <c r="O3050" s="367">
        <f>TrialBalanceC!K77</f>
        <v>0</v>
      </c>
      <c r="P3050" s="295"/>
      <c r="Q3050" s="442"/>
      <c r="R3050" s="403" t="str">
        <f t="shared" si="229"/>
        <v>DELETE</v>
      </c>
    </row>
    <row r="3051" spans="2:18" ht="31.5" customHeight="1" x14ac:dyDescent="0.45">
      <c r="B3051" s="441"/>
      <c r="C3051" s="417"/>
      <c r="D3051" s="400">
        <f>TrialBalanceC!C78</f>
        <v>0</v>
      </c>
      <c r="J3051" s="292"/>
      <c r="K3051" s="292"/>
      <c r="L3051" s="292"/>
      <c r="M3051" s="354">
        <f>TrialBalanceC!I78</f>
        <v>0</v>
      </c>
      <c r="N3051" s="298"/>
      <c r="O3051" s="367">
        <f>TrialBalanceC!K78</f>
        <v>0</v>
      </c>
      <c r="P3051" s="295"/>
      <c r="Q3051" s="442"/>
      <c r="R3051" s="403" t="str">
        <f t="shared" si="229"/>
        <v>DELETE</v>
      </c>
    </row>
    <row r="3052" spans="2:18" ht="31.5" customHeight="1" x14ac:dyDescent="0.45">
      <c r="B3052" s="441"/>
      <c r="C3052" s="417"/>
      <c r="D3052" s="400">
        <f>TrialBalanceC!C79</f>
        <v>0</v>
      </c>
      <c r="J3052" s="292"/>
      <c r="K3052" s="292"/>
      <c r="L3052" s="292"/>
      <c r="M3052" s="354">
        <f>TrialBalanceC!I79</f>
        <v>0</v>
      </c>
      <c r="N3052" s="298"/>
      <c r="O3052" s="367">
        <f>TrialBalanceC!K79</f>
        <v>0</v>
      </c>
      <c r="P3052" s="295"/>
      <c r="Q3052" s="442"/>
      <c r="R3052" s="403" t="str">
        <f t="shared" si="229"/>
        <v>DELETE</v>
      </c>
    </row>
    <row r="3053" spans="2:18" ht="31.5" customHeight="1" x14ac:dyDescent="0.45">
      <c r="B3053" s="441"/>
      <c r="C3053" s="417"/>
      <c r="D3053" s="400">
        <f>TrialBalanceC!C80</f>
        <v>0</v>
      </c>
      <c r="J3053" s="292"/>
      <c r="K3053" s="292"/>
      <c r="L3053" s="292"/>
      <c r="M3053" s="354">
        <f>TrialBalanceC!I80</f>
        <v>0</v>
      </c>
      <c r="N3053" s="298"/>
      <c r="O3053" s="367">
        <f>TrialBalanceC!K80</f>
        <v>0</v>
      </c>
      <c r="P3053" s="295"/>
      <c r="Q3053" s="442"/>
      <c r="R3053" s="403" t="str">
        <f t="shared" si="229"/>
        <v>DELETE</v>
      </c>
    </row>
    <row r="3054" spans="2:18" ht="31.5" customHeight="1" x14ac:dyDescent="0.45">
      <c r="B3054" s="441"/>
      <c r="C3054" s="417"/>
      <c r="D3054" s="400">
        <f>TrialBalanceC!C81</f>
        <v>0</v>
      </c>
      <c r="J3054" s="292"/>
      <c r="K3054" s="292"/>
      <c r="L3054" s="292"/>
      <c r="M3054" s="354">
        <f>TrialBalanceC!I81</f>
        <v>0</v>
      </c>
      <c r="N3054" s="298"/>
      <c r="O3054" s="367">
        <f>TrialBalanceC!K81</f>
        <v>0</v>
      </c>
      <c r="P3054" s="295"/>
      <c r="Q3054" s="442"/>
      <c r="R3054" s="403" t="str">
        <f t="shared" si="229"/>
        <v>DELETE</v>
      </c>
    </row>
    <row r="3055" spans="2:18" ht="9" customHeight="1" x14ac:dyDescent="0.45">
      <c r="B3055" s="441"/>
      <c r="C3055" s="417"/>
      <c r="J3055" s="292"/>
      <c r="K3055" s="292"/>
      <c r="L3055" s="292"/>
      <c r="M3055" s="355"/>
      <c r="N3055" s="300"/>
      <c r="O3055" s="368"/>
      <c r="P3055" s="295"/>
      <c r="Q3055" s="442"/>
      <c r="R3055" s="403" t="str">
        <f>R3025</f>
        <v>DELETE</v>
      </c>
    </row>
    <row r="3056" spans="2:18" ht="9" customHeight="1" x14ac:dyDescent="0.45">
      <c r="B3056" s="441"/>
      <c r="C3056" s="417"/>
      <c r="J3056" s="292"/>
      <c r="K3056" s="292"/>
      <c r="L3056" s="292"/>
      <c r="M3056" s="349"/>
      <c r="N3056" s="300"/>
      <c r="O3056" s="349"/>
      <c r="P3056" s="295"/>
      <c r="Q3056" s="442"/>
      <c r="R3056" s="403" t="str">
        <f t="shared" ref="R3056:R3076" si="230">R$2979</f>
        <v>DELETE</v>
      </c>
    </row>
    <row r="3057" spans="2:26" ht="9" customHeight="1" x14ac:dyDescent="0.45">
      <c r="B3057" s="441"/>
      <c r="C3057" s="417"/>
      <c r="J3057" s="292"/>
      <c r="K3057" s="292"/>
      <c r="L3057" s="292"/>
      <c r="M3057" s="347"/>
      <c r="N3057" s="298"/>
      <c r="O3057" s="347"/>
      <c r="P3057" s="295"/>
      <c r="Q3057" s="442"/>
      <c r="R3057" s="403" t="str">
        <f t="shared" si="230"/>
        <v>DELETE</v>
      </c>
    </row>
    <row r="3058" spans="2:26" ht="31.5" customHeight="1" x14ac:dyDescent="0.45">
      <c r="B3058" s="441"/>
      <c r="C3058" s="315" t="str">
        <f>IF((Y3058+Z3058)=3,"OPERATING PROFIT/(LOSS)",(IF((Y3058+Z3058=4),"OPERATING PROFIT","OPERATING LOSS")))</f>
        <v>OPERATING PROFIT</v>
      </c>
      <c r="J3058" s="292"/>
      <c r="K3058" s="292"/>
      <c r="L3058" s="292"/>
      <c r="M3058" s="347">
        <f>SUM(S2991:S3056)</f>
        <v>0</v>
      </c>
      <c r="N3058" s="298"/>
      <c r="O3058" s="347">
        <f>SUM(U2991:U3056)</f>
        <v>0</v>
      </c>
      <c r="P3058" s="295"/>
      <c r="Q3058" s="442"/>
      <c r="R3058" s="403" t="str">
        <f t="shared" si="230"/>
        <v>DELETE</v>
      </c>
      <c r="Y3058" s="378">
        <f>IF(M3058&lt;0,1,IF(M3058=0,IF(O3058&lt;0,1,2),2))</f>
        <v>2</v>
      </c>
      <c r="Z3058" s="378">
        <f>IF(O3058&lt;0,1,IF(O3058=0,IF(M3058&lt;0,1,2),2))</f>
        <v>2</v>
      </c>
    </row>
    <row r="3059" spans="2:26" ht="31.5" customHeight="1" x14ac:dyDescent="0.45">
      <c r="B3059" s="441"/>
      <c r="C3059" s="417"/>
      <c r="D3059" s="400" t="s">
        <v>256</v>
      </c>
      <c r="J3059" s="292"/>
      <c r="K3059" s="292"/>
      <c r="L3059" s="292"/>
      <c r="M3059" s="347"/>
      <c r="N3059" s="298"/>
      <c r="O3059" s="347"/>
      <c r="P3059" s="295"/>
      <c r="Q3059" s="442"/>
      <c r="R3059" s="403" t="str">
        <f t="shared" si="230"/>
        <v>DELETE</v>
      </c>
    </row>
    <row r="3060" spans="2:26" ht="31.5" customHeight="1" x14ac:dyDescent="0.45">
      <c r="B3060" s="441"/>
      <c r="C3060" s="417"/>
      <c r="J3060" s="292"/>
      <c r="K3060" s="292"/>
      <c r="L3060" s="292"/>
      <c r="M3060" s="347"/>
      <c r="N3060" s="298"/>
      <c r="O3060" s="347"/>
      <c r="P3060" s="295"/>
      <c r="Q3060" s="442"/>
      <c r="R3060" s="403" t="str">
        <f t="shared" si="230"/>
        <v>DELETE</v>
      </c>
    </row>
    <row r="3061" spans="2:26" ht="31.5" customHeight="1" x14ac:dyDescent="0.45">
      <c r="B3061" s="441"/>
      <c r="C3061" s="417"/>
      <c r="J3061" s="292"/>
      <c r="K3061" s="292"/>
      <c r="L3061" s="292"/>
      <c r="M3061" s="347"/>
      <c r="N3061" s="298"/>
      <c r="O3061" s="347"/>
      <c r="P3061" s="295"/>
      <c r="Q3061" s="442"/>
      <c r="R3061" s="403" t="str">
        <f t="shared" si="230"/>
        <v>DELETE</v>
      </c>
    </row>
    <row r="3062" spans="2:26" ht="31.5" customHeight="1" x14ac:dyDescent="0.45">
      <c r="B3062" s="445"/>
      <c r="C3062" s="465"/>
      <c r="D3062" s="429"/>
      <c r="E3062" s="429"/>
      <c r="F3062" s="429"/>
      <c r="G3062" s="429"/>
      <c r="H3062" s="429"/>
      <c r="I3062" s="429"/>
      <c r="J3062" s="306"/>
      <c r="K3062" s="306"/>
      <c r="L3062" s="306"/>
      <c r="M3062" s="349"/>
      <c r="N3062" s="300"/>
      <c r="O3062" s="349"/>
      <c r="P3062" s="307"/>
      <c r="Q3062" s="446"/>
      <c r="R3062" s="403" t="str">
        <f t="shared" si="230"/>
        <v>DELETE</v>
      </c>
    </row>
    <row r="3063" spans="2:26" ht="31.5" customHeight="1" x14ac:dyDescent="0.45">
      <c r="C3063" s="417"/>
      <c r="J3063" s="292"/>
      <c r="K3063" s="292"/>
      <c r="L3063" s="292"/>
      <c r="M3063" s="347"/>
      <c r="N3063" s="298"/>
      <c r="O3063" s="347"/>
      <c r="P3063" s="295"/>
      <c r="R3063" s="403" t="str">
        <f t="shared" si="230"/>
        <v>DELETE</v>
      </c>
    </row>
    <row r="3064" spans="2:26" ht="31.5" customHeight="1" x14ac:dyDescent="0.45">
      <c r="C3064" s="417"/>
      <c r="J3064" s="292"/>
      <c r="K3064" s="292"/>
      <c r="L3064" s="292"/>
      <c r="M3064" s="347"/>
      <c r="N3064" s="298"/>
      <c r="O3064" s="347"/>
      <c r="P3064" s="295"/>
      <c r="R3064" s="403" t="str">
        <f t="shared" si="230"/>
        <v>DELETE</v>
      </c>
    </row>
    <row r="3065" spans="2:26" ht="31.5" customHeight="1" x14ac:dyDescent="0.45">
      <c r="C3065" s="417"/>
      <c r="D3065" s="417">
        <f>Criteria!E16</f>
        <v>0</v>
      </c>
      <c r="J3065" s="292"/>
      <c r="K3065" s="292"/>
      <c r="L3065" s="292"/>
      <c r="M3065" s="347"/>
      <c r="N3065" s="298"/>
      <c r="O3065" s="347" t="s">
        <v>96</v>
      </c>
      <c r="P3065" s="295"/>
      <c r="Q3065" s="292">
        <f>MAX($Q$2982:Q3064)+1</f>
        <v>2</v>
      </c>
      <c r="R3065" s="403" t="str">
        <f t="shared" si="230"/>
        <v>DELETE</v>
      </c>
    </row>
    <row r="3066" spans="2:26" ht="31.5" customHeight="1" x14ac:dyDescent="0.45">
      <c r="C3066" s="417"/>
      <c r="D3066" s="405"/>
      <c r="J3066" s="292"/>
      <c r="K3066" s="292"/>
      <c r="L3066" s="292"/>
      <c r="M3066" s="347"/>
      <c r="N3066" s="298"/>
      <c r="O3066" s="347"/>
      <c r="P3066" s="295"/>
      <c r="R3066" s="403" t="str">
        <f t="shared" si="230"/>
        <v>DELETE</v>
      </c>
    </row>
    <row r="3067" spans="2:26" ht="31.5" customHeight="1" x14ac:dyDescent="0.45">
      <c r="C3067" s="417"/>
      <c r="J3067" s="292"/>
      <c r="K3067" s="292"/>
      <c r="L3067" s="292"/>
      <c r="M3067" s="347"/>
      <c r="N3067" s="298"/>
      <c r="O3067" s="347"/>
      <c r="P3067" s="295"/>
      <c r="R3067" s="403" t="str">
        <f t="shared" si="230"/>
        <v>DELETE</v>
      </c>
    </row>
    <row r="3068" spans="2:26" ht="31.5" customHeight="1" x14ac:dyDescent="0.45">
      <c r="C3068" s="417"/>
      <c r="D3068" s="417" t="s">
        <v>91</v>
      </c>
      <c r="J3068" s="292"/>
      <c r="K3068" s="292"/>
      <c r="L3068" s="292"/>
      <c r="M3068" s="347"/>
      <c r="N3068" s="298"/>
      <c r="O3068" s="347"/>
      <c r="P3068" s="295"/>
      <c r="R3068" s="403" t="str">
        <f t="shared" si="230"/>
        <v>DELETE</v>
      </c>
    </row>
    <row r="3069" spans="2:26" ht="31.5" customHeight="1" x14ac:dyDescent="0.45">
      <c r="C3069" s="417"/>
      <c r="D3069" s="417" t="str">
        <f>D2986</f>
        <v>29 FEBRUARY 2024</v>
      </c>
      <c r="H3069" s="400" t="s">
        <v>102</v>
      </c>
      <c r="J3069" s="292"/>
      <c r="K3069" s="292"/>
      <c r="L3069" s="292"/>
      <c r="M3069" s="347"/>
      <c r="N3069" s="298"/>
      <c r="O3069" s="347"/>
      <c r="P3069" s="295"/>
      <c r="R3069" s="403" t="str">
        <f t="shared" si="230"/>
        <v>DELETE</v>
      </c>
    </row>
    <row r="3070" spans="2:26" ht="31.5" customHeight="1" x14ac:dyDescent="0.45">
      <c r="C3070" s="417"/>
      <c r="J3070" s="292"/>
      <c r="K3070" s="306"/>
      <c r="L3070" s="306"/>
      <c r="M3070" s="349"/>
      <c r="N3070" s="300"/>
      <c r="O3070" s="349"/>
      <c r="P3070" s="295"/>
      <c r="R3070" s="403" t="str">
        <f t="shared" si="230"/>
        <v>DELETE</v>
      </c>
    </row>
    <row r="3071" spans="2:26" ht="31.5" customHeight="1" x14ac:dyDescent="0.45">
      <c r="B3071" s="438"/>
      <c r="C3071" s="458"/>
      <c r="D3071" s="439"/>
      <c r="E3071" s="439"/>
      <c r="F3071" s="439"/>
      <c r="G3071" s="439"/>
      <c r="H3071" s="439"/>
      <c r="I3071" s="439"/>
      <c r="J3071" s="320"/>
      <c r="M3071" s="426"/>
      <c r="N3071" s="406"/>
      <c r="O3071" s="426"/>
      <c r="P3071" s="319"/>
      <c r="Q3071" s="440"/>
      <c r="R3071" s="403" t="str">
        <f t="shared" si="230"/>
        <v>DELETE</v>
      </c>
    </row>
    <row r="3072" spans="2:26" ht="31.5" customHeight="1" x14ac:dyDescent="0.45">
      <c r="B3072" s="441"/>
      <c r="C3072" s="417"/>
      <c r="J3072" s="292"/>
      <c r="K3072" s="292"/>
      <c r="L3072" s="292"/>
      <c r="M3072" s="344">
        <f>Criteria!E22</f>
        <v>2024</v>
      </c>
      <c r="N3072" s="294"/>
      <c r="O3072" s="344">
        <f>Criteria!E27</f>
        <v>2023</v>
      </c>
      <c r="P3072" s="295"/>
      <c r="Q3072" s="442"/>
      <c r="R3072" s="403" t="str">
        <f t="shared" si="230"/>
        <v>DELETE</v>
      </c>
    </row>
    <row r="3073" spans="2:26" ht="31.5" customHeight="1" x14ac:dyDescent="0.45">
      <c r="B3073" s="441"/>
      <c r="C3073" s="417"/>
      <c r="J3073" s="292"/>
      <c r="K3073" s="292"/>
      <c r="L3073" s="292"/>
      <c r="M3073" s="347"/>
      <c r="N3073" s="298"/>
      <c r="O3073" s="347"/>
      <c r="P3073" s="295"/>
      <c r="Q3073" s="442"/>
      <c r="R3073" s="403" t="str">
        <f t="shared" si="230"/>
        <v>DELETE</v>
      </c>
    </row>
    <row r="3074" spans="2:26" ht="31.5" customHeight="1" x14ac:dyDescent="0.45">
      <c r="B3074" s="441"/>
      <c r="C3074" s="315" t="str">
        <f>IF((Y3074+Z3074)=3,"OPERATING PROFIT/(LOSS)",(IF((Y3074+Z3074=4),"OPERATING PROFIT","OPERATING LOSS")))</f>
        <v>OPERATING PROFIT</v>
      </c>
      <c r="J3074" s="292"/>
      <c r="K3074" s="292"/>
      <c r="L3074" s="292"/>
      <c r="M3074" s="347">
        <f>SUM(S2991:S3055)</f>
        <v>0</v>
      </c>
      <c r="N3074" s="298"/>
      <c r="O3074" s="347">
        <f>SUM(U2991:U3055)</f>
        <v>0</v>
      </c>
      <c r="P3074" s="295"/>
      <c r="Q3074" s="442"/>
      <c r="R3074" s="403" t="str">
        <f t="shared" si="230"/>
        <v>DELETE</v>
      </c>
      <c r="V3074" s="378" t="b">
        <f>M3074=M3058</f>
        <v>1</v>
      </c>
      <c r="X3074" s="378" t="b">
        <f>O3074=O3058</f>
        <v>1</v>
      </c>
      <c r="Y3074" s="378">
        <f>IF(M3074&lt;0,1,IF(M3074=0,IF(O3074&lt;0,1,2),2))</f>
        <v>2</v>
      </c>
      <c r="Z3074" s="378">
        <f>IF(O3074&lt;0,1,IF(O3074=0,IF(M3074&lt;0,1,2),2))</f>
        <v>2</v>
      </c>
    </row>
    <row r="3075" spans="2:26" ht="31.5" customHeight="1" x14ac:dyDescent="0.45">
      <c r="B3075" s="441"/>
      <c r="C3075" s="417"/>
      <c r="D3075" s="400" t="s">
        <v>257</v>
      </c>
      <c r="J3075" s="292"/>
      <c r="K3075" s="292"/>
      <c r="L3075" s="292"/>
      <c r="M3075" s="347"/>
      <c r="N3075" s="298"/>
      <c r="O3075" s="347"/>
      <c r="P3075" s="295"/>
      <c r="Q3075" s="442"/>
      <c r="R3075" s="403" t="str">
        <f t="shared" si="230"/>
        <v>DELETE</v>
      </c>
    </row>
    <row r="3076" spans="2:26" ht="31.5" customHeight="1" x14ac:dyDescent="0.45">
      <c r="B3076" s="441"/>
      <c r="C3076" s="417"/>
      <c r="J3076" s="292"/>
      <c r="K3076" s="292"/>
      <c r="L3076" s="292"/>
      <c r="M3076" s="347"/>
      <c r="N3076" s="298"/>
      <c r="O3076" s="347"/>
      <c r="P3076" s="295"/>
      <c r="Q3076" s="442"/>
      <c r="R3076" s="403" t="str">
        <f t="shared" si="230"/>
        <v>DELETE</v>
      </c>
    </row>
    <row r="3077" spans="2:26" ht="31.5" customHeight="1" x14ac:dyDescent="0.45">
      <c r="B3077" s="441"/>
      <c r="C3077" s="417" t="s">
        <v>906</v>
      </c>
      <c r="J3077" s="292"/>
      <c r="K3077" s="292"/>
      <c r="L3077" s="292"/>
      <c r="M3077" s="347">
        <f>SUM(M3080:M3113)</f>
        <v>0</v>
      </c>
      <c r="N3077" s="298"/>
      <c r="O3077" s="347">
        <f>SUM(O3080:O3113)</f>
        <v>0</v>
      </c>
      <c r="P3077" s="295"/>
      <c r="Q3077" s="442"/>
      <c r="R3077" s="403" t="str">
        <f t="shared" ref="R3077" si="231">IF(R$2979="DELETE","DELETE",IF(M3077+O3077=0,"DELETE"," "))</f>
        <v>DELETE</v>
      </c>
      <c r="S3077" s="380">
        <f>-M3077</f>
        <v>0</v>
      </c>
      <c r="T3077" s="380"/>
      <c r="U3077" s="380">
        <f>-O3077</f>
        <v>0</v>
      </c>
      <c r="V3077" s="380"/>
      <c r="W3077" s="380"/>
      <c r="X3077" s="380"/>
    </row>
    <row r="3078" spans="2:26" ht="9" customHeight="1" x14ac:dyDescent="0.45">
      <c r="B3078" s="441"/>
      <c r="C3078" s="417"/>
      <c r="J3078" s="292"/>
      <c r="K3078" s="292"/>
      <c r="L3078" s="292"/>
      <c r="M3078" s="347"/>
      <c r="N3078" s="298"/>
      <c r="O3078" s="347"/>
      <c r="P3078" s="295"/>
      <c r="Q3078" s="442"/>
      <c r="R3078" s="403" t="str">
        <f>R3077</f>
        <v>DELETE</v>
      </c>
    </row>
    <row r="3079" spans="2:26" ht="9" customHeight="1" x14ac:dyDescent="0.45">
      <c r="B3079" s="441"/>
      <c r="C3079" s="417"/>
      <c r="J3079" s="292"/>
      <c r="K3079" s="292"/>
      <c r="L3079" s="292"/>
      <c r="M3079" s="353"/>
      <c r="N3079" s="299"/>
      <c r="O3079" s="366"/>
      <c r="P3079" s="295"/>
      <c r="Q3079" s="442"/>
      <c r="R3079" s="403" t="str">
        <f>R3078</f>
        <v>DELETE</v>
      </c>
    </row>
    <row r="3080" spans="2:26" ht="31.5" customHeight="1" x14ac:dyDescent="0.45">
      <c r="B3080" s="441"/>
      <c r="C3080" s="417"/>
      <c r="D3080" s="400" t="s">
        <v>215</v>
      </c>
      <c r="J3080" s="292"/>
      <c r="K3080" s="292"/>
      <c r="L3080" s="292"/>
      <c r="M3080" s="354">
        <f>SUM(TrialBalanceC!I98:I101)</f>
        <v>0</v>
      </c>
      <c r="N3080" s="298"/>
      <c r="O3080" s="367">
        <f>SUM(TrialBalanceC!K98:K101)</f>
        <v>0</v>
      </c>
      <c r="P3080" s="295"/>
      <c r="Q3080" s="442"/>
      <c r="R3080" s="403" t="str">
        <f t="shared" ref="R3080:R3111" si="232">IF(R$2979="DELETE","DELETE",IF(M3080+O3080=0,"DELETE"," "))</f>
        <v>DELETE</v>
      </c>
    </row>
    <row r="3081" spans="2:26" ht="31.5" customHeight="1" x14ac:dyDescent="0.45">
      <c r="B3081" s="441"/>
      <c r="C3081" s="417"/>
      <c r="D3081" s="400" t="s">
        <v>219</v>
      </c>
      <c r="J3081" s="292"/>
      <c r="K3081" s="292"/>
      <c r="L3081" s="292"/>
      <c r="M3081" s="354">
        <f>TrialBalanceC!I103</f>
        <v>0</v>
      </c>
      <c r="N3081" s="298"/>
      <c r="O3081" s="367">
        <f>TrialBalanceC!K103</f>
        <v>0</v>
      </c>
      <c r="P3081" s="295"/>
      <c r="Q3081" s="442"/>
      <c r="R3081" s="403" t="str">
        <f>IF(R$2979="DELETE","DELETE",IF(M3081+O3081=0,"DELETE"," "))</f>
        <v>DELETE</v>
      </c>
    </row>
    <row r="3082" spans="2:26" ht="31.5" customHeight="1" x14ac:dyDescent="0.45">
      <c r="B3082" s="441"/>
      <c r="C3082" s="417"/>
      <c r="D3082" s="400" t="s">
        <v>217</v>
      </c>
      <c r="J3082" s="292"/>
      <c r="K3082" s="292"/>
      <c r="L3082" s="292"/>
      <c r="M3082" s="354">
        <f>TrialBalanceC!I102</f>
        <v>0</v>
      </c>
      <c r="N3082" s="298"/>
      <c r="O3082" s="367">
        <f>TrialBalanceC!K102</f>
        <v>0</v>
      </c>
      <c r="P3082" s="295"/>
      <c r="Q3082" s="442"/>
      <c r="R3082" s="403" t="str">
        <f>IF(R$2979="DELETE","DELETE",IF(M3082+O3082=0,"DELETE"," "))</f>
        <v>DELETE</v>
      </c>
    </row>
    <row r="3083" spans="2:26" ht="31.5" customHeight="1" x14ac:dyDescent="0.45">
      <c r="B3083" s="441"/>
      <c r="C3083" s="417"/>
      <c r="D3083" s="400" t="s">
        <v>258</v>
      </c>
      <c r="J3083" s="292"/>
      <c r="K3083" s="292"/>
      <c r="L3083" s="292"/>
      <c r="M3083" s="354">
        <f>TrialBalanceC!I104</f>
        <v>0</v>
      </c>
      <c r="N3083" s="298"/>
      <c r="O3083" s="367">
        <f>TrialBalanceC!K104</f>
        <v>0</v>
      </c>
      <c r="P3083" s="295"/>
      <c r="Q3083" s="442"/>
      <c r="R3083" s="403" t="str">
        <f t="shared" si="232"/>
        <v>DELETE</v>
      </c>
    </row>
    <row r="3084" spans="2:26" ht="31.5" customHeight="1" x14ac:dyDescent="0.45">
      <c r="B3084" s="441"/>
      <c r="C3084" s="417"/>
      <c r="D3084" s="400" t="s">
        <v>222</v>
      </c>
      <c r="J3084" s="292"/>
      <c r="K3084" s="292"/>
      <c r="L3084" s="292"/>
      <c r="M3084" s="354">
        <f>TrialBalanceC!I105</f>
        <v>0</v>
      </c>
      <c r="N3084" s="298"/>
      <c r="O3084" s="367">
        <f>TrialBalanceC!K105</f>
        <v>0</v>
      </c>
      <c r="P3084" s="295"/>
      <c r="Q3084" s="442"/>
      <c r="R3084" s="403" t="str">
        <f t="shared" si="232"/>
        <v>DELETE</v>
      </c>
    </row>
    <row r="3085" spans="2:26" ht="31.5" customHeight="1" x14ac:dyDescent="0.45">
      <c r="B3085" s="441"/>
      <c r="C3085" s="417"/>
      <c r="D3085" s="400" t="s">
        <v>727</v>
      </c>
      <c r="J3085" s="292"/>
      <c r="K3085" s="292"/>
      <c r="L3085" s="292"/>
      <c r="M3085" s="354">
        <f>TrialBalanceC!I106</f>
        <v>0</v>
      </c>
      <c r="N3085" s="298"/>
      <c r="O3085" s="367">
        <f>TrialBalanceC!K106</f>
        <v>0</v>
      </c>
      <c r="P3085" s="295"/>
      <c r="Q3085" s="442"/>
      <c r="R3085" s="403" t="str">
        <f t="shared" si="232"/>
        <v>DELETE</v>
      </c>
    </row>
    <row r="3086" spans="2:26" ht="31.5" customHeight="1" x14ac:dyDescent="0.45">
      <c r="B3086" s="441"/>
      <c r="C3086" s="417"/>
      <c r="D3086" s="400" t="s">
        <v>277</v>
      </c>
      <c r="J3086" s="292"/>
      <c r="K3086" s="292">
        <f>C$940</f>
        <v>5.2999999999999989</v>
      </c>
      <c r="L3086" s="292"/>
      <c r="M3086" s="354">
        <f>SUM(TrialBalanceC!I108:I109)</f>
        <v>0</v>
      </c>
      <c r="N3086" s="298"/>
      <c r="O3086" s="367">
        <f>SUM(TrialBalanceC!K108:K109)</f>
        <v>0</v>
      </c>
      <c r="P3086" s="295"/>
      <c r="Q3086" s="442"/>
      <c r="R3086" s="403" t="str">
        <f t="shared" si="232"/>
        <v>DELETE</v>
      </c>
    </row>
    <row r="3087" spans="2:26" ht="31.5" customHeight="1" x14ac:dyDescent="0.45">
      <c r="B3087" s="441"/>
      <c r="C3087" s="417"/>
      <c r="D3087" s="400" t="str">
        <f>IF(MAX(Criteria!I38:I42)&gt;1,"Directors' remuneration","Director's remuneration")</f>
        <v>Director's remuneration</v>
      </c>
      <c r="J3087" s="292"/>
      <c r="K3087" s="292">
        <f>C$881</f>
        <v>5.0999999999999996</v>
      </c>
      <c r="L3087" s="292"/>
      <c r="M3087" s="354">
        <f>SUM(TrialBalanceC!I111:I115)</f>
        <v>0</v>
      </c>
      <c r="N3087" s="298"/>
      <c r="O3087" s="367">
        <f>SUM(TrialBalanceC!K111:K115)</f>
        <v>0</v>
      </c>
      <c r="P3087" s="295"/>
      <c r="Q3087" s="442"/>
      <c r="R3087" s="403" t="str">
        <f t="shared" si="232"/>
        <v>DELETE</v>
      </c>
    </row>
    <row r="3088" spans="2:26" ht="31.5" customHeight="1" x14ac:dyDescent="0.45">
      <c r="B3088" s="441"/>
      <c r="C3088" s="417"/>
      <c r="D3088" s="400" t="s">
        <v>259</v>
      </c>
      <c r="J3088" s="292"/>
      <c r="K3088" s="292"/>
      <c r="L3088" s="292"/>
      <c r="M3088" s="354">
        <f>TrialBalanceC!I116</f>
        <v>0</v>
      </c>
      <c r="N3088" s="298"/>
      <c r="O3088" s="367">
        <f>TrialBalanceC!K116</f>
        <v>0</v>
      </c>
      <c r="P3088" s="295"/>
      <c r="Q3088" s="442"/>
      <c r="R3088" s="403" t="str">
        <f t="shared" si="232"/>
        <v>DELETE</v>
      </c>
    </row>
    <row r="3089" spans="2:18" ht="31.5" customHeight="1" x14ac:dyDescent="0.45">
      <c r="B3089" s="441"/>
      <c r="C3089" s="417"/>
      <c r="D3089" s="400" t="s">
        <v>369</v>
      </c>
      <c r="J3089" s="292"/>
      <c r="K3089" s="292"/>
      <c r="L3089" s="292"/>
      <c r="M3089" s="354">
        <f>TrialBalanceC!I117</f>
        <v>0</v>
      </c>
      <c r="N3089" s="298"/>
      <c r="O3089" s="367">
        <f>TrialBalanceC!K117</f>
        <v>0</v>
      </c>
      <c r="P3089" s="295"/>
      <c r="Q3089" s="442"/>
      <c r="R3089" s="403" t="str">
        <f t="shared" si="232"/>
        <v>DELETE</v>
      </c>
    </row>
    <row r="3090" spans="2:18" ht="31.5" customHeight="1" x14ac:dyDescent="0.45">
      <c r="B3090" s="441"/>
      <c r="C3090" s="417"/>
      <c r="D3090" s="400" t="s">
        <v>330</v>
      </c>
      <c r="J3090" s="292"/>
      <c r="K3090" s="292"/>
      <c r="L3090" s="292"/>
      <c r="M3090" s="354">
        <f>TrialBalanceC!I118</f>
        <v>0</v>
      </c>
      <c r="N3090" s="298"/>
      <c r="O3090" s="367">
        <f>TrialBalanceC!K118</f>
        <v>0</v>
      </c>
      <c r="P3090" s="295"/>
      <c r="Q3090" s="442"/>
      <c r="R3090" s="403" t="str">
        <f t="shared" si="232"/>
        <v>DELETE</v>
      </c>
    </row>
    <row r="3091" spans="2:18" ht="31.5" customHeight="1" x14ac:dyDescent="0.45">
      <c r="B3091" s="441"/>
      <c r="C3091" s="417"/>
      <c r="D3091" s="400" t="s">
        <v>371</v>
      </c>
      <c r="J3091" s="292"/>
      <c r="K3091" s="292"/>
      <c r="L3091" s="292"/>
      <c r="M3091" s="354">
        <f>TrialBalanceC!I119</f>
        <v>0</v>
      </c>
      <c r="N3091" s="298"/>
      <c r="O3091" s="367">
        <f>TrialBalanceC!K119</f>
        <v>0</v>
      </c>
      <c r="P3091" s="295"/>
      <c r="Q3091" s="442"/>
      <c r="R3091" s="403" t="str">
        <f t="shared" si="232"/>
        <v>DELETE</v>
      </c>
    </row>
    <row r="3092" spans="2:18" ht="31.5" customHeight="1" x14ac:dyDescent="0.45">
      <c r="B3092" s="441"/>
      <c r="C3092" s="417"/>
      <c r="D3092" s="400" t="s">
        <v>1062</v>
      </c>
      <c r="J3092" s="292"/>
      <c r="K3092" s="292"/>
      <c r="L3092" s="292"/>
      <c r="M3092" s="354">
        <f>TrialBalanceC!I154</f>
        <v>0</v>
      </c>
      <c r="N3092" s="298"/>
      <c r="O3092" s="367">
        <f>TrialBalanceC!K154</f>
        <v>0</v>
      </c>
      <c r="P3092" s="295"/>
      <c r="Q3092" s="442"/>
      <c r="R3092" s="403" t="str">
        <f>IF(R$2979="DELETE","DELETE",IF(M3092+O3092=0,"DELETE"," "))</f>
        <v>DELETE</v>
      </c>
    </row>
    <row r="3093" spans="2:18" ht="31.5" customHeight="1" x14ac:dyDescent="0.45">
      <c r="B3093" s="441"/>
      <c r="C3093" s="417"/>
      <c r="D3093" s="400" t="s">
        <v>524</v>
      </c>
      <c r="J3093" s="292"/>
      <c r="K3093" s="292"/>
      <c r="L3093" s="292"/>
      <c r="M3093" s="354">
        <f>TrialBalanceC!I120+TrialBalanceC!I121</f>
        <v>0</v>
      </c>
      <c r="N3093" s="298"/>
      <c r="O3093" s="367">
        <f>TrialBalanceC!K120+TrialBalanceC!K121</f>
        <v>0</v>
      </c>
      <c r="P3093" s="295"/>
      <c r="Q3093" s="442"/>
      <c r="R3093" s="403" t="str">
        <f t="shared" si="232"/>
        <v>DELETE</v>
      </c>
    </row>
    <row r="3094" spans="2:18" ht="31.5" customHeight="1" x14ac:dyDescent="0.45">
      <c r="B3094" s="441"/>
      <c r="C3094" s="417"/>
      <c r="D3094" s="400" t="s">
        <v>547</v>
      </c>
      <c r="J3094" s="292"/>
      <c r="K3094" s="292"/>
      <c r="L3094" s="292"/>
      <c r="M3094" s="354">
        <f>IF(TrialBalanceC!I93&gt;0,TrialBalanceC!I93,0)</f>
        <v>0</v>
      </c>
      <c r="N3094" s="298"/>
      <c r="O3094" s="367">
        <f>IF(TrialBalanceC!K93&gt;0,TrialBalanceC!K93,0)</f>
        <v>0</v>
      </c>
      <c r="P3094" s="295"/>
      <c r="Q3094" s="442"/>
      <c r="R3094" s="403" t="str">
        <f>IF(R$2979="DELETE","DELETE",IF(M3094+O3094=0,"DELETE"," "))</f>
        <v>DELETE</v>
      </c>
    </row>
    <row r="3095" spans="2:18" ht="31.5" customHeight="1" x14ac:dyDescent="0.45">
      <c r="B3095" s="441"/>
      <c r="C3095" s="417"/>
      <c r="D3095" s="400" t="s">
        <v>728</v>
      </c>
      <c r="J3095" s="292"/>
      <c r="K3095" s="292"/>
      <c r="L3095" s="292"/>
      <c r="M3095" s="354">
        <f>TrialBalanceC!I122</f>
        <v>0</v>
      </c>
      <c r="N3095" s="298"/>
      <c r="O3095" s="367">
        <f>TrialBalanceC!K122</f>
        <v>0</v>
      </c>
      <c r="P3095" s="295"/>
      <c r="Q3095" s="442"/>
      <c r="R3095" s="403" t="str">
        <f>IF(R$2979="DELETE","DELETE",IF(M3095+O3095=0,"DELETE"," "))</f>
        <v>DELETE</v>
      </c>
    </row>
    <row r="3096" spans="2:18" ht="31.5" customHeight="1" x14ac:dyDescent="0.45">
      <c r="B3096" s="441"/>
      <c r="C3096" s="417"/>
      <c r="D3096" s="400" t="s">
        <v>260</v>
      </c>
      <c r="J3096" s="292"/>
      <c r="K3096" s="292"/>
      <c r="L3096" s="292"/>
      <c r="M3096" s="354">
        <f>TrialBalanceC!I123</f>
        <v>0</v>
      </c>
      <c r="N3096" s="298"/>
      <c r="O3096" s="367">
        <f>TrialBalanceC!K123</f>
        <v>0</v>
      </c>
      <c r="P3096" s="295"/>
      <c r="Q3096" s="442"/>
      <c r="R3096" s="403" t="str">
        <f t="shared" si="232"/>
        <v>DELETE</v>
      </c>
    </row>
    <row r="3097" spans="2:18" ht="31.5" customHeight="1" x14ac:dyDescent="0.45">
      <c r="B3097" s="441"/>
      <c r="C3097" s="417"/>
      <c r="D3097" s="400" t="s">
        <v>1081</v>
      </c>
      <c r="J3097" s="292"/>
      <c r="K3097" s="292"/>
      <c r="L3097" s="292"/>
      <c r="M3097" s="354">
        <f>TrialBalanceC!I155</f>
        <v>0</v>
      </c>
      <c r="N3097" s="298"/>
      <c r="O3097" s="367">
        <f>TrialBalanceC!K155</f>
        <v>0</v>
      </c>
      <c r="P3097" s="295"/>
      <c r="Q3097" s="442"/>
      <c r="R3097" s="403" t="str">
        <f t="shared" si="232"/>
        <v>DELETE</v>
      </c>
    </row>
    <row r="3098" spans="2:18" ht="31.5" customHeight="1" x14ac:dyDescent="0.45">
      <c r="B3098" s="441"/>
      <c r="C3098" s="417"/>
      <c r="D3098" s="400" t="s">
        <v>253</v>
      </c>
      <c r="J3098" s="292"/>
      <c r="K3098" s="292"/>
      <c r="L3098" s="292"/>
      <c r="M3098" s="354">
        <f>SUM(TrialBalanceC!I124:I125)</f>
        <v>0</v>
      </c>
      <c r="N3098" s="298"/>
      <c r="O3098" s="367">
        <f>SUM(TrialBalanceC!K124:K125)</f>
        <v>0</v>
      </c>
      <c r="P3098" s="295"/>
      <c r="Q3098" s="442"/>
      <c r="R3098" s="403" t="str">
        <f t="shared" si="232"/>
        <v>DELETE</v>
      </c>
    </row>
    <row r="3099" spans="2:18" ht="31.5" customHeight="1" x14ac:dyDescent="0.45">
      <c r="B3099" s="441"/>
      <c r="C3099" s="417"/>
      <c r="D3099" s="400" t="s">
        <v>261</v>
      </c>
      <c r="J3099" s="292"/>
      <c r="K3099" s="292"/>
      <c r="L3099" s="292"/>
      <c r="M3099" s="354">
        <f>TrialBalanceC!I126</f>
        <v>0</v>
      </c>
      <c r="N3099" s="298"/>
      <c r="O3099" s="367">
        <f>TrialBalanceC!K126</f>
        <v>0</v>
      </c>
      <c r="P3099" s="295"/>
      <c r="Q3099" s="442"/>
      <c r="R3099" s="403" t="str">
        <f t="shared" si="232"/>
        <v>DELETE</v>
      </c>
    </row>
    <row r="3100" spans="2:18" ht="31.5" customHeight="1" x14ac:dyDescent="0.45">
      <c r="B3100" s="441"/>
      <c r="C3100" s="417"/>
      <c r="D3100" s="400" t="s">
        <v>729</v>
      </c>
      <c r="J3100" s="292"/>
      <c r="K3100" s="292"/>
      <c r="L3100" s="292"/>
      <c r="M3100" s="354">
        <f>TrialBalanceC!I127</f>
        <v>0</v>
      </c>
      <c r="N3100" s="298"/>
      <c r="O3100" s="367">
        <f>TrialBalanceC!K127</f>
        <v>0</v>
      </c>
      <c r="P3100" s="295"/>
      <c r="Q3100" s="442"/>
      <c r="R3100" s="403" t="str">
        <f t="shared" si="232"/>
        <v>DELETE</v>
      </c>
    </row>
    <row r="3101" spans="2:18" ht="31.5" customHeight="1" x14ac:dyDescent="0.45">
      <c r="B3101" s="441"/>
      <c r="C3101" s="417"/>
      <c r="D3101" s="400" t="s">
        <v>79</v>
      </c>
      <c r="J3101" s="292"/>
      <c r="K3101" s="292"/>
      <c r="L3101" s="292"/>
      <c r="M3101" s="354">
        <f>TrialBalanceC!I128</f>
        <v>0</v>
      </c>
      <c r="N3101" s="298"/>
      <c r="O3101" s="367">
        <f>TrialBalanceC!K128</f>
        <v>0</v>
      </c>
      <c r="P3101" s="295"/>
      <c r="Q3101" s="442"/>
      <c r="R3101" s="403" t="str">
        <f t="shared" si="232"/>
        <v>DELETE</v>
      </c>
    </row>
    <row r="3102" spans="2:18" ht="31.5" customHeight="1" x14ac:dyDescent="0.45">
      <c r="B3102" s="441"/>
      <c r="C3102" s="417"/>
      <c r="D3102" s="400">
        <f>TrialBalanceC!C129</f>
        <v>0</v>
      </c>
      <c r="J3102" s="292"/>
      <c r="K3102" s="292"/>
      <c r="L3102" s="292"/>
      <c r="M3102" s="354">
        <f>TrialBalanceC!I129</f>
        <v>0</v>
      </c>
      <c r="N3102" s="298"/>
      <c r="O3102" s="367">
        <f>TrialBalanceC!K129</f>
        <v>0</v>
      </c>
      <c r="P3102" s="295"/>
      <c r="Q3102" s="442"/>
      <c r="R3102" s="403" t="str">
        <f t="shared" si="232"/>
        <v>DELETE</v>
      </c>
    </row>
    <row r="3103" spans="2:18" ht="31.5" customHeight="1" x14ac:dyDescent="0.45">
      <c r="B3103" s="441"/>
      <c r="C3103" s="417"/>
      <c r="D3103" s="400">
        <f>TrialBalanceC!C130</f>
        <v>0</v>
      </c>
      <c r="J3103" s="292"/>
      <c r="K3103" s="292"/>
      <c r="L3103" s="292"/>
      <c r="M3103" s="354">
        <f>TrialBalanceC!I130</f>
        <v>0</v>
      </c>
      <c r="N3103" s="298"/>
      <c r="O3103" s="367">
        <f>TrialBalanceC!K130</f>
        <v>0</v>
      </c>
      <c r="P3103" s="295"/>
      <c r="Q3103" s="442"/>
      <c r="R3103" s="403" t="str">
        <f t="shared" si="232"/>
        <v>DELETE</v>
      </c>
    </row>
    <row r="3104" spans="2:18" ht="31.5" customHeight="1" x14ac:dyDescent="0.45">
      <c r="B3104" s="441"/>
      <c r="C3104" s="417"/>
      <c r="D3104" s="400">
        <f>TrialBalanceC!C131</f>
        <v>0</v>
      </c>
      <c r="J3104" s="292"/>
      <c r="K3104" s="292"/>
      <c r="L3104" s="292"/>
      <c r="M3104" s="354">
        <f>TrialBalanceC!I131</f>
        <v>0</v>
      </c>
      <c r="N3104" s="298"/>
      <c r="O3104" s="367">
        <f>TrialBalanceC!K131</f>
        <v>0</v>
      </c>
      <c r="P3104" s="295"/>
      <c r="Q3104" s="442"/>
      <c r="R3104" s="403" t="str">
        <f t="shared" si="232"/>
        <v>DELETE</v>
      </c>
    </row>
    <row r="3105" spans="2:26" ht="31.5" customHeight="1" x14ac:dyDescent="0.45">
      <c r="B3105" s="441"/>
      <c r="C3105" s="417"/>
      <c r="D3105" s="400">
        <f>TrialBalanceC!C132</f>
        <v>0</v>
      </c>
      <c r="J3105" s="292"/>
      <c r="K3105" s="292"/>
      <c r="L3105" s="292"/>
      <c r="M3105" s="354">
        <f>TrialBalanceC!I132</f>
        <v>0</v>
      </c>
      <c r="N3105" s="298"/>
      <c r="O3105" s="367">
        <f>TrialBalanceC!K132</f>
        <v>0</v>
      </c>
      <c r="P3105" s="295"/>
      <c r="Q3105" s="442"/>
      <c r="R3105" s="403" t="str">
        <f t="shared" si="232"/>
        <v>DELETE</v>
      </c>
    </row>
    <row r="3106" spans="2:26" ht="31.5" customHeight="1" x14ac:dyDescent="0.45">
      <c r="B3106" s="441"/>
      <c r="C3106" s="417"/>
      <c r="D3106" s="400">
        <f>TrialBalanceC!C133</f>
        <v>0</v>
      </c>
      <c r="J3106" s="292"/>
      <c r="K3106" s="292"/>
      <c r="L3106" s="292"/>
      <c r="M3106" s="354">
        <f>TrialBalanceC!I133</f>
        <v>0</v>
      </c>
      <c r="N3106" s="298"/>
      <c r="O3106" s="367">
        <f>TrialBalanceC!K133</f>
        <v>0</v>
      </c>
      <c r="P3106" s="295"/>
      <c r="Q3106" s="442"/>
      <c r="R3106" s="403" t="str">
        <f t="shared" si="232"/>
        <v>DELETE</v>
      </c>
    </row>
    <row r="3107" spans="2:26" ht="31.5" customHeight="1" x14ac:dyDescent="0.45">
      <c r="B3107" s="441"/>
      <c r="C3107" s="417"/>
      <c r="D3107" s="400">
        <f>TrialBalanceC!C134</f>
        <v>0</v>
      </c>
      <c r="J3107" s="292"/>
      <c r="K3107" s="292"/>
      <c r="L3107" s="292"/>
      <c r="M3107" s="354">
        <f>TrialBalanceC!I134</f>
        <v>0</v>
      </c>
      <c r="N3107" s="298"/>
      <c r="O3107" s="367">
        <f>TrialBalanceC!K134</f>
        <v>0</v>
      </c>
      <c r="P3107" s="295"/>
      <c r="Q3107" s="442"/>
      <c r="R3107" s="403" t="str">
        <f t="shared" si="232"/>
        <v>DELETE</v>
      </c>
    </row>
    <row r="3108" spans="2:26" ht="31.5" customHeight="1" x14ac:dyDescent="0.45">
      <c r="B3108" s="441"/>
      <c r="C3108" s="417"/>
      <c r="D3108" s="400">
        <f>TrialBalanceC!C135</f>
        <v>0</v>
      </c>
      <c r="J3108" s="292"/>
      <c r="K3108" s="292"/>
      <c r="L3108" s="292"/>
      <c r="M3108" s="354">
        <f>TrialBalanceC!I135</f>
        <v>0</v>
      </c>
      <c r="N3108" s="298"/>
      <c r="O3108" s="367">
        <f>TrialBalanceC!K135</f>
        <v>0</v>
      </c>
      <c r="P3108" s="295"/>
      <c r="Q3108" s="442"/>
      <c r="R3108" s="403" t="str">
        <f t="shared" si="232"/>
        <v>DELETE</v>
      </c>
    </row>
    <row r="3109" spans="2:26" ht="31.5" customHeight="1" x14ac:dyDescent="0.45">
      <c r="B3109" s="441"/>
      <c r="C3109" s="417"/>
      <c r="D3109" s="400">
        <f>TrialBalanceC!C136</f>
        <v>0</v>
      </c>
      <c r="J3109" s="292"/>
      <c r="K3109" s="292"/>
      <c r="L3109" s="292"/>
      <c r="M3109" s="354">
        <f>TrialBalanceC!I136</f>
        <v>0</v>
      </c>
      <c r="N3109" s="298"/>
      <c r="O3109" s="367">
        <f>TrialBalanceC!K136</f>
        <v>0</v>
      </c>
      <c r="P3109" s="295"/>
      <c r="Q3109" s="442"/>
      <c r="R3109" s="403" t="str">
        <f t="shared" si="232"/>
        <v>DELETE</v>
      </c>
    </row>
    <row r="3110" spans="2:26" ht="31.5" customHeight="1" x14ac:dyDescent="0.45">
      <c r="B3110" s="441"/>
      <c r="C3110" s="417"/>
      <c r="D3110" s="400">
        <f>TrialBalanceC!C137</f>
        <v>0</v>
      </c>
      <c r="J3110" s="292"/>
      <c r="K3110" s="292"/>
      <c r="L3110" s="292"/>
      <c r="M3110" s="354">
        <f>TrialBalanceC!I137</f>
        <v>0</v>
      </c>
      <c r="N3110" s="298"/>
      <c r="O3110" s="367">
        <f>TrialBalanceC!K137</f>
        <v>0</v>
      </c>
      <c r="P3110" s="295"/>
      <c r="Q3110" s="442"/>
      <c r="R3110" s="403" t="str">
        <f t="shared" si="232"/>
        <v>DELETE</v>
      </c>
    </row>
    <row r="3111" spans="2:26" ht="31.5" customHeight="1" x14ac:dyDescent="0.45">
      <c r="B3111" s="441"/>
      <c r="C3111" s="417"/>
      <c r="D3111" s="400" t="str">
        <f>TrialBalanceC!C138</f>
        <v>Amortisation of prepaid lease agreement</v>
      </c>
      <c r="J3111" s="292"/>
      <c r="K3111" s="292"/>
      <c r="L3111" s="292"/>
      <c r="M3111" s="354">
        <f>TrialBalanceC!I138</f>
        <v>0</v>
      </c>
      <c r="N3111" s="298"/>
      <c r="O3111" s="367">
        <f>TrialBalanceC!K138</f>
        <v>0</v>
      </c>
      <c r="P3111" s="295"/>
      <c r="Q3111" s="442"/>
      <c r="R3111" s="403" t="str">
        <f t="shared" si="232"/>
        <v>DELETE</v>
      </c>
    </row>
    <row r="3112" spans="2:26" ht="31.5" customHeight="1" x14ac:dyDescent="0.45">
      <c r="B3112" s="441"/>
      <c r="C3112" s="417"/>
      <c r="D3112" s="400" t="str">
        <f>TrialBalanceC!C139</f>
        <v>Amortisation of goodwill</v>
      </c>
      <c r="J3112" s="292"/>
      <c r="K3112" s="292"/>
      <c r="L3112" s="292"/>
      <c r="M3112" s="354">
        <f>TrialBalanceC!I139</f>
        <v>0</v>
      </c>
      <c r="N3112" s="298"/>
      <c r="O3112" s="367">
        <f>TrialBalanceC!K139</f>
        <v>0</v>
      </c>
      <c r="P3112" s="295"/>
      <c r="Q3112" s="442"/>
      <c r="R3112" s="403" t="str">
        <f t="shared" ref="R3112" si="233">IF(R$2979="DELETE","DELETE",IF(M3112+O3112=0,"DELETE"," "))</f>
        <v>DELETE</v>
      </c>
    </row>
    <row r="3113" spans="2:26" ht="9" customHeight="1" x14ac:dyDescent="0.45">
      <c r="B3113" s="441"/>
      <c r="C3113" s="417"/>
      <c r="J3113" s="292"/>
      <c r="K3113" s="292"/>
      <c r="L3113" s="292"/>
      <c r="M3113" s="355"/>
      <c r="N3113" s="300"/>
      <c r="O3113" s="368"/>
      <c r="P3113" s="295"/>
      <c r="Q3113" s="442"/>
      <c r="R3113" s="403" t="str">
        <f>R3077</f>
        <v>DELETE</v>
      </c>
    </row>
    <row r="3114" spans="2:26" ht="9" customHeight="1" x14ac:dyDescent="0.45">
      <c r="B3114" s="441"/>
      <c r="C3114" s="417"/>
      <c r="J3114" s="292"/>
      <c r="K3114" s="292"/>
      <c r="L3114" s="292"/>
      <c r="M3114" s="349"/>
      <c r="N3114" s="300"/>
      <c r="O3114" s="349"/>
      <c r="P3114" s="295"/>
      <c r="Q3114" s="442"/>
      <c r="R3114" s="403" t="str">
        <f t="shared" ref="R3114:R3117" si="234">R$2979</f>
        <v>DELETE</v>
      </c>
    </row>
    <row r="3115" spans="2:26" ht="9" customHeight="1" x14ac:dyDescent="0.45">
      <c r="B3115" s="441"/>
      <c r="C3115" s="417"/>
      <c r="J3115" s="292"/>
      <c r="K3115" s="292"/>
      <c r="L3115" s="292"/>
      <c r="M3115" s="347"/>
      <c r="N3115" s="298"/>
      <c r="O3115" s="347"/>
      <c r="P3115" s="295"/>
      <c r="Q3115" s="442"/>
      <c r="R3115" s="403" t="str">
        <f t="shared" si="234"/>
        <v>DELETE</v>
      </c>
    </row>
    <row r="3116" spans="2:26" ht="31.5" customHeight="1" x14ac:dyDescent="0.45">
      <c r="B3116" s="441"/>
      <c r="C3116" s="315" t="str">
        <f>IF((Y3116+Z3116)=3,"OPERATING PROFIT/(LOSS) FOR THE YEAR",(IF((Y3116+Z3116=4),"OPERATING PROFIT FOR THE YEAR","OPERATING LOSS FOR THE YEAR")))</f>
        <v>OPERATING PROFIT FOR THE YEAR</v>
      </c>
      <c r="J3116" s="292"/>
      <c r="K3116" s="292">
        <f>FS!B878</f>
        <v>5</v>
      </c>
      <c r="L3116" s="292"/>
      <c r="M3116" s="347">
        <f>SUM(S2991:S3113)</f>
        <v>0</v>
      </c>
      <c r="N3116" s="298"/>
      <c r="O3116" s="347">
        <f>SUM(U2991:U3113)</f>
        <v>0</v>
      </c>
      <c r="P3116" s="295"/>
      <c r="Q3116" s="442"/>
      <c r="R3116" s="403" t="str">
        <f t="shared" si="234"/>
        <v>DELETE</v>
      </c>
      <c r="Y3116" s="378">
        <f>IF(M3116&lt;0,1,IF(M3116=0,IF(O3116&lt;0,1,2),2))</f>
        <v>2</v>
      </c>
      <c r="Z3116" s="378">
        <f>IF(O3116&lt;0,1,IF(O3116=0,IF(M3116&lt;0,1,2),2))</f>
        <v>2</v>
      </c>
    </row>
    <row r="3117" spans="2:26" ht="31.5" customHeight="1" x14ac:dyDescent="0.45">
      <c r="B3117" s="441"/>
      <c r="C3117" s="417"/>
      <c r="J3117" s="292"/>
      <c r="K3117" s="292"/>
      <c r="L3117" s="292"/>
      <c r="M3117" s="347"/>
      <c r="N3117" s="298"/>
      <c r="O3117" s="347"/>
      <c r="P3117" s="295"/>
      <c r="Q3117" s="442"/>
      <c r="R3117" s="403" t="str">
        <f t="shared" si="234"/>
        <v>DELETE</v>
      </c>
    </row>
    <row r="3118" spans="2:26" ht="31.5" customHeight="1" x14ac:dyDescent="0.45">
      <c r="B3118" s="441"/>
      <c r="C3118" s="417" t="s">
        <v>114</v>
      </c>
      <c r="J3118" s="292"/>
      <c r="K3118" s="292">
        <f>FS!B965</f>
        <v>6</v>
      </c>
      <c r="L3118" s="292"/>
      <c r="M3118" s="347">
        <f>SUM(M3121:M3128)</f>
        <v>0</v>
      </c>
      <c r="N3118" s="298"/>
      <c r="O3118" s="347">
        <f>SUM(O3121:O3128)</f>
        <v>0</v>
      </c>
      <c r="P3118" s="295"/>
      <c r="Q3118" s="442"/>
      <c r="R3118" s="403" t="str">
        <f t="shared" ref="R3118" si="235">IF(R$2979="DELETE","DELETE",IF(M3118+O3118=0,"DELETE"," "))</f>
        <v>DELETE</v>
      </c>
      <c r="S3118" s="380">
        <f>M3118</f>
        <v>0</v>
      </c>
      <c r="T3118" s="380"/>
      <c r="U3118" s="380">
        <f>O3118</f>
        <v>0</v>
      </c>
      <c r="V3118" s="380"/>
      <c r="W3118" s="380"/>
      <c r="X3118" s="380"/>
    </row>
    <row r="3119" spans="2:26" ht="9" customHeight="1" x14ac:dyDescent="0.45">
      <c r="B3119" s="441"/>
      <c r="C3119" s="417"/>
      <c r="J3119" s="292"/>
      <c r="K3119" s="292"/>
      <c r="L3119" s="292"/>
      <c r="M3119" s="347"/>
      <c r="N3119" s="298"/>
      <c r="O3119" s="347"/>
      <c r="P3119" s="295"/>
      <c r="Q3119" s="442"/>
      <c r="R3119" s="403" t="str">
        <f>R3118</f>
        <v>DELETE</v>
      </c>
    </row>
    <row r="3120" spans="2:26" ht="9" customHeight="1" x14ac:dyDescent="0.45">
      <c r="B3120" s="441"/>
      <c r="C3120" s="417"/>
      <c r="J3120" s="292"/>
      <c r="K3120" s="292"/>
      <c r="L3120" s="292"/>
      <c r="M3120" s="353"/>
      <c r="N3120" s="299"/>
      <c r="O3120" s="366"/>
      <c r="P3120" s="295"/>
      <c r="Q3120" s="442"/>
      <c r="R3120" s="403" t="str">
        <f>R3119</f>
        <v>DELETE</v>
      </c>
    </row>
    <row r="3121" spans="2:26" ht="31.5" customHeight="1" x14ac:dyDescent="0.45">
      <c r="B3121" s="441"/>
      <c r="C3121" s="417"/>
      <c r="D3121" s="400" t="s">
        <v>205</v>
      </c>
      <c r="J3121" s="292"/>
      <c r="K3121" s="292"/>
      <c r="L3121" s="292"/>
      <c r="M3121" s="354">
        <f>-TrialBalanceC!I94</f>
        <v>0</v>
      </c>
      <c r="N3121" s="298"/>
      <c r="O3121" s="367">
        <f>-TrialBalanceC!K94</f>
        <v>0</v>
      </c>
      <c r="P3121" s="295"/>
      <c r="Q3121" s="442"/>
      <c r="R3121" s="403" t="str">
        <f t="shared" ref="R3121:R3126" si="236">IF(R$2979="DELETE","DELETE",IF(M3121+O3121=0,"DELETE"," "))</f>
        <v>DELETE</v>
      </c>
    </row>
    <row r="3122" spans="2:26" ht="31.5" customHeight="1" x14ac:dyDescent="0.45">
      <c r="B3122" s="441"/>
      <c r="C3122" s="417"/>
      <c r="D3122" s="400" t="s">
        <v>531</v>
      </c>
      <c r="J3122" s="292"/>
      <c r="K3122" s="292"/>
      <c r="L3122" s="292"/>
      <c r="M3122" s="354">
        <f>-SUM(TrialBalanceC!I90:I92)</f>
        <v>0</v>
      </c>
      <c r="N3122" s="298"/>
      <c r="O3122" s="367">
        <f>-SUM(TrialBalanceC!K90:K92)</f>
        <v>0</v>
      </c>
      <c r="P3122" s="295"/>
      <c r="Q3122" s="442"/>
      <c r="R3122" s="403" t="str">
        <f t="shared" si="236"/>
        <v>DELETE</v>
      </c>
    </row>
    <row r="3123" spans="2:26" ht="31.5" customHeight="1" x14ac:dyDescent="0.45">
      <c r="B3123" s="441"/>
      <c r="C3123" s="417"/>
      <c r="D3123" s="400" t="s">
        <v>532</v>
      </c>
      <c r="J3123" s="292"/>
      <c r="K3123" s="292"/>
      <c r="L3123" s="292"/>
      <c r="M3123" s="365">
        <f>-SUM(TrialBalanceC!I85:I88)</f>
        <v>0</v>
      </c>
      <c r="N3123" s="304"/>
      <c r="O3123" s="371">
        <f>-SUM(TrialBalanceC!K85:K88)</f>
        <v>0</v>
      </c>
      <c r="P3123" s="295"/>
      <c r="Q3123" s="442"/>
      <c r="R3123" s="403" t="str">
        <f t="shared" si="236"/>
        <v>DELETE</v>
      </c>
    </row>
    <row r="3124" spans="2:26" ht="31.5" customHeight="1" x14ac:dyDescent="0.45">
      <c r="B3124" s="441"/>
      <c r="C3124" s="417"/>
      <c r="D3124" s="400" t="s">
        <v>207</v>
      </c>
      <c r="J3124" s="292"/>
      <c r="K3124" s="292"/>
      <c r="L3124" s="292"/>
      <c r="M3124" s="365">
        <f>-SUM(TrialBalanceC!I95)</f>
        <v>0</v>
      </c>
      <c r="N3124" s="304"/>
      <c r="O3124" s="371">
        <f>-TrialBalanceC!K95</f>
        <v>0</v>
      </c>
      <c r="P3124" s="295"/>
      <c r="Q3124" s="442"/>
      <c r="R3124" s="403" t="str">
        <f t="shared" si="236"/>
        <v>DELETE</v>
      </c>
    </row>
    <row r="3125" spans="2:26" ht="31.5" customHeight="1" x14ac:dyDescent="0.45">
      <c r="B3125" s="441"/>
      <c r="C3125" s="417"/>
      <c r="D3125" s="400" t="s">
        <v>548</v>
      </c>
      <c r="J3125" s="292"/>
      <c r="K3125" s="292"/>
      <c r="L3125" s="292"/>
      <c r="M3125" s="354">
        <f>IF(TrialBalanceC!I93&lt;0,-TrialBalanceC!I93,0)</f>
        <v>0</v>
      </c>
      <c r="N3125" s="298"/>
      <c r="O3125" s="367">
        <f>IF(TrialBalanceC!K93&lt;0,-TrialBalanceC!K93,0)</f>
        <v>0</v>
      </c>
      <c r="P3125" s="295"/>
      <c r="Q3125" s="442"/>
      <c r="R3125" s="403" t="str">
        <f t="shared" si="236"/>
        <v>DELETE</v>
      </c>
    </row>
    <row r="3126" spans="2:26" ht="31.5" customHeight="1" x14ac:dyDescent="0.45">
      <c r="B3126" s="441"/>
      <c r="C3126" s="417"/>
      <c r="D3126" s="400" t="s">
        <v>359</v>
      </c>
      <c r="J3126" s="292"/>
      <c r="K3126" s="292"/>
      <c r="L3126" s="292"/>
      <c r="M3126" s="354">
        <f>-TrialBalanceC!I83</f>
        <v>0</v>
      </c>
      <c r="N3126" s="298"/>
      <c r="O3126" s="367">
        <f>-TrialBalanceC!K83</f>
        <v>0</v>
      </c>
      <c r="P3126" s="295"/>
      <c r="Q3126" s="442"/>
      <c r="R3126" s="403" t="str">
        <f t="shared" si="236"/>
        <v>DELETE</v>
      </c>
    </row>
    <row r="3127" spans="2:26" ht="31.5" customHeight="1" x14ac:dyDescent="0.45">
      <c r="B3127" s="441"/>
      <c r="C3127" s="417"/>
      <c r="D3127" s="400" t="str">
        <f>TrialBalance!C96</f>
        <v>Revaluation of investment property</v>
      </c>
      <c r="J3127" s="292"/>
      <c r="K3127" s="292"/>
      <c r="L3127" s="292"/>
      <c r="M3127" s="354">
        <f>-TrialBalanceC!I96</f>
        <v>0</v>
      </c>
      <c r="N3127" s="298"/>
      <c r="O3127" s="367">
        <f>-TrialBalanceC!K96</f>
        <v>0</v>
      </c>
      <c r="P3127" s="295"/>
      <c r="Q3127" s="442"/>
      <c r="R3127" s="403" t="str">
        <f>IF(R$2979="DELETE","DELETE",IF(M3127+O3127=0,"DELETE"," "))</f>
        <v>DELETE</v>
      </c>
    </row>
    <row r="3128" spans="2:26" ht="9" customHeight="1" x14ac:dyDescent="0.45">
      <c r="B3128" s="441"/>
      <c r="C3128" s="417"/>
      <c r="J3128" s="292"/>
      <c r="K3128" s="292"/>
      <c r="L3128" s="292"/>
      <c r="M3128" s="355"/>
      <c r="N3128" s="300"/>
      <c r="O3128" s="368"/>
      <c r="P3128" s="295"/>
      <c r="Q3128" s="442"/>
      <c r="R3128" s="403" t="str">
        <f>R3118</f>
        <v>DELETE</v>
      </c>
    </row>
    <row r="3129" spans="2:26" ht="9" customHeight="1" x14ac:dyDescent="0.45">
      <c r="B3129" s="441"/>
      <c r="C3129" s="417"/>
      <c r="J3129" s="292"/>
      <c r="K3129" s="292"/>
      <c r="L3129" s="292"/>
      <c r="M3129" s="349"/>
      <c r="N3129" s="300"/>
      <c r="O3129" s="349"/>
      <c r="P3129" s="295"/>
      <c r="Q3129" s="442"/>
      <c r="R3129" s="403" t="str">
        <f>R3128</f>
        <v>DELETE</v>
      </c>
    </row>
    <row r="3130" spans="2:26" ht="9" customHeight="1" x14ac:dyDescent="0.45">
      <c r="B3130" s="441"/>
      <c r="C3130" s="417"/>
      <c r="J3130" s="292"/>
      <c r="K3130" s="292"/>
      <c r="L3130" s="292"/>
      <c r="M3130" s="347"/>
      <c r="N3130" s="298"/>
      <c r="O3130" s="347"/>
      <c r="P3130" s="295"/>
      <c r="Q3130" s="442"/>
      <c r="R3130" s="403" t="str">
        <f>R3129</f>
        <v>DELETE</v>
      </c>
    </row>
    <row r="3131" spans="2:26" ht="31.5" customHeight="1" x14ac:dyDescent="0.45">
      <c r="B3131" s="441"/>
      <c r="C3131" s="417"/>
      <c r="J3131" s="292"/>
      <c r="K3131" s="292"/>
      <c r="L3131" s="292"/>
      <c r="M3131" s="347">
        <f>SUM(S2991:S3128)</f>
        <v>0</v>
      </c>
      <c r="N3131" s="298"/>
      <c r="O3131" s="347">
        <f>SUM(U2991:U3128)</f>
        <v>0</v>
      </c>
      <c r="P3131" s="295"/>
      <c r="Q3131" s="442"/>
      <c r="R3131" s="403" t="str">
        <f>R3130</f>
        <v>DELETE</v>
      </c>
    </row>
    <row r="3132" spans="2:26" ht="31.5" customHeight="1" x14ac:dyDescent="0.45">
      <c r="B3132" s="441"/>
      <c r="C3132" s="417"/>
      <c r="J3132" s="292"/>
      <c r="K3132" s="292"/>
      <c r="L3132" s="292"/>
      <c r="M3132" s="347"/>
      <c r="N3132" s="298"/>
      <c r="O3132" s="347"/>
      <c r="P3132" s="295"/>
      <c r="Q3132" s="442"/>
      <c r="R3132" s="403" t="str">
        <f>R3131</f>
        <v>DELETE</v>
      </c>
    </row>
    <row r="3133" spans="2:26" ht="31.5" customHeight="1" x14ac:dyDescent="0.45">
      <c r="B3133" s="441"/>
      <c r="C3133" s="417" t="s">
        <v>262</v>
      </c>
      <c r="J3133" s="292"/>
      <c r="K3133" s="292">
        <f>FS!B1024</f>
        <v>7</v>
      </c>
      <c r="L3133" s="292"/>
      <c r="M3133" s="347">
        <f>SUM(TrialBalanceC!I142:I152)</f>
        <v>0</v>
      </c>
      <c r="N3133" s="298"/>
      <c r="O3133" s="347">
        <f>SUM(TrialBalanceC!K142:K152)</f>
        <v>0</v>
      </c>
      <c r="P3133" s="295"/>
      <c r="Q3133" s="442"/>
      <c r="R3133" s="403" t="str">
        <f t="shared" ref="R3133" si="237">IF(R$2979="DELETE","DELETE",IF(M3133+O3133=0,"DELETE"," "))</f>
        <v>DELETE</v>
      </c>
      <c r="S3133" s="380">
        <f>-M3133</f>
        <v>0</v>
      </c>
      <c r="T3133" s="380"/>
      <c r="U3133" s="380">
        <f>-O3133</f>
        <v>0</v>
      </c>
      <c r="V3133" s="380"/>
      <c r="W3133" s="380"/>
      <c r="X3133" s="380"/>
    </row>
    <row r="3134" spans="2:26" ht="9" customHeight="1" x14ac:dyDescent="0.45">
      <c r="B3134" s="441"/>
      <c r="C3134" s="417"/>
      <c r="J3134" s="292"/>
      <c r="K3134" s="292"/>
      <c r="L3134" s="292"/>
      <c r="M3134" s="349"/>
      <c r="N3134" s="300"/>
      <c r="O3134" s="349"/>
      <c r="P3134" s="295"/>
      <c r="Q3134" s="442"/>
      <c r="R3134" s="403" t="str">
        <f t="shared" ref="R3134:R3142" si="238">R$2979</f>
        <v>DELETE</v>
      </c>
    </row>
    <row r="3135" spans="2:26" ht="9" customHeight="1" x14ac:dyDescent="0.45">
      <c r="B3135" s="441"/>
      <c r="C3135" s="417"/>
      <c r="J3135" s="292"/>
      <c r="K3135" s="292"/>
      <c r="L3135" s="292"/>
      <c r="M3135" s="347"/>
      <c r="N3135" s="298"/>
      <c r="O3135" s="347"/>
      <c r="P3135" s="295"/>
      <c r="Q3135" s="442"/>
      <c r="R3135" s="403" t="str">
        <f t="shared" si="238"/>
        <v>DELETE</v>
      </c>
    </row>
    <row r="3136" spans="2:26" ht="31.5" customHeight="1" x14ac:dyDescent="0.45">
      <c r="B3136" s="441"/>
      <c r="C3136" s="315" t="str">
        <f>IF((Y3136+Z3136)=3,"PROFIT/(LOSS) BEFORE TAXATION",(IF((Y3136+Z3136=4),"PROFIT BEFORE TAXATION","LOSS BEFORE TAXATION")))</f>
        <v>PROFIT BEFORE TAXATION</v>
      </c>
      <c r="J3136" s="292"/>
      <c r="K3136" s="292"/>
      <c r="L3136" s="292"/>
      <c r="M3136" s="347">
        <f>SUM(S2991:S3135)</f>
        <v>0</v>
      </c>
      <c r="N3136" s="298"/>
      <c r="O3136" s="347">
        <f>SUM(U2991:U3135)</f>
        <v>0</v>
      </c>
      <c r="P3136" s="295"/>
      <c r="Q3136" s="442"/>
      <c r="R3136" s="403" t="str">
        <f t="shared" si="238"/>
        <v>DELETE</v>
      </c>
      <c r="V3136" s="378" t="b">
        <f>M3136=FS!M2309</f>
        <v>1</v>
      </c>
      <c r="X3136" s="378" t="b">
        <f>O3136=FS!O2309</f>
        <v>1</v>
      </c>
      <c r="Y3136" s="378">
        <f>IF(M3136&lt;0,1,IF(M3136=0,IF(O3136&lt;0,1,2),2))</f>
        <v>2</v>
      </c>
      <c r="Z3136" s="378">
        <f>IF(O3136&lt;0,1,IF(O3136=0,IF(M3136&lt;0,1,2),2))</f>
        <v>2</v>
      </c>
    </row>
    <row r="3137" spans="2:24" ht="9" customHeight="1" thickBot="1" x14ac:dyDescent="0.5">
      <c r="B3137" s="441"/>
      <c r="C3137" s="417"/>
      <c r="J3137" s="292"/>
      <c r="K3137" s="292"/>
      <c r="L3137" s="292"/>
      <c r="M3137" s="351"/>
      <c r="N3137" s="301"/>
      <c r="O3137" s="351"/>
      <c r="P3137" s="295"/>
      <c r="Q3137" s="442"/>
      <c r="R3137" s="403" t="str">
        <f t="shared" si="238"/>
        <v>DELETE</v>
      </c>
    </row>
    <row r="3138" spans="2:24" ht="9" customHeight="1" thickTop="1" x14ac:dyDescent="0.45">
      <c r="B3138" s="441"/>
      <c r="C3138" s="417"/>
      <c r="J3138" s="292"/>
      <c r="K3138" s="292"/>
      <c r="L3138" s="292"/>
      <c r="M3138" s="347"/>
      <c r="N3138" s="298"/>
      <c r="O3138" s="347"/>
      <c r="P3138" s="295"/>
      <c r="Q3138" s="442"/>
      <c r="R3138" s="403" t="str">
        <f t="shared" si="238"/>
        <v>DELETE</v>
      </c>
    </row>
    <row r="3139" spans="2:24" ht="31.5" customHeight="1" x14ac:dyDescent="0.45">
      <c r="B3139" s="441"/>
      <c r="C3139" s="417"/>
      <c r="J3139" s="292"/>
      <c r="K3139" s="292"/>
      <c r="L3139" s="292"/>
      <c r="M3139" s="347"/>
      <c r="N3139" s="298"/>
      <c r="O3139" s="347"/>
      <c r="P3139" s="295"/>
      <c r="Q3139" s="442"/>
      <c r="R3139" s="403" t="str">
        <f t="shared" si="238"/>
        <v>DELETE</v>
      </c>
    </row>
    <row r="3140" spans="2:24" ht="31.5" customHeight="1" x14ac:dyDescent="0.45">
      <c r="B3140" s="441"/>
      <c r="C3140" s="417"/>
      <c r="J3140" s="292"/>
      <c r="K3140" s="292"/>
      <c r="L3140" s="292"/>
      <c r="M3140" s="347"/>
      <c r="N3140" s="298"/>
      <c r="O3140" s="347"/>
      <c r="P3140" s="295"/>
      <c r="Q3140" s="442"/>
      <c r="R3140" s="403" t="str">
        <f t="shared" si="238"/>
        <v>DELETE</v>
      </c>
    </row>
    <row r="3141" spans="2:24" ht="31.5" customHeight="1" x14ac:dyDescent="0.45">
      <c r="B3141" s="445"/>
      <c r="C3141" s="429"/>
      <c r="D3141" s="429"/>
      <c r="E3141" s="429"/>
      <c r="F3141" s="429"/>
      <c r="G3141" s="429"/>
      <c r="H3141" s="429"/>
      <c r="I3141" s="429"/>
      <c r="J3141" s="429"/>
      <c r="K3141" s="429"/>
      <c r="L3141" s="429"/>
      <c r="M3141" s="437"/>
      <c r="N3141" s="461"/>
      <c r="O3141" s="437"/>
      <c r="P3141" s="433"/>
      <c r="Q3141" s="446"/>
      <c r="R3141" s="403" t="str">
        <f t="shared" si="238"/>
        <v>DELETE</v>
      </c>
    </row>
    <row r="3142" spans="2:24" ht="31.5" customHeight="1" x14ac:dyDescent="0.45">
      <c r="M3142" s="426"/>
      <c r="N3142" s="406"/>
      <c r="O3142" s="426"/>
      <c r="R3142" s="403" t="str">
        <f t="shared" si="238"/>
        <v>DELETE</v>
      </c>
    </row>
    <row r="3143" spans="2:24" ht="31.5" customHeight="1" x14ac:dyDescent="0.45">
      <c r="M3143" s="426"/>
      <c r="N3143" s="406"/>
      <c r="O3143" s="426"/>
      <c r="R3143" s="403" t="str">
        <f>IF(SUM(U2991:U2995)+SUM(U3011:U3020)+SUM(U3118:U3128)+O3136=0,IF(SUM(S3155:S3157)+SUM(S3175:S3182)+SUM(S3282:S3292)+O3300=0,"DELETE"," "),"DELETE")</f>
        <v>DELETE</v>
      </c>
      <c r="V3143" s="382"/>
      <c r="W3143" s="382"/>
      <c r="X3143" s="382"/>
    </row>
    <row r="3144" spans="2:24" ht="31.5" customHeight="1" x14ac:dyDescent="0.45">
      <c r="D3144" s="417" t="s">
        <v>652</v>
      </c>
      <c r="M3144" s="426"/>
      <c r="N3144" s="406"/>
      <c r="O3144" s="426"/>
      <c r="R3144" s="403" t="str">
        <f>R$3143</f>
        <v>DELETE</v>
      </c>
      <c r="V3144" s="379"/>
      <c r="X3144" s="379"/>
    </row>
    <row r="3145" spans="2:24" ht="31.5" customHeight="1" x14ac:dyDescent="0.45">
      <c r="M3145" s="426"/>
      <c r="N3145" s="406"/>
      <c r="O3145" s="426"/>
      <c r="R3145" s="403" t="str">
        <f t="shared" ref="R3145:R3154" si="239">R$3143</f>
        <v>DELETE</v>
      </c>
    </row>
    <row r="3146" spans="2:24" ht="31.5" customHeight="1" x14ac:dyDescent="0.45">
      <c r="D3146" s="417">
        <f>Criteria!E16</f>
        <v>0</v>
      </c>
      <c r="M3146" s="426"/>
      <c r="N3146" s="406"/>
      <c r="O3146" s="347" t="s">
        <v>96</v>
      </c>
      <c r="Q3146" s="292">
        <v>1</v>
      </c>
      <c r="R3146" s="403" t="str">
        <f t="shared" si="239"/>
        <v>DELETE</v>
      </c>
    </row>
    <row r="3147" spans="2:24" ht="31.5" customHeight="1" x14ac:dyDescent="0.45">
      <c r="M3147" s="426"/>
      <c r="N3147" s="406"/>
      <c r="O3147" s="426"/>
      <c r="R3147" s="403" t="str">
        <f t="shared" si="239"/>
        <v>DELETE</v>
      </c>
    </row>
    <row r="3148" spans="2:24" ht="31.5" customHeight="1" x14ac:dyDescent="0.45">
      <c r="M3148" s="426"/>
      <c r="N3148" s="406"/>
      <c r="O3148" s="426"/>
      <c r="R3148" s="403" t="str">
        <f t="shared" si="239"/>
        <v>DELETE</v>
      </c>
    </row>
    <row r="3149" spans="2:24" ht="31.5" customHeight="1" x14ac:dyDescent="0.45">
      <c r="D3149" s="417" t="s">
        <v>91</v>
      </c>
      <c r="M3149" s="426"/>
      <c r="N3149" s="406"/>
      <c r="O3149" s="426"/>
      <c r="R3149" s="403" t="str">
        <f t="shared" si="239"/>
        <v>DELETE</v>
      </c>
    </row>
    <row r="3150" spans="2:24" ht="31.5" customHeight="1" x14ac:dyDescent="0.45">
      <c r="D3150" s="417" t="str">
        <f>Criteria!E20</f>
        <v>29 FEBRUARY 2024</v>
      </c>
      <c r="M3150" s="426"/>
      <c r="N3150" s="406"/>
      <c r="O3150" s="426"/>
      <c r="R3150" s="403" t="str">
        <f t="shared" si="239"/>
        <v>DELETE</v>
      </c>
    </row>
    <row r="3151" spans="2:24" ht="31.5" customHeight="1" x14ac:dyDescent="0.45">
      <c r="M3151" s="426"/>
      <c r="N3151" s="406"/>
      <c r="O3151" s="426"/>
      <c r="R3151" s="403" t="str">
        <f t="shared" si="239"/>
        <v>DELETE</v>
      </c>
    </row>
    <row r="3152" spans="2:24" ht="31.5" customHeight="1" x14ac:dyDescent="0.45">
      <c r="B3152" s="438"/>
      <c r="C3152" s="439"/>
      <c r="D3152" s="439"/>
      <c r="E3152" s="439"/>
      <c r="F3152" s="439"/>
      <c r="G3152" s="439"/>
      <c r="H3152" s="439"/>
      <c r="I3152" s="439"/>
      <c r="J3152" s="439"/>
      <c r="K3152" s="439"/>
      <c r="L3152" s="439"/>
      <c r="M3152" s="469"/>
      <c r="N3152" s="470"/>
      <c r="O3152" s="469"/>
      <c r="P3152" s="448"/>
      <c r="Q3152" s="440"/>
      <c r="R3152" s="403" t="str">
        <f t="shared" si="239"/>
        <v>DELETE</v>
      </c>
    </row>
    <row r="3153" spans="2:24" ht="31.5" customHeight="1" x14ac:dyDescent="0.45">
      <c r="B3153" s="441"/>
      <c r="J3153" s="292"/>
      <c r="K3153" s="292" t="s">
        <v>104</v>
      </c>
      <c r="L3153" s="405"/>
      <c r="M3153" s="421"/>
      <c r="N3153" s="292"/>
      <c r="O3153" s="344">
        <f>Criteria!E22</f>
        <v>2024</v>
      </c>
      <c r="P3153" s="295"/>
      <c r="Q3153" s="442"/>
      <c r="R3153" s="403" t="str">
        <f t="shared" si="239"/>
        <v>DELETE</v>
      </c>
    </row>
    <row r="3154" spans="2:24" ht="31.5" customHeight="1" x14ac:dyDescent="0.45">
      <c r="B3154" s="441"/>
      <c r="J3154" s="292"/>
      <c r="K3154" s="292"/>
      <c r="L3154" s="405"/>
      <c r="M3154" s="421"/>
      <c r="N3154" s="292"/>
      <c r="O3154" s="347"/>
      <c r="P3154" s="295"/>
      <c r="Q3154" s="442"/>
      <c r="R3154" s="403" t="str">
        <f t="shared" si="239"/>
        <v>DELETE</v>
      </c>
    </row>
    <row r="3155" spans="2:24" ht="31.5" customHeight="1" x14ac:dyDescent="0.45">
      <c r="B3155" s="441"/>
      <c r="C3155" s="417" t="s">
        <v>112</v>
      </c>
      <c r="J3155" s="292"/>
      <c r="K3155" s="292"/>
      <c r="L3155" s="405"/>
      <c r="M3155" s="421"/>
      <c r="N3155" s="292"/>
      <c r="O3155" s="347">
        <f>-SUM(TrialBalanceC!I5:I10)</f>
        <v>0</v>
      </c>
      <c r="P3155" s="295"/>
      <c r="Q3155" s="442"/>
      <c r="R3155" s="403" t="str">
        <f>IF(R3143="DELETE","DELETE",IF(O3155=0,IF(O3157=0," ","DELETE")," "))</f>
        <v>DELETE</v>
      </c>
      <c r="S3155" s="380">
        <f>O3155</f>
        <v>0</v>
      </c>
      <c r="T3155" s="380"/>
      <c r="U3155" s="380"/>
      <c r="V3155" s="380"/>
      <c r="W3155" s="380"/>
      <c r="X3155" s="380"/>
    </row>
    <row r="3156" spans="2:24" ht="31.5" customHeight="1" x14ac:dyDescent="0.45">
      <c r="B3156" s="441"/>
      <c r="C3156" s="417"/>
      <c r="J3156" s="292"/>
      <c r="K3156" s="292"/>
      <c r="L3156" s="405"/>
      <c r="M3156" s="421"/>
      <c r="N3156" s="292"/>
      <c r="O3156" s="347"/>
      <c r="P3156" s="295"/>
      <c r="Q3156" s="442"/>
      <c r="R3156" s="403" t="str">
        <f>R3155</f>
        <v>DELETE</v>
      </c>
      <c r="S3156" s="380"/>
      <c r="T3156" s="380"/>
      <c r="U3156" s="380"/>
      <c r="V3156" s="380"/>
      <c r="W3156" s="380"/>
      <c r="X3156" s="380"/>
    </row>
    <row r="3157" spans="2:24" ht="31.5" customHeight="1" x14ac:dyDescent="0.45">
      <c r="B3157" s="441"/>
      <c r="C3157" s="417" t="s">
        <v>525</v>
      </c>
      <c r="J3157" s="292"/>
      <c r="K3157" s="292"/>
      <c r="L3157" s="405"/>
      <c r="M3157" s="421"/>
      <c r="N3157" s="292"/>
      <c r="O3157" s="347">
        <f>-TrialBalanceC!I11</f>
        <v>0</v>
      </c>
      <c r="P3157" s="295"/>
      <c r="Q3157" s="442"/>
      <c r="R3157" s="403" t="str">
        <f>IF(R3143="DELETE","DELETE",IF(O3157=0,"DELETE"," "))</f>
        <v>DELETE</v>
      </c>
      <c r="S3157" s="380">
        <f>O3157</f>
        <v>0</v>
      </c>
      <c r="T3157" s="380"/>
      <c r="U3157" s="380"/>
      <c r="V3157" s="380"/>
      <c r="W3157" s="380"/>
      <c r="X3157" s="380"/>
    </row>
    <row r="3158" spans="2:24" ht="31.5" customHeight="1" x14ac:dyDescent="0.45">
      <c r="B3158" s="441"/>
      <c r="C3158" s="417"/>
      <c r="J3158" s="292"/>
      <c r="K3158" s="292"/>
      <c r="L3158" s="405"/>
      <c r="M3158" s="421"/>
      <c r="N3158" s="292"/>
      <c r="O3158" s="347"/>
      <c r="P3158" s="295"/>
      <c r="Q3158" s="442"/>
      <c r="R3158" s="403" t="str">
        <f>R3157</f>
        <v>DELETE</v>
      </c>
    </row>
    <row r="3159" spans="2:24" ht="31.5" customHeight="1" x14ac:dyDescent="0.45">
      <c r="B3159" s="441"/>
      <c r="C3159" s="417" t="s">
        <v>273</v>
      </c>
      <c r="J3159" s="292"/>
      <c r="K3159" s="292"/>
      <c r="L3159" s="405"/>
      <c r="M3159" s="421"/>
      <c r="N3159" s="292"/>
      <c r="O3159" s="347">
        <f>SUM(O3162:O3169)</f>
        <v>0</v>
      </c>
      <c r="P3159" s="295"/>
      <c r="Q3159" s="442"/>
      <c r="R3159" s="403" t="str">
        <f>IF(R$3143="DELETE","DELETE",IF(O3159=0,"DELETE"," "))</f>
        <v>DELETE</v>
      </c>
      <c r="S3159" s="380">
        <f>-O3159</f>
        <v>0</v>
      </c>
      <c r="T3159" s="380"/>
      <c r="U3159" s="380"/>
      <c r="V3159" s="380"/>
      <c r="W3159" s="380"/>
      <c r="X3159" s="380"/>
    </row>
    <row r="3160" spans="2:24" ht="9" customHeight="1" x14ac:dyDescent="0.45">
      <c r="B3160" s="441"/>
      <c r="C3160" s="417"/>
      <c r="J3160" s="292"/>
      <c r="K3160" s="292"/>
      <c r="L3160" s="405"/>
      <c r="M3160" s="421"/>
      <c r="N3160" s="292"/>
      <c r="O3160" s="347"/>
      <c r="P3160" s="295"/>
      <c r="Q3160" s="442"/>
      <c r="R3160" s="403" t="str">
        <f>R3159</f>
        <v>DELETE</v>
      </c>
    </row>
    <row r="3161" spans="2:24" ht="9" customHeight="1" x14ac:dyDescent="0.45">
      <c r="B3161" s="441"/>
      <c r="C3161" s="417"/>
      <c r="J3161" s="292"/>
      <c r="K3161" s="292"/>
      <c r="L3161" s="405"/>
      <c r="M3161" s="421"/>
      <c r="N3161" s="292"/>
      <c r="O3161" s="372"/>
      <c r="P3161" s="295"/>
      <c r="Q3161" s="442"/>
      <c r="R3161" s="403" t="str">
        <f>R3160</f>
        <v>DELETE</v>
      </c>
    </row>
    <row r="3162" spans="2:24" ht="31.5" customHeight="1" x14ac:dyDescent="0.45">
      <c r="B3162" s="441"/>
      <c r="C3162" s="417"/>
      <c r="D3162" s="400" t="s">
        <v>527</v>
      </c>
      <c r="J3162" s="292"/>
      <c r="K3162" s="292"/>
      <c r="L3162" s="405"/>
      <c r="M3162" s="421"/>
      <c r="N3162" s="292"/>
      <c r="O3162" s="373">
        <f>SUM(TrialBalanceC!I13:I16)</f>
        <v>0</v>
      </c>
      <c r="P3162" s="295"/>
      <c r="Q3162" s="442"/>
      <c r="R3162" s="403" t="str">
        <f t="shared" ref="R3162:R3169" si="240">IF(R$3143="DELETE","DELETE",IF(O3162=0,"DELETE"," "))</f>
        <v>DELETE</v>
      </c>
    </row>
    <row r="3163" spans="2:24" ht="31.5" customHeight="1" x14ac:dyDescent="0.45">
      <c r="B3163" s="441"/>
      <c r="C3163" s="417"/>
      <c r="D3163" s="400" t="s">
        <v>274</v>
      </c>
      <c r="J3163" s="292"/>
      <c r="K3163" s="292"/>
      <c r="L3163" s="405"/>
      <c r="M3163" s="421"/>
      <c r="N3163" s="292"/>
      <c r="O3163" s="373">
        <f>TrialBalanceC!I17</f>
        <v>0</v>
      </c>
      <c r="P3163" s="295"/>
      <c r="Q3163" s="442"/>
      <c r="R3163" s="403" t="str">
        <f t="shared" si="240"/>
        <v>DELETE</v>
      </c>
    </row>
    <row r="3164" spans="2:24" ht="31.5" customHeight="1" x14ac:dyDescent="0.45">
      <c r="B3164" s="441"/>
      <c r="C3164" s="417"/>
      <c r="D3164" s="400">
        <f>TrialBalanceC!C18</f>
        <v>0</v>
      </c>
      <c r="J3164" s="292"/>
      <c r="K3164" s="292"/>
      <c r="L3164" s="405"/>
      <c r="M3164" s="421"/>
      <c r="N3164" s="292"/>
      <c r="O3164" s="373">
        <f>TrialBalanceC!I18</f>
        <v>0</v>
      </c>
      <c r="P3164" s="295"/>
      <c r="Q3164" s="442"/>
      <c r="R3164" s="403" t="str">
        <f t="shared" si="240"/>
        <v>DELETE</v>
      </c>
    </row>
    <row r="3165" spans="2:24" ht="31.5" customHeight="1" x14ac:dyDescent="0.45">
      <c r="B3165" s="441"/>
      <c r="C3165" s="417"/>
      <c r="D3165" s="400">
        <f>TrialBalanceC!C19</f>
        <v>0</v>
      </c>
      <c r="J3165" s="292"/>
      <c r="K3165" s="292"/>
      <c r="L3165" s="405"/>
      <c r="M3165" s="421"/>
      <c r="N3165" s="292"/>
      <c r="O3165" s="373">
        <f>TrialBalanceC!I19</f>
        <v>0</v>
      </c>
      <c r="P3165" s="295"/>
      <c r="Q3165" s="442"/>
      <c r="R3165" s="403" t="str">
        <f t="shared" si="240"/>
        <v>DELETE</v>
      </c>
    </row>
    <row r="3166" spans="2:24" ht="31.5" customHeight="1" x14ac:dyDescent="0.45">
      <c r="B3166" s="441"/>
      <c r="C3166" s="417"/>
      <c r="D3166" s="400">
        <f>TrialBalanceC!C20</f>
        <v>0</v>
      </c>
      <c r="J3166" s="292"/>
      <c r="K3166" s="292"/>
      <c r="L3166" s="405"/>
      <c r="M3166" s="421"/>
      <c r="N3166" s="292"/>
      <c r="O3166" s="373">
        <f>TrialBalanceC!I20</f>
        <v>0</v>
      </c>
      <c r="P3166" s="295"/>
      <c r="Q3166" s="442"/>
      <c r="R3166" s="403" t="str">
        <f t="shared" si="240"/>
        <v>DELETE</v>
      </c>
    </row>
    <row r="3167" spans="2:24" ht="31.5" customHeight="1" x14ac:dyDescent="0.45">
      <c r="B3167" s="441"/>
      <c r="C3167" s="417"/>
      <c r="D3167" s="400">
        <f>TrialBalanceC!C21</f>
        <v>0</v>
      </c>
      <c r="J3167" s="292"/>
      <c r="K3167" s="292"/>
      <c r="L3167" s="405"/>
      <c r="M3167" s="421"/>
      <c r="N3167" s="292"/>
      <c r="O3167" s="373">
        <f>TrialBalanceC!I21</f>
        <v>0</v>
      </c>
      <c r="P3167" s="295"/>
      <c r="Q3167" s="442"/>
      <c r="R3167" s="403" t="str">
        <f t="shared" si="240"/>
        <v>DELETE</v>
      </c>
    </row>
    <row r="3168" spans="2:24" ht="31.5" customHeight="1" x14ac:dyDescent="0.45">
      <c r="B3168" s="441"/>
      <c r="C3168" s="417"/>
      <c r="D3168" s="400">
        <f>TrialBalanceC!C22</f>
        <v>0</v>
      </c>
      <c r="J3168" s="292"/>
      <c r="K3168" s="292"/>
      <c r="L3168" s="405"/>
      <c r="M3168" s="421"/>
      <c r="N3168" s="292"/>
      <c r="O3168" s="373">
        <f>TrialBalanceC!I22</f>
        <v>0</v>
      </c>
      <c r="P3168" s="295"/>
      <c r="Q3168" s="442"/>
      <c r="R3168" s="403" t="str">
        <f t="shared" si="240"/>
        <v>DELETE</v>
      </c>
    </row>
    <row r="3169" spans="2:21" ht="31.5" customHeight="1" x14ac:dyDescent="0.45">
      <c r="B3169" s="441"/>
      <c r="C3169" s="417"/>
      <c r="D3169" s="400" t="s">
        <v>528</v>
      </c>
      <c r="J3169" s="292"/>
      <c r="K3169" s="292"/>
      <c r="L3169" s="405"/>
      <c r="M3169" s="421"/>
      <c r="N3169" s="292"/>
      <c r="O3169" s="373">
        <f>SUM(TrialBalanceC!I23:I26)</f>
        <v>0</v>
      </c>
      <c r="P3169" s="295"/>
      <c r="Q3169" s="442"/>
      <c r="R3169" s="403" t="str">
        <f t="shared" si="240"/>
        <v>DELETE</v>
      </c>
    </row>
    <row r="3170" spans="2:21" ht="9" customHeight="1" x14ac:dyDescent="0.45">
      <c r="B3170" s="441"/>
      <c r="C3170" s="417"/>
      <c r="J3170" s="292"/>
      <c r="K3170" s="292"/>
      <c r="L3170" s="405"/>
      <c r="M3170" s="421"/>
      <c r="N3170" s="292"/>
      <c r="O3170" s="374"/>
      <c r="P3170" s="295"/>
      <c r="Q3170" s="442"/>
      <c r="R3170" s="403" t="str">
        <f>R3159</f>
        <v>DELETE</v>
      </c>
    </row>
    <row r="3171" spans="2:21" ht="9" customHeight="1" x14ac:dyDescent="0.45">
      <c r="B3171" s="441"/>
      <c r="C3171" s="417"/>
      <c r="J3171" s="292"/>
      <c r="K3171" s="292"/>
      <c r="L3171" s="405"/>
      <c r="M3171" s="421"/>
      <c r="N3171" s="292"/>
      <c r="O3171" s="349"/>
      <c r="P3171" s="295"/>
      <c r="Q3171" s="442"/>
      <c r="R3171" s="403" t="str">
        <f>R3159</f>
        <v>DELETE</v>
      </c>
    </row>
    <row r="3172" spans="2:21" ht="9" customHeight="1" x14ac:dyDescent="0.45">
      <c r="B3172" s="441"/>
      <c r="C3172" s="417"/>
      <c r="J3172" s="292"/>
      <c r="K3172" s="292"/>
      <c r="L3172" s="405"/>
      <c r="M3172" s="421"/>
      <c r="N3172" s="292"/>
      <c r="O3172" s="347"/>
      <c r="P3172" s="295"/>
      <c r="Q3172" s="442"/>
      <c r="R3172" s="403" t="str">
        <f>R3171</f>
        <v>DELETE</v>
      </c>
    </row>
    <row r="3173" spans="2:21" ht="31.5" customHeight="1" x14ac:dyDescent="0.45">
      <c r="B3173" s="441"/>
      <c r="C3173" s="315" t="str">
        <f>IF(O3173&lt;0,"GROSS LOSS","GROSS PROFIT")</f>
        <v>GROSS PROFIT</v>
      </c>
      <c r="J3173" s="292"/>
      <c r="K3173" s="292"/>
      <c r="L3173" s="405"/>
      <c r="M3173" s="421"/>
      <c r="N3173" s="292"/>
      <c r="O3173" s="347">
        <f>SUM(S3155:S3170)</f>
        <v>0</v>
      </c>
      <c r="P3173" s="295"/>
      <c r="Q3173" s="442"/>
      <c r="R3173" s="403" t="str">
        <f>R3172</f>
        <v>DELETE</v>
      </c>
    </row>
    <row r="3174" spans="2:21" ht="31.5" customHeight="1" x14ac:dyDescent="0.45">
      <c r="B3174" s="441"/>
      <c r="C3174" s="417"/>
      <c r="J3174" s="292"/>
      <c r="K3174" s="292"/>
      <c r="L3174" s="405"/>
      <c r="M3174" s="421"/>
      <c r="N3174" s="292"/>
      <c r="O3174" s="347"/>
      <c r="P3174" s="295"/>
      <c r="Q3174" s="442"/>
      <c r="R3174" s="403" t="str">
        <f>R3173</f>
        <v>DELETE</v>
      </c>
    </row>
    <row r="3175" spans="2:21" ht="31.5" customHeight="1" x14ac:dyDescent="0.45">
      <c r="B3175" s="441"/>
      <c r="C3175" s="417" t="s">
        <v>323</v>
      </c>
      <c r="J3175" s="292"/>
      <c r="K3175" s="292"/>
      <c r="L3175" s="405"/>
      <c r="M3175" s="421"/>
      <c r="N3175" s="292"/>
      <c r="O3175" s="347">
        <f>SUM(O3177:O3184)</f>
        <v>0</v>
      </c>
      <c r="P3175" s="295"/>
      <c r="Q3175" s="442"/>
      <c r="R3175" s="403" t="str">
        <f t="shared" ref="R3175" si="241">IF(R$3143="DELETE","DELETE",IF(O3175=0,"DELETE"," "))</f>
        <v>DELETE</v>
      </c>
      <c r="S3175" s="380">
        <f>O3175</f>
        <v>0</v>
      </c>
      <c r="T3175" s="380"/>
      <c r="U3175" s="380"/>
    </row>
    <row r="3176" spans="2:21" ht="9" customHeight="1" x14ac:dyDescent="0.45">
      <c r="B3176" s="441"/>
      <c r="C3176" s="417"/>
      <c r="J3176" s="292"/>
      <c r="K3176" s="292"/>
      <c r="L3176" s="405"/>
      <c r="M3176" s="421"/>
      <c r="N3176" s="292"/>
      <c r="O3176" s="347"/>
      <c r="P3176" s="295"/>
      <c r="Q3176" s="442"/>
      <c r="R3176" s="403" t="str">
        <f>R3175</f>
        <v>DELETE</v>
      </c>
    </row>
    <row r="3177" spans="2:21" ht="9" customHeight="1" x14ac:dyDescent="0.45">
      <c r="B3177" s="441"/>
      <c r="C3177" s="417"/>
      <c r="J3177" s="292"/>
      <c r="K3177" s="292"/>
      <c r="L3177" s="405"/>
      <c r="M3177" s="421"/>
      <c r="N3177" s="292"/>
      <c r="O3177" s="372"/>
      <c r="P3177" s="295"/>
      <c r="Q3177" s="442"/>
      <c r="R3177" s="403" t="str">
        <f>R3175</f>
        <v>DELETE</v>
      </c>
    </row>
    <row r="3178" spans="2:21" ht="31.5" customHeight="1" x14ac:dyDescent="0.45">
      <c r="B3178" s="441"/>
      <c r="C3178" s="417"/>
      <c r="D3178" s="400" t="str">
        <f>TrialBalanceC!C28</f>
        <v xml:space="preserve">Insurance claims - </v>
      </c>
      <c r="J3178" s="292"/>
      <c r="K3178" s="292"/>
      <c r="L3178" s="405"/>
      <c r="M3178" s="421"/>
      <c r="N3178" s="292"/>
      <c r="O3178" s="373">
        <f>-TrialBalanceC!I28</f>
        <v>0</v>
      </c>
      <c r="P3178" s="295"/>
      <c r="Q3178" s="442"/>
      <c r="R3178" s="403" t="str">
        <f t="shared" ref="R3178:R3182" si="242">IF(R$3143="DELETE","DELETE",IF(O3178=0,"DELETE"," "))</f>
        <v>DELETE</v>
      </c>
    </row>
    <row r="3179" spans="2:21" ht="31.5" customHeight="1" x14ac:dyDescent="0.45">
      <c r="B3179" s="441"/>
      <c r="C3179" s="417"/>
      <c r="D3179" s="400" t="str">
        <f>TrialBalanceC!C29</f>
        <v>Government grants received</v>
      </c>
      <c r="J3179" s="292"/>
      <c r="K3179" s="292"/>
      <c r="L3179" s="405"/>
      <c r="M3179" s="421"/>
      <c r="N3179" s="292"/>
      <c r="O3179" s="373">
        <f>-TrialBalanceC!I29</f>
        <v>0</v>
      </c>
      <c r="P3179" s="295"/>
      <c r="Q3179" s="442"/>
      <c r="R3179" s="403" t="str">
        <f t="shared" si="242"/>
        <v>DELETE</v>
      </c>
    </row>
    <row r="3180" spans="2:21" ht="31.5" customHeight="1" x14ac:dyDescent="0.45">
      <c r="B3180" s="441"/>
      <c r="C3180" s="417"/>
      <c r="D3180" s="400">
        <f>TrialBalanceC!C30</f>
        <v>0</v>
      </c>
      <c r="J3180" s="292"/>
      <c r="K3180" s="292"/>
      <c r="L3180" s="405"/>
      <c r="M3180" s="421"/>
      <c r="N3180" s="292"/>
      <c r="O3180" s="373">
        <f>-TrialBalanceC!I30</f>
        <v>0</v>
      </c>
      <c r="P3180" s="295"/>
      <c r="Q3180" s="442"/>
      <c r="R3180" s="403" t="str">
        <f t="shared" si="242"/>
        <v>DELETE</v>
      </c>
    </row>
    <row r="3181" spans="2:21" ht="31.5" customHeight="1" x14ac:dyDescent="0.45">
      <c r="B3181" s="441"/>
      <c r="C3181" s="417"/>
      <c r="D3181" s="400">
        <f>TrialBalanceC!C31</f>
        <v>0</v>
      </c>
      <c r="J3181" s="292"/>
      <c r="K3181" s="292"/>
      <c r="L3181" s="405"/>
      <c r="M3181" s="421"/>
      <c r="N3181" s="292"/>
      <c r="O3181" s="373">
        <f>-TrialBalanceC!I31</f>
        <v>0</v>
      </c>
      <c r="P3181" s="295"/>
      <c r="Q3181" s="442"/>
      <c r="R3181" s="403" t="str">
        <f t="shared" si="242"/>
        <v>DELETE</v>
      </c>
    </row>
    <row r="3182" spans="2:21" ht="31.5" customHeight="1" x14ac:dyDescent="0.45">
      <c r="B3182" s="441"/>
      <c r="C3182" s="417"/>
      <c r="D3182" s="400">
        <f>TrialBalanceC!C32</f>
        <v>0</v>
      </c>
      <c r="J3182" s="292"/>
      <c r="K3182" s="292"/>
      <c r="L3182" s="405"/>
      <c r="M3182" s="421"/>
      <c r="N3182" s="292"/>
      <c r="O3182" s="373">
        <f>-TrialBalanceC!I32</f>
        <v>0</v>
      </c>
      <c r="P3182" s="295"/>
      <c r="Q3182" s="442"/>
      <c r="R3182" s="403" t="str">
        <f t="shared" si="242"/>
        <v>DELETE</v>
      </c>
    </row>
    <row r="3183" spans="2:21" ht="31.5" customHeight="1" x14ac:dyDescent="0.45">
      <c r="B3183" s="441"/>
      <c r="C3183" s="417"/>
      <c r="D3183" s="400" t="str">
        <f>TrialBalanceC!C33</f>
        <v>Recoupment of depreciation</v>
      </c>
      <c r="J3183" s="292"/>
      <c r="K3183" s="292"/>
      <c r="L3183" s="405"/>
      <c r="M3183" s="421"/>
      <c r="N3183" s="292"/>
      <c r="O3183" s="373">
        <f>-TrialBalanceC!I33</f>
        <v>0</v>
      </c>
      <c r="P3183" s="295"/>
      <c r="Q3183" s="442"/>
      <c r="R3183" s="403" t="str">
        <f t="shared" ref="R3183" si="243">IF(R$3143="DELETE","DELETE",IF(O3183=0,"DELETE"," "))</f>
        <v>DELETE</v>
      </c>
    </row>
    <row r="3184" spans="2:21" ht="9" customHeight="1" x14ac:dyDescent="0.45">
      <c r="B3184" s="441"/>
      <c r="C3184" s="417"/>
      <c r="J3184" s="292"/>
      <c r="K3184" s="292"/>
      <c r="L3184" s="405"/>
      <c r="M3184" s="421"/>
      <c r="N3184" s="292"/>
      <c r="O3184" s="374"/>
      <c r="P3184" s="295"/>
      <c r="Q3184" s="442"/>
      <c r="R3184" s="403" t="str">
        <f>R3175</f>
        <v>DELETE</v>
      </c>
    </row>
    <row r="3185" spans="2:24" ht="9" customHeight="1" x14ac:dyDescent="0.45">
      <c r="B3185" s="441"/>
      <c r="C3185" s="417"/>
      <c r="J3185" s="292"/>
      <c r="K3185" s="292"/>
      <c r="L3185" s="405"/>
      <c r="M3185" s="421"/>
      <c r="N3185" s="292"/>
      <c r="O3185" s="364"/>
      <c r="P3185" s="295"/>
      <c r="Q3185" s="442"/>
      <c r="R3185" s="403" t="str">
        <f>R3184</f>
        <v>DELETE</v>
      </c>
    </row>
    <row r="3186" spans="2:24" ht="9" customHeight="1" x14ac:dyDescent="0.45">
      <c r="B3186" s="441"/>
      <c r="C3186" s="417"/>
      <c r="J3186" s="292"/>
      <c r="K3186" s="292"/>
      <c r="L3186" s="405"/>
      <c r="M3186" s="421"/>
      <c r="N3186" s="292"/>
      <c r="O3186" s="347"/>
      <c r="P3186" s="295"/>
      <c r="Q3186" s="442"/>
      <c r="R3186" s="403" t="str">
        <f>R3185</f>
        <v>DELETE</v>
      </c>
    </row>
    <row r="3187" spans="2:24" ht="31.5" customHeight="1" x14ac:dyDescent="0.45">
      <c r="B3187" s="441"/>
      <c r="C3187" s="417"/>
      <c r="J3187" s="292"/>
      <c r="K3187" s="292"/>
      <c r="L3187" s="405"/>
      <c r="M3187" s="421"/>
      <c r="N3187" s="292"/>
      <c r="O3187" s="347">
        <f>SUM(S3155:S3175)</f>
        <v>0</v>
      </c>
      <c r="P3187" s="295"/>
      <c r="Q3187" s="442"/>
      <c r="R3187" s="403" t="str">
        <f>R3175</f>
        <v>DELETE</v>
      </c>
    </row>
    <row r="3188" spans="2:24" ht="31.5" customHeight="1" x14ac:dyDescent="0.45">
      <c r="B3188" s="441"/>
      <c r="C3188" s="417"/>
      <c r="J3188" s="292"/>
      <c r="K3188" s="292"/>
      <c r="L3188" s="405"/>
      <c r="M3188" s="421"/>
      <c r="N3188" s="292"/>
      <c r="O3188" s="347"/>
      <c r="P3188" s="295"/>
      <c r="Q3188" s="442"/>
      <c r="R3188" s="403" t="str">
        <f>R3187</f>
        <v>DELETE</v>
      </c>
    </row>
    <row r="3189" spans="2:24" ht="31.5" customHeight="1" x14ac:dyDescent="0.45">
      <c r="B3189" s="441"/>
      <c r="C3189" s="417" t="s">
        <v>996</v>
      </c>
      <c r="J3189" s="292"/>
      <c r="K3189" s="292"/>
      <c r="L3189" s="405"/>
      <c r="M3189" s="421"/>
      <c r="N3189" s="292"/>
      <c r="O3189" s="347">
        <f>SUM(O3191:O3219)</f>
        <v>0</v>
      </c>
      <c r="P3189" s="295"/>
      <c r="Q3189" s="442"/>
      <c r="R3189" s="403" t="str">
        <f t="shared" ref="R3189" si="244">IF(R$3143="DELETE","DELETE",IF(O3189=0,"DELETE"," "))</f>
        <v>DELETE</v>
      </c>
      <c r="S3189" s="380">
        <f>-O3189</f>
        <v>0</v>
      </c>
      <c r="T3189" s="380"/>
      <c r="U3189" s="380"/>
      <c r="V3189" s="380"/>
      <c r="W3189" s="380"/>
      <c r="X3189" s="380"/>
    </row>
    <row r="3190" spans="2:24" ht="9" customHeight="1" x14ac:dyDescent="0.45">
      <c r="B3190" s="441"/>
      <c r="C3190" s="417"/>
      <c r="J3190" s="292"/>
      <c r="K3190" s="292"/>
      <c r="L3190" s="405"/>
      <c r="M3190" s="421"/>
      <c r="N3190" s="292"/>
      <c r="O3190" s="347"/>
      <c r="P3190" s="295"/>
      <c r="Q3190" s="442"/>
      <c r="R3190" s="403" t="str">
        <f>R3189</f>
        <v>DELETE</v>
      </c>
    </row>
    <row r="3191" spans="2:24" ht="9" customHeight="1" x14ac:dyDescent="0.45">
      <c r="B3191" s="441"/>
      <c r="C3191" s="417"/>
      <c r="J3191" s="292"/>
      <c r="K3191" s="292"/>
      <c r="L3191" s="405"/>
      <c r="M3191" s="421"/>
      <c r="N3191" s="292"/>
      <c r="O3191" s="372"/>
      <c r="P3191" s="295"/>
      <c r="Q3191" s="442"/>
      <c r="R3191" s="403" t="str">
        <f>R3190</f>
        <v>DELETE</v>
      </c>
    </row>
    <row r="3192" spans="2:24" ht="31.5" customHeight="1" x14ac:dyDescent="0.45">
      <c r="B3192" s="441"/>
      <c r="C3192" s="417"/>
      <c r="D3192" s="400" t="s">
        <v>275</v>
      </c>
      <c r="J3192" s="292"/>
      <c r="K3192" s="292"/>
      <c r="L3192" s="405"/>
      <c r="M3192" s="421"/>
      <c r="N3192" s="292"/>
      <c r="O3192" s="373">
        <f>TrialBalanceC!I40</f>
        <v>0</v>
      </c>
      <c r="P3192" s="295"/>
      <c r="Q3192" s="442"/>
      <c r="R3192" s="403" t="str">
        <f t="shared" ref="R3192:R3218" si="245">IF(R$3143="DELETE","DELETE",IF(O3192=0,"DELETE"," "))</f>
        <v>DELETE</v>
      </c>
    </row>
    <row r="3193" spans="2:24" ht="31.5" customHeight="1" x14ac:dyDescent="0.45">
      <c r="B3193" s="441"/>
      <c r="C3193" s="417"/>
      <c r="D3193" s="400" t="s">
        <v>702</v>
      </c>
      <c r="J3193" s="292"/>
      <c r="K3193" s="292"/>
      <c r="L3193" s="405"/>
      <c r="M3193" s="421"/>
      <c r="N3193" s="292"/>
      <c r="O3193" s="373">
        <f>TrialBalanceC!I41</f>
        <v>0</v>
      </c>
      <c r="P3193" s="295"/>
      <c r="Q3193" s="442"/>
      <c r="R3193" s="403" t="str">
        <f t="shared" si="245"/>
        <v>DELETE</v>
      </c>
    </row>
    <row r="3194" spans="2:24" ht="31.5" customHeight="1" x14ac:dyDescent="0.45">
      <c r="B3194" s="441"/>
      <c r="C3194" s="417"/>
      <c r="D3194" s="400" t="s">
        <v>276</v>
      </c>
      <c r="J3194" s="292"/>
      <c r="K3194" s="292"/>
      <c r="L3194" s="405"/>
      <c r="M3194" s="421"/>
      <c r="N3194" s="292"/>
      <c r="O3194" s="373">
        <f>TrialBalanceC!I42</f>
        <v>0</v>
      </c>
      <c r="P3194" s="295"/>
      <c r="Q3194" s="442"/>
      <c r="R3194" s="403" t="str">
        <f t="shared" si="245"/>
        <v>DELETE</v>
      </c>
    </row>
    <row r="3195" spans="2:24" ht="31.5" customHeight="1" x14ac:dyDescent="0.45">
      <c r="B3195" s="441"/>
      <c r="C3195" s="417"/>
      <c r="D3195" s="400" t="s">
        <v>277</v>
      </c>
      <c r="J3195" s="292"/>
      <c r="K3195" s="292">
        <f>C$940</f>
        <v>5.2999999999999989</v>
      </c>
      <c r="L3195" s="405"/>
      <c r="M3195" s="421"/>
      <c r="N3195" s="292"/>
      <c r="O3195" s="373">
        <f>SUM(TrialBalanceC!I44:I46)</f>
        <v>0</v>
      </c>
      <c r="P3195" s="295"/>
      <c r="Q3195" s="442"/>
      <c r="R3195" s="403" t="str">
        <f t="shared" si="245"/>
        <v>DELETE</v>
      </c>
    </row>
    <row r="3196" spans="2:24" ht="31.5" customHeight="1" x14ac:dyDescent="0.45">
      <c r="B3196" s="441"/>
      <c r="C3196" s="417"/>
      <c r="D3196" s="400" t="s">
        <v>529</v>
      </c>
      <c r="J3196" s="292"/>
      <c r="K3196" s="292"/>
      <c r="L3196" s="405"/>
      <c r="M3196" s="421"/>
      <c r="N3196" s="292"/>
      <c r="O3196" s="373">
        <f>TrialBalanceC!I47</f>
        <v>0</v>
      </c>
      <c r="P3196" s="295"/>
      <c r="Q3196" s="442"/>
      <c r="R3196" s="403" t="str">
        <f t="shared" si="245"/>
        <v>DELETE</v>
      </c>
      <c r="S3196" s="383"/>
      <c r="T3196" s="383"/>
      <c r="U3196" s="383"/>
      <c r="V3196" s="383"/>
      <c r="W3196" s="383"/>
      <c r="X3196" s="383"/>
    </row>
    <row r="3197" spans="2:24" ht="31.5" customHeight="1" x14ac:dyDescent="0.45">
      <c r="B3197" s="441"/>
      <c r="C3197" s="417"/>
      <c r="D3197" s="400" t="s">
        <v>725</v>
      </c>
      <c r="J3197" s="292"/>
      <c r="K3197" s="292"/>
      <c r="L3197" s="405"/>
      <c r="M3197" s="421"/>
      <c r="N3197" s="292"/>
      <c r="O3197" s="373">
        <f>TrialBalanceC!I48</f>
        <v>0</v>
      </c>
      <c r="P3197" s="295"/>
      <c r="Q3197" s="442"/>
      <c r="R3197" s="403" t="str">
        <f t="shared" si="245"/>
        <v>DELETE</v>
      </c>
    </row>
    <row r="3198" spans="2:24" ht="31.5" customHeight="1" x14ac:dyDescent="0.45">
      <c r="B3198" s="441"/>
      <c r="C3198" s="417"/>
      <c r="D3198" s="400" t="s">
        <v>59</v>
      </c>
      <c r="J3198" s="292"/>
      <c r="K3198" s="292"/>
      <c r="L3198" s="405"/>
      <c r="M3198" s="421"/>
      <c r="N3198" s="292"/>
      <c r="O3198" s="373">
        <f>TrialBalanceC!I49</f>
        <v>0</v>
      </c>
      <c r="P3198" s="295"/>
      <c r="Q3198" s="442"/>
      <c r="R3198" s="403" t="str">
        <f t="shared" si="245"/>
        <v>DELETE</v>
      </c>
    </row>
    <row r="3199" spans="2:24" ht="31.5" customHeight="1" x14ac:dyDescent="0.45">
      <c r="B3199" s="441"/>
      <c r="C3199" s="417"/>
      <c r="D3199" s="400" t="s">
        <v>278</v>
      </c>
      <c r="J3199" s="292"/>
      <c r="K3199" s="292"/>
      <c r="L3199" s="405"/>
      <c r="M3199" s="421"/>
      <c r="N3199" s="292"/>
      <c r="O3199" s="373">
        <f>TrialBalanceC!I50</f>
        <v>0</v>
      </c>
      <c r="P3199" s="295"/>
      <c r="Q3199" s="442"/>
      <c r="R3199" s="403" t="str">
        <f t="shared" si="245"/>
        <v>DELETE</v>
      </c>
    </row>
    <row r="3200" spans="2:24" ht="31.5" customHeight="1" x14ac:dyDescent="0.45">
      <c r="B3200" s="441"/>
      <c r="C3200" s="417"/>
      <c r="D3200" s="400" t="s">
        <v>546</v>
      </c>
      <c r="J3200" s="292"/>
      <c r="K3200" s="292"/>
      <c r="L3200" s="405"/>
      <c r="M3200" s="421"/>
      <c r="N3200" s="292"/>
      <c r="O3200" s="373">
        <f>SUM(TrialBalanceC!I51:I52)</f>
        <v>0</v>
      </c>
      <c r="P3200" s="295"/>
      <c r="Q3200" s="442"/>
      <c r="R3200" s="403" t="str">
        <f t="shared" si="245"/>
        <v>DELETE</v>
      </c>
    </row>
    <row r="3201" spans="2:18" ht="31.5" customHeight="1" x14ac:dyDescent="0.45">
      <c r="B3201" s="441"/>
      <c r="C3201" s="417"/>
      <c r="D3201" s="400" t="s">
        <v>545</v>
      </c>
      <c r="J3201" s="292"/>
      <c r="K3201" s="292"/>
      <c r="L3201" s="405"/>
      <c r="M3201" s="421"/>
      <c r="N3201" s="292"/>
      <c r="O3201" s="373">
        <f>TrialBalanceC!I53</f>
        <v>0</v>
      </c>
      <c r="P3201" s="295"/>
      <c r="Q3201" s="442"/>
      <c r="R3201" s="403" t="str">
        <f t="shared" si="245"/>
        <v>DELETE</v>
      </c>
    </row>
    <row r="3202" spans="2:18" ht="31.5" customHeight="1" x14ac:dyDescent="0.45">
      <c r="B3202" s="441"/>
      <c r="C3202" s="417"/>
      <c r="D3202" s="400" t="s">
        <v>530</v>
      </c>
      <c r="J3202" s="292"/>
      <c r="K3202" s="292"/>
      <c r="L3202" s="405"/>
      <c r="M3202" s="421"/>
      <c r="N3202" s="292"/>
      <c r="O3202" s="373">
        <f>SUM(TrialBalanceC!I55:I59)</f>
        <v>0</v>
      </c>
      <c r="P3202" s="295"/>
      <c r="Q3202" s="442"/>
      <c r="R3202" s="403" t="str">
        <f t="shared" si="245"/>
        <v>DELETE</v>
      </c>
    </row>
    <row r="3203" spans="2:18" ht="31.5" customHeight="1" x14ac:dyDescent="0.45">
      <c r="B3203" s="441"/>
      <c r="C3203" s="417"/>
      <c r="D3203" s="400" t="s">
        <v>512</v>
      </c>
      <c r="J3203" s="292"/>
      <c r="K3203" s="292">
        <f>FS!C$908</f>
        <v>5.1999999999999993</v>
      </c>
      <c r="L3203" s="405"/>
      <c r="M3203" s="421"/>
      <c r="N3203" s="292"/>
      <c r="O3203" s="373">
        <f>SUM(TrialBalanceC!I61:I63)</f>
        <v>0</v>
      </c>
      <c r="P3203" s="295"/>
      <c r="Q3203" s="442"/>
      <c r="R3203" s="403" t="str">
        <f t="shared" si="245"/>
        <v>DELETE</v>
      </c>
    </row>
    <row r="3204" spans="2:18" ht="31.5" customHeight="1" x14ac:dyDescent="0.45">
      <c r="B3204" s="441"/>
      <c r="C3204" s="417"/>
      <c r="D3204" s="400" t="s">
        <v>62</v>
      </c>
      <c r="J3204" s="292"/>
      <c r="K3204" s="292"/>
      <c r="L3204" s="405"/>
      <c r="M3204" s="421"/>
      <c r="N3204" s="292"/>
      <c r="O3204" s="373">
        <f>TrialBalanceC!I64</f>
        <v>0</v>
      </c>
      <c r="P3204" s="295"/>
      <c r="Q3204" s="442"/>
      <c r="R3204" s="403" t="str">
        <f t="shared" si="245"/>
        <v>DELETE</v>
      </c>
    </row>
    <row r="3205" spans="2:18" ht="31.5" customHeight="1" x14ac:dyDescent="0.45">
      <c r="B3205" s="441"/>
      <c r="C3205" s="417"/>
      <c r="D3205" s="400" t="s">
        <v>253</v>
      </c>
      <c r="J3205" s="292"/>
      <c r="K3205" s="292"/>
      <c r="L3205" s="405"/>
      <c r="M3205" s="421"/>
      <c r="N3205" s="292"/>
      <c r="O3205" s="373">
        <f>SUM(TrialBalanceC!I65:I67)</f>
        <v>0</v>
      </c>
      <c r="P3205" s="295"/>
      <c r="Q3205" s="442"/>
      <c r="R3205" s="403" t="str">
        <f t="shared" si="245"/>
        <v>DELETE</v>
      </c>
    </row>
    <row r="3206" spans="2:18" ht="31.5" customHeight="1" x14ac:dyDescent="0.45">
      <c r="B3206" s="441"/>
      <c r="C3206" s="417"/>
      <c r="D3206" s="400" t="s">
        <v>726</v>
      </c>
      <c r="J3206" s="292"/>
      <c r="K3206" s="292"/>
      <c r="L3206" s="405"/>
      <c r="M3206" s="421"/>
      <c r="N3206" s="292"/>
      <c r="O3206" s="373">
        <f>SUM(TrialBalanceC!I68:I69)</f>
        <v>0</v>
      </c>
      <c r="P3206" s="295"/>
      <c r="Q3206" s="442"/>
      <c r="R3206" s="403" t="str">
        <f t="shared" si="245"/>
        <v>DELETE</v>
      </c>
    </row>
    <row r="3207" spans="2:18" ht="31.5" customHeight="1" x14ac:dyDescent="0.45">
      <c r="B3207" s="441"/>
      <c r="C3207" s="417"/>
      <c r="D3207" s="400" t="s">
        <v>254</v>
      </c>
      <c r="J3207" s="292"/>
      <c r="K3207" s="292"/>
      <c r="L3207" s="405"/>
      <c r="M3207" s="421"/>
      <c r="N3207" s="292"/>
      <c r="O3207" s="373">
        <f>TrialBalanceC!I70</f>
        <v>0</v>
      </c>
      <c r="P3207" s="295"/>
      <c r="Q3207" s="442"/>
      <c r="R3207" s="403" t="str">
        <f t="shared" si="245"/>
        <v>DELETE</v>
      </c>
    </row>
    <row r="3208" spans="2:18" ht="31.5" customHeight="1" x14ac:dyDescent="0.45">
      <c r="B3208" s="441"/>
      <c r="C3208" s="417"/>
      <c r="D3208" s="400" t="s">
        <v>387</v>
      </c>
      <c r="J3208" s="292"/>
      <c r="K3208" s="292"/>
      <c r="L3208" s="405"/>
      <c r="M3208" s="421"/>
      <c r="N3208" s="292"/>
      <c r="O3208" s="373">
        <f>TrialBalanceC!I71</f>
        <v>0</v>
      </c>
      <c r="P3208" s="295"/>
      <c r="Q3208" s="442"/>
      <c r="R3208" s="403" t="str">
        <f t="shared" si="245"/>
        <v>DELETE</v>
      </c>
    </row>
    <row r="3209" spans="2:18" ht="31.5" customHeight="1" x14ac:dyDescent="0.45">
      <c r="B3209" s="441"/>
      <c r="C3209" s="417"/>
      <c r="D3209" s="400">
        <f>TrialBalanceC!C72</f>
        <v>0</v>
      </c>
      <c r="J3209" s="292"/>
      <c r="K3209" s="292"/>
      <c r="L3209" s="405"/>
      <c r="M3209" s="421"/>
      <c r="N3209" s="292"/>
      <c r="O3209" s="373">
        <f>TrialBalanceC!I72</f>
        <v>0</v>
      </c>
      <c r="P3209" s="295"/>
      <c r="Q3209" s="442"/>
      <c r="R3209" s="403" t="str">
        <f t="shared" si="245"/>
        <v>DELETE</v>
      </c>
    </row>
    <row r="3210" spans="2:18" ht="31.5" customHeight="1" x14ac:dyDescent="0.45">
      <c r="B3210" s="441"/>
      <c r="C3210" s="417"/>
      <c r="D3210" s="400">
        <f>TrialBalanceC!C73</f>
        <v>0</v>
      </c>
      <c r="J3210" s="292"/>
      <c r="K3210" s="292"/>
      <c r="L3210" s="405"/>
      <c r="M3210" s="421"/>
      <c r="N3210" s="292"/>
      <c r="O3210" s="373">
        <f>TrialBalanceC!I73</f>
        <v>0</v>
      </c>
      <c r="P3210" s="295"/>
      <c r="Q3210" s="442"/>
      <c r="R3210" s="403" t="str">
        <f t="shared" si="245"/>
        <v>DELETE</v>
      </c>
    </row>
    <row r="3211" spans="2:18" ht="31.5" customHeight="1" x14ac:dyDescent="0.45">
      <c r="B3211" s="441"/>
      <c r="C3211" s="417"/>
      <c r="D3211" s="400">
        <f>TrialBalanceC!C74</f>
        <v>0</v>
      </c>
      <c r="J3211" s="292"/>
      <c r="K3211" s="292"/>
      <c r="L3211" s="405"/>
      <c r="M3211" s="421"/>
      <c r="N3211" s="292"/>
      <c r="O3211" s="373">
        <f>TrialBalanceC!I74</f>
        <v>0</v>
      </c>
      <c r="P3211" s="295"/>
      <c r="Q3211" s="442"/>
      <c r="R3211" s="403" t="str">
        <f t="shared" si="245"/>
        <v>DELETE</v>
      </c>
    </row>
    <row r="3212" spans="2:18" ht="31.5" customHeight="1" x14ac:dyDescent="0.45">
      <c r="B3212" s="441"/>
      <c r="C3212" s="417"/>
      <c r="D3212" s="400">
        <f>TrialBalanceC!C75</f>
        <v>0</v>
      </c>
      <c r="J3212" s="292"/>
      <c r="K3212" s="292"/>
      <c r="L3212" s="405"/>
      <c r="M3212" s="421"/>
      <c r="N3212" s="292"/>
      <c r="O3212" s="373">
        <f>TrialBalanceC!I75</f>
        <v>0</v>
      </c>
      <c r="P3212" s="295"/>
      <c r="Q3212" s="442"/>
      <c r="R3212" s="403" t="str">
        <f t="shared" si="245"/>
        <v>DELETE</v>
      </c>
    </row>
    <row r="3213" spans="2:18" ht="31.5" customHeight="1" x14ac:dyDescent="0.45">
      <c r="B3213" s="441"/>
      <c r="C3213" s="417"/>
      <c r="D3213" s="400">
        <f>TrialBalanceC!C76</f>
        <v>0</v>
      </c>
      <c r="J3213" s="292"/>
      <c r="K3213" s="292"/>
      <c r="L3213" s="405"/>
      <c r="M3213" s="421"/>
      <c r="N3213" s="292"/>
      <c r="O3213" s="373">
        <f>TrialBalanceC!I76</f>
        <v>0</v>
      </c>
      <c r="P3213" s="295"/>
      <c r="Q3213" s="442"/>
      <c r="R3213" s="403" t="str">
        <f t="shared" si="245"/>
        <v>DELETE</v>
      </c>
    </row>
    <row r="3214" spans="2:18" ht="31.5" customHeight="1" x14ac:dyDescent="0.45">
      <c r="B3214" s="441"/>
      <c r="C3214" s="417"/>
      <c r="D3214" s="400">
        <f>TrialBalanceC!C77</f>
        <v>0</v>
      </c>
      <c r="J3214" s="292"/>
      <c r="K3214" s="292"/>
      <c r="L3214" s="405"/>
      <c r="M3214" s="421"/>
      <c r="N3214" s="292"/>
      <c r="O3214" s="373">
        <f>TrialBalanceC!I77</f>
        <v>0</v>
      </c>
      <c r="P3214" s="295"/>
      <c r="Q3214" s="442"/>
      <c r="R3214" s="403" t="str">
        <f t="shared" si="245"/>
        <v>DELETE</v>
      </c>
    </row>
    <row r="3215" spans="2:18" ht="31.5" customHeight="1" x14ac:dyDescent="0.45">
      <c r="B3215" s="441"/>
      <c r="C3215" s="417"/>
      <c r="D3215" s="400">
        <f>TrialBalanceC!C78</f>
        <v>0</v>
      </c>
      <c r="J3215" s="292"/>
      <c r="K3215" s="292"/>
      <c r="L3215" s="405"/>
      <c r="M3215" s="421"/>
      <c r="N3215" s="292"/>
      <c r="O3215" s="373">
        <f>TrialBalanceC!I78</f>
        <v>0</v>
      </c>
      <c r="P3215" s="295"/>
      <c r="Q3215" s="442"/>
      <c r="R3215" s="403" t="str">
        <f t="shared" si="245"/>
        <v>DELETE</v>
      </c>
    </row>
    <row r="3216" spans="2:18" ht="31.5" customHeight="1" x14ac:dyDescent="0.45">
      <c r="B3216" s="441"/>
      <c r="C3216" s="417"/>
      <c r="D3216" s="400">
        <f>TrialBalanceC!C79</f>
        <v>0</v>
      </c>
      <c r="J3216" s="292"/>
      <c r="K3216" s="292"/>
      <c r="L3216" s="405"/>
      <c r="M3216" s="421"/>
      <c r="N3216" s="292"/>
      <c r="O3216" s="373">
        <f>TrialBalanceC!I79</f>
        <v>0</v>
      </c>
      <c r="P3216" s="295"/>
      <c r="Q3216" s="442"/>
      <c r="R3216" s="403" t="str">
        <f t="shared" si="245"/>
        <v>DELETE</v>
      </c>
    </row>
    <row r="3217" spans="2:18" ht="31.5" customHeight="1" x14ac:dyDescent="0.45">
      <c r="B3217" s="441"/>
      <c r="C3217" s="417"/>
      <c r="D3217" s="400">
        <f>TrialBalanceC!C80</f>
        <v>0</v>
      </c>
      <c r="J3217" s="292"/>
      <c r="K3217" s="292"/>
      <c r="L3217" s="405"/>
      <c r="M3217" s="421"/>
      <c r="N3217" s="292"/>
      <c r="O3217" s="373">
        <f>TrialBalanceC!I80</f>
        <v>0</v>
      </c>
      <c r="P3217" s="295"/>
      <c r="Q3217" s="442"/>
      <c r="R3217" s="403" t="str">
        <f t="shared" si="245"/>
        <v>DELETE</v>
      </c>
    </row>
    <row r="3218" spans="2:18" ht="31.5" customHeight="1" x14ac:dyDescent="0.45">
      <c r="B3218" s="441"/>
      <c r="C3218" s="417"/>
      <c r="D3218" s="400">
        <f>TrialBalanceC!C81</f>
        <v>0</v>
      </c>
      <c r="J3218" s="292"/>
      <c r="K3218" s="292"/>
      <c r="L3218" s="405"/>
      <c r="M3218" s="421"/>
      <c r="N3218" s="292"/>
      <c r="O3218" s="373">
        <f>TrialBalanceC!I81</f>
        <v>0</v>
      </c>
      <c r="P3218" s="295"/>
      <c r="Q3218" s="442"/>
      <c r="R3218" s="403" t="str">
        <f t="shared" si="245"/>
        <v>DELETE</v>
      </c>
    </row>
    <row r="3219" spans="2:18" ht="9" customHeight="1" x14ac:dyDescent="0.45">
      <c r="B3219" s="441"/>
      <c r="C3219" s="417"/>
      <c r="J3219" s="292"/>
      <c r="K3219" s="292"/>
      <c r="L3219" s="405"/>
      <c r="M3219" s="421"/>
      <c r="N3219" s="292"/>
      <c r="O3219" s="374"/>
      <c r="P3219" s="295"/>
      <c r="Q3219" s="442"/>
      <c r="R3219" s="403" t="str">
        <f>R3189</f>
        <v>DELETE</v>
      </c>
    </row>
    <row r="3220" spans="2:18" ht="9" customHeight="1" x14ac:dyDescent="0.45">
      <c r="B3220" s="441"/>
      <c r="C3220" s="417"/>
      <c r="J3220" s="292"/>
      <c r="K3220" s="292"/>
      <c r="L3220" s="405"/>
      <c r="M3220" s="421"/>
      <c r="N3220" s="292"/>
      <c r="O3220" s="349"/>
      <c r="P3220" s="295"/>
      <c r="Q3220" s="442"/>
      <c r="R3220" s="403" t="str">
        <f t="shared" ref="R3220:R3240" si="246">R$3143</f>
        <v>DELETE</v>
      </c>
    </row>
    <row r="3221" spans="2:18" ht="9" customHeight="1" x14ac:dyDescent="0.45">
      <c r="B3221" s="441"/>
      <c r="C3221" s="417"/>
      <c r="J3221" s="292"/>
      <c r="K3221" s="292"/>
      <c r="L3221" s="405"/>
      <c r="M3221" s="421"/>
      <c r="N3221" s="292"/>
      <c r="O3221" s="347"/>
      <c r="P3221" s="295"/>
      <c r="Q3221" s="442"/>
      <c r="R3221" s="403" t="str">
        <f t="shared" si="246"/>
        <v>DELETE</v>
      </c>
    </row>
    <row r="3222" spans="2:18" ht="31.5" customHeight="1" x14ac:dyDescent="0.45">
      <c r="B3222" s="441"/>
      <c r="C3222" s="315" t="str">
        <f>IF(O3222&lt;0,"OPERATING LOSS","OPERATING PROFIT")</f>
        <v>OPERATING PROFIT</v>
      </c>
      <c r="J3222" s="292"/>
      <c r="K3222" s="292"/>
      <c r="L3222" s="405"/>
      <c r="M3222" s="421"/>
      <c r="N3222" s="292"/>
      <c r="O3222" s="347">
        <f>SUM(S3155:S3220)</f>
        <v>0</v>
      </c>
      <c r="P3222" s="295"/>
      <c r="Q3222" s="442"/>
      <c r="R3222" s="403" t="str">
        <f t="shared" si="246"/>
        <v>DELETE</v>
      </c>
    </row>
    <row r="3223" spans="2:18" ht="31.5" customHeight="1" x14ac:dyDescent="0.45">
      <c r="B3223" s="441"/>
      <c r="C3223" s="417"/>
      <c r="D3223" s="400" t="s">
        <v>256</v>
      </c>
      <c r="J3223" s="292"/>
      <c r="K3223" s="292"/>
      <c r="L3223" s="405"/>
      <c r="M3223" s="421"/>
      <c r="N3223" s="292"/>
      <c r="O3223" s="347"/>
      <c r="P3223" s="295"/>
      <c r="Q3223" s="442"/>
      <c r="R3223" s="403" t="str">
        <f t="shared" si="246"/>
        <v>DELETE</v>
      </c>
    </row>
    <row r="3224" spans="2:18" ht="31.5" customHeight="1" x14ac:dyDescent="0.45">
      <c r="B3224" s="441"/>
      <c r="C3224" s="417"/>
      <c r="J3224" s="292"/>
      <c r="K3224" s="292"/>
      <c r="L3224" s="292"/>
      <c r="M3224" s="347"/>
      <c r="N3224" s="298"/>
      <c r="O3224" s="347"/>
      <c r="P3224" s="295"/>
      <c r="Q3224" s="442"/>
      <c r="R3224" s="403" t="str">
        <f t="shared" si="246"/>
        <v>DELETE</v>
      </c>
    </row>
    <row r="3225" spans="2:18" ht="31.5" customHeight="1" x14ac:dyDescent="0.45">
      <c r="B3225" s="441"/>
      <c r="C3225" s="417"/>
      <c r="J3225" s="292"/>
      <c r="K3225" s="292"/>
      <c r="L3225" s="292"/>
      <c r="M3225" s="347"/>
      <c r="N3225" s="298"/>
      <c r="O3225" s="347"/>
      <c r="P3225" s="295"/>
      <c r="Q3225" s="442"/>
      <c r="R3225" s="403" t="str">
        <f t="shared" si="246"/>
        <v>DELETE</v>
      </c>
    </row>
    <row r="3226" spans="2:18" ht="31.5" customHeight="1" x14ac:dyDescent="0.45">
      <c r="B3226" s="445"/>
      <c r="C3226" s="465"/>
      <c r="D3226" s="429"/>
      <c r="E3226" s="429"/>
      <c r="F3226" s="429"/>
      <c r="G3226" s="429"/>
      <c r="H3226" s="429"/>
      <c r="I3226" s="429"/>
      <c r="J3226" s="306"/>
      <c r="K3226" s="306"/>
      <c r="L3226" s="306"/>
      <c r="M3226" s="349"/>
      <c r="N3226" s="300"/>
      <c r="O3226" s="349"/>
      <c r="P3226" s="307"/>
      <c r="Q3226" s="446"/>
      <c r="R3226" s="403" t="str">
        <f t="shared" si="246"/>
        <v>DELETE</v>
      </c>
    </row>
    <row r="3227" spans="2:18" ht="31.5" customHeight="1" x14ac:dyDescent="0.45">
      <c r="C3227" s="417"/>
      <c r="J3227" s="292"/>
      <c r="K3227" s="292"/>
      <c r="L3227" s="292"/>
      <c r="M3227" s="347"/>
      <c r="N3227" s="298"/>
      <c r="O3227" s="347"/>
      <c r="P3227" s="295"/>
      <c r="R3227" s="403" t="str">
        <f t="shared" si="246"/>
        <v>DELETE</v>
      </c>
    </row>
    <row r="3228" spans="2:18" ht="31.5" customHeight="1" x14ac:dyDescent="0.45">
      <c r="C3228" s="417"/>
      <c r="J3228" s="292"/>
      <c r="K3228" s="292"/>
      <c r="L3228" s="292"/>
      <c r="M3228" s="347"/>
      <c r="N3228" s="298"/>
      <c r="O3228" s="347"/>
      <c r="P3228" s="295"/>
      <c r="R3228" s="403" t="str">
        <f t="shared" si="246"/>
        <v>DELETE</v>
      </c>
    </row>
    <row r="3229" spans="2:18" ht="31.5" customHeight="1" x14ac:dyDescent="0.45">
      <c r="C3229" s="417"/>
      <c r="D3229" s="417">
        <f>Criteria!E16</f>
        <v>0</v>
      </c>
      <c r="J3229" s="292"/>
      <c r="K3229" s="292"/>
      <c r="L3229" s="292"/>
      <c r="M3229" s="347"/>
      <c r="N3229" s="298"/>
      <c r="O3229" s="347" t="s">
        <v>96</v>
      </c>
      <c r="P3229" s="295"/>
      <c r="Q3229" s="292">
        <f>MAX($Q$3146:Q3228)+1</f>
        <v>2</v>
      </c>
      <c r="R3229" s="403" t="str">
        <f t="shared" si="246"/>
        <v>DELETE</v>
      </c>
    </row>
    <row r="3230" spans="2:18" ht="31.5" customHeight="1" x14ac:dyDescent="0.45">
      <c r="C3230" s="417"/>
      <c r="J3230" s="292"/>
      <c r="K3230" s="292"/>
      <c r="L3230" s="292"/>
      <c r="M3230" s="347"/>
      <c r="N3230" s="298"/>
      <c r="O3230" s="347"/>
      <c r="P3230" s="295"/>
      <c r="R3230" s="403" t="str">
        <f t="shared" si="246"/>
        <v>DELETE</v>
      </c>
    </row>
    <row r="3231" spans="2:18" ht="31.5" customHeight="1" x14ac:dyDescent="0.45">
      <c r="C3231" s="417"/>
      <c r="J3231" s="292"/>
      <c r="K3231" s="292"/>
      <c r="L3231" s="292"/>
      <c r="M3231" s="347"/>
      <c r="N3231" s="298"/>
      <c r="O3231" s="347"/>
      <c r="P3231" s="295"/>
      <c r="R3231" s="403" t="str">
        <f t="shared" si="246"/>
        <v>DELETE</v>
      </c>
    </row>
    <row r="3232" spans="2:18" ht="31.5" customHeight="1" x14ac:dyDescent="0.45">
      <c r="C3232" s="417"/>
      <c r="D3232" s="417" t="s">
        <v>91</v>
      </c>
      <c r="J3232" s="292"/>
      <c r="K3232" s="292"/>
      <c r="L3232" s="292"/>
      <c r="M3232" s="347"/>
      <c r="N3232" s="298"/>
      <c r="O3232" s="347"/>
      <c r="P3232" s="295"/>
      <c r="R3232" s="403" t="str">
        <f t="shared" si="246"/>
        <v>DELETE</v>
      </c>
    </row>
    <row r="3233" spans="2:24" ht="31.5" customHeight="1" x14ac:dyDescent="0.45">
      <c r="C3233" s="417"/>
      <c r="D3233" s="417" t="str">
        <f>D3150</f>
        <v>29 FEBRUARY 2024</v>
      </c>
      <c r="H3233" s="400" t="s">
        <v>102</v>
      </c>
      <c r="J3233" s="292"/>
      <c r="K3233" s="292"/>
      <c r="L3233" s="292"/>
      <c r="M3233" s="347"/>
      <c r="N3233" s="298"/>
      <c r="O3233" s="347"/>
      <c r="P3233" s="295"/>
      <c r="R3233" s="403" t="str">
        <f t="shared" si="246"/>
        <v>DELETE</v>
      </c>
    </row>
    <row r="3234" spans="2:24" ht="31.5" customHeight="1" x14ac:dyDescent="0.45">
      <c r="C3234" s="417"/>
      <c r="J3234" s="292"/>
      <c r="K3234" s="306"/>
      <c r="L3234" s="306"/>
      <c r="M3234" s="349"/>
      <c r="N3234" s="300"/>
      <c r="O3234" s="349"/>
      <c r="P3234" s="295"/>
      <c r="R3234" s="403" t="str">
        <f t="shared" si="246"/>
        <v>DELETE</v>
      </c>
    </row>
    <row r="3235" spans="2:24" ht="31.5" customHeight="1" x14ac:dyDescent="0.45">
      <c r="B3235" s="438"/>
      <c r="C3235" s="458"/>
      <c r="D3235" s="439"/>
      <c r="E3235" s="439"/>
      <c r="F3235" s="439"/>
      <c r="G3235" s="439"/>
      <c r="H3235" s="439"/>
      <c r="I3235" s="439"/>
      <c r="J3235" s="320"/>
      <c r="M3235" s="426"/>
      <c r="N3235" s="406"/>
      <c r="O3235" s="426"/>
      <c r="P3235" s="319"/>
      <c r="Q3235" s="440"/>
      <c r="R3235" s="403" t="str">
        <f t="shared" si="246"/>
        <v>DELETE</v>
      </c>
    </row>
    <row r="3236" spans="2:24" ht="31.5" customHeight="1" x14ac:dyDescent="0.45">
      <c r="B3236" s="441"/>
      <c r="C3236" s="417"/>
      <c r="J3236" s="292"/>
      <c r="K3236" s="292"/>
      <c r="L3236" s="405"/>
      <c r="M3236" s="421"/>
      <c r="N3236" s="292"/>
      <c r="O3236" s="344">
        <f>Criteria!E22</f>
        <v>2024</v>
      </c>
      <c r="P3236" s="295"/>
      <c r="Q3236" s="442"/>
      <c r="R3236" s="403" t="str">
        <f t="shared" si="246"/>
        <v>DELETE</v>
      </c>
    </row>
    <row r="3237" spans="2:24" ht="31.5" customHeight="1" x14ac:dyDescent="0.45">
      <c r="B3237" s="441"/>
      <c r="C3237" s="417"/>
      <c r="J3237" s="292"/>
      <c r="K3237" s="292"/>
      <c r="L3237" s="405"/>
      <c r="M3237" s="421"/>
      <c r="N3237" s="292"/>
      <c r="O3237" s="347"/>
      <c r="P3237" s="295"/>
      <c r="Q3237" s="442"/>
      <c r="R3237" s="403" t="str">
        <f t="shared" si="246"/>
        <v>DELETE</v>
      </c>
    </row>
    <row r="3238" spans="2:24" ht="31.5" customHeight="1" x14ac:dyDescent="0.45">
      <c r="B3238" s="441"/>
      <c r="C3238" s="315" t="str">
        <f>IF(O3238&lt;0,"OPERATING LOSS","OPERATING PROFIT")</f>
        <v>OPERATING PROFIT</v>
      </c>
      <c r="J3238" s="292"/>
      <c r="K3238" s="292"/>
      <c r="L3238" s="405"/>
      <c r="M3238" s="421"/>
      <c r="N3238" s="292"/>
      <c r="O3238" s="347">
        <f>SUM(S3155:S3219)</f>
        <v>0</v>
      </c>
      <c r="P3238" s="295"/>
      <c r="Q3238" s="442"/>
      <c r="R3238" s="403" t="str">
        <f t="shared" si="246"/>
        <v>DELETE</v>
      </c>
      <c r="V3238" s="378" t="b">
        <f>O3238=O3222</f>
        <v>1</v>
      </c>
    </row>
    <row r="3239" spans="2:24" ht="31.5" customHeight="1" x14ac:dyDescent="0.45">
      <c r="B3239" s="441"/>
      <c r="C3239" s="417"/>
      <c r="D3239" s="400" t="s">
        <v>257</v>
      </c>
      <c r="J3239" s="292"/>
      <c r="K3239" s="292"/>
      <c r="L3239" s="405"/>
      <c r="M3239" s="421"/>
      <c r="N3239" s="292"/>
      <c r="O3239" s="347"/>
      <c r="P3239" s="295"/>
      <c r="Q3239" s="442"/>
      <c r="R3239" s="403" t="str">
        <f t="shared" si="246"/>
        <v>DELETE</v>
      </c>
    </row>
    <row r="3240" spans="2:24" ht="31.5" customHeight="1" x14ac:dyDescent="0.45">
      <c r="B3240" s="441"/>
      <c r="C3240" s="417"/>
      <c r="J3240" s="292"/>
      <c r="K3240" s="292"/>
      <c r="L3240" s="405"/>
      <c r="M3240" s="421"/>
      <c r="N3240" s="292"/>
      <c r="O3240" s="347"/>
      <c r="P3240" s="295"/>
      <c r="Q3240" s="442"/>
      <c r="R3240" s="403" t="str">
        <f t="shared" si="246"/>
        <v>DELETE</v>
      </c>
    </row>
    <row r="3241" spans="2:24" ht="31.5" customHeight="1" x14ac:dyDescent="0.45">
      <c r="B3241" s="441"/>
      <c r="C3241" s="417" t="s">
        <v>906</v>
      </c>
      <c r="J3241" s="292"/>
      <c r="K3241" s="292"/>
      <c r="L3241" s="405"/>
      <c r="M3241" s="421"/>
      <c r="N3241" s="292"/>
      <c r="O3241" s="347">
        <f>SUM(O3244:O3277)</f>
        <v>0</v>
      </c>
      <c r="P3241" s="295"/>
      <c r="Q3241" s="442"/>
      <c r="R3241" s="403" t="str">
        <f t="shared" ref="R3241" si="247">IF(R$3143="DELETE","DELETE",IF(O3241=0,"DELETE"," "))</f>
        <v>DELETE</v>
      </c>
      <c r="S3241" s="380">
        <f>-O3241</f>
        <v>0</v>
      </c>
      <c r="T3241" s="380"/>
      <c r="U3241" s="380"/>
      <c r="V3241" s="380"/>
      <c r="W3241" s="380"/>
      <c r="X3241" s="380"/>
    </row>
    <row r="3242" spans="2:24" ht="9" customHeight="1" x14ac:dyDescent="0.45">
      <c r="B3242" s="441"/>
      <c r="C3242" s="417"/>
      <c r="J3242" s="292"/>
      <c r="K3242" s="292"/>
      <c r="L3242" s="405"/>
      <c r="M3242" s="421"/>
      <c r="N3242" s="292"/>
      <c r="O3242" s="347"/>
      <c r="P3242" s="295"/>
      <c r="Q3242" s="442"/>
      <c r="R3242" s="403" t="str">
        <f>R3241</f>
        <v>DELETE</v>
      </c>
    </row>
    <row r="3243" spans="2:24" ht="9" customHeight="1" x14ac:dyDescent="0.45">
      <c r="B3243" s="441"/>
      <c r="C3243" s="417"/>
      <c r="J3243" s="292"/>
      <c r="K3243" s="292"/>
      <c r="L3243" s="405"/>
      <c r="M3243" s="421"/>
      <c r="N3243" s="292"/>
      <c r="O3243" s="372"/>
      <c r="P3243" s="295"/>
      <c r="Q3243" s="442"/>
      <c r="R3243" s="403" t="str">
        <f>R3242</f>
        <v>DELETE</v>
      </c>
    </row>
    <row r="3244" spans="2:24" ht="31.5" customHeight="1" x14ac:dyDescent="0.45">
      <c r="B3244" s="441"/>
      <c r="C3244" s="417"/>
      <c r="D3244" s="400" t="s">
        <v>215</v>
      </c>
      <c r="J3244" s="292"/>
      <c r="K3244" s="292"/>
      <c r="L3244" s="405"/>
      <c r="M3244" s="421"/>
      <c r="N3244" s="292"/>
      <c r="O3244" s="373">
        <f>SUM(TrialBalanceC!I98:I101)</f>
        <v>0</v>
      </c>
      <c r="P3244" s="295"/>
      <c r="Q3244" s="442"/>
      <c r="R3244" s="403" t="str">
        <f t="shared" ref="R3244:R3275" si="248">IF(R$3143="DELETE","DELETE",IF(O3244=0,"DELETE"," "))</f>
        <v>DELETE</v>
      </c>
    </row>
    <row r="3245" spans="2:24" ht="31.5" customHeight="1" x14ac:dyDescent="0.45">
      <c r="B3245" s="441"/>
      <c r="C3245" s="417"/>
      <c r="D3245" s="400" t="s">
        <v>219</v>
      </c>
      <c r="J3245" s="292"/>
      <c r="K3245" s="292"/>
      <c r="L3245" s="405"/>
      <c r="M3245" s="421"/>
      <c r="N3245" s="292"/>
      <c r="O3245" s="373">
        <f>TrialBalanceC!I103</f>
        <v>0</v>
      </c>
      <c r="P3245" s="295"/>
      <c r="Q3245" s="442"/>
      <c r="R3245" s="403" t="str">
        <f>IF(R$3143="DELETE","DELETE",IF(O3245=0,"DELETE"," "))</f>
        <v>DELETE</v>
      </c>
    </row>
    <row r="3246" spans="2:24" ht="31.5" customHeight="1" x14ac:dyDescent="0.45">
      <c r="B3246" s="441"/>
      <c r="C3246" s="417"/>
      <c r="D3246" s="400" t="s">
        <v>217</v>
      </c>
      <c r="J3246" s="292"/>
      <c r="K3246" s="292"/>
      <c r="L3246" s="405"/>
      <c r="M3246" s="421"/>
      <c r="N3246" s="292"/>
      <c r="O3246" s="373">
        <f>TrialBalanceC!I102</f>
        <v>0</v>
      </c>
      <c r="P3246" s="295"/>
      <c r="Q3246" s="442"/>
      <c r="R3246" s="403" t="str">
        <f>IF(R$3143="DELETE","DELETE",IF(O3246=0,"DELETE"," "))</f>
        <v>DELETE</v>
      </c>
    </row>
    <row r="3247" spans="2:24" ht="31.5" customHeight="1" x14ac:dyDescent="0.45">
      <c r="B3247" s="441"/>
      <c r="C3247" s="417"/>
      <c r="D3247" s="400" t="s">
        <v>258</v>
      </c>
      <c r="J3247" s="292"/>
      <c r="K3247" s="292"/>
      <c r="L3247" s="405"/>
      <c r="M3247" s="421"/>
      <c r="N3247" s="292"/>
      <c r="O3247" s="373">
        <f>TrialBalanceC!I104</f>
        <v>0</v>
      </c>
      <c r="P3247" s="295"/>
      <c r="Q3247" s="442"/>
      <c r="R3247" s="403" t="str">
        <f t="shared" si="248"/>
        <v>DELETE</v>
      </c>
    </row>
    <row r="3248" spans="2:24" ht="31.5" customHeight="1" x14ac:dyDescent="0.45">
      <c r="B3248" s="441"/>
      <c r="C3248" s="417"/>
      <c r="D3248" s="400" t="s">
        <v>222</v>
      </c>
      <c r="J3248" s="292"/>
      <c r="K3248" s="292"/>
      <c r="L3248" s="405"/>
      <c r="M3248" s="421"/>
      <c r="N3248" s="292"/>
      <c r="O3248" s="373">
        <f>TrialBalanceC!I105</f>
        <v>0</v>
      </c>
      <c r="P3248" s="295"/>
      <c r="Q3248" s="442"/>
      <c r="R3248" s="403" t="str">
        <f t="shared" si="248"/>
        <v>DELETE</v>
      </c>
    </row>
    <row r="3249" spans="2:18" ht="31.5" customHeight="1" x14ac:dyDescent="0.45">
      <c r="B3249" s="441"/>
      <c r="C3249" s="417"/>
      <c r="D3249" s="400" t="s">
        <v>727</v>
      </c>
      <c r="J3249" s="292"/>
      <c r="K3249" s="292"/>
      <c r="L3249" s="405"/>
      <c r="M3249" s="421"/>
      <c r="N3249" s="292"/>
      <c r="O3249" s="373">
        <f>TrialBalanceC!I106</f>
        <v>0</v>
      </c>
      <c r="P3249" s="295"/>
      <c r="Q3249" s="442"/>
      <c r="R3249" s="403" t="str">
        <f t="shared" si="248"/>
        <v>DELETE</v>
      </c>
    </row>
    <row r="3250" spans="2:18" ht="31.5" customHeight="1" x14ac:dyDescent="0.45">
      <c r="B3250" s="441"/>
      <c r="C3250" s="417"/>
      <c r="D3250" s="400" t="s">
        <v>277</v>
      </c>
      <c r="J3250" s="292"/>
      <c r="K3250" s="292">
        <f>C$940</f>
        <v>5.2999999999999989</v>
      </c>
      <c r="L3250" s="405"/>
      <c r="M3250" s="421"/>
      <c r="N3250" s="292"/>
      <c r="O3250" s="373">
        <f>SUM(TrialBalanceC!I108:I109)</f>
        <v>0</v>
      </c>
      <c r="P3250" s="295"/>
      <c r="Q3250" s="442"/>
      <c r="R3250" s="403" t="str">
        <f t="shared" si="248"/>
        <v>DELETE</v>
      </c>
    </row>
    <row r="3251" spans="2:18" ht="31.5" customHeight="1" x14ac:dyDescent="0.45">
      <c r="B3251" s="441"/>
      <c r="C3251" s="417"/>
      <c r="D3251" s="400" t="str">
        <f>IF(MAX(Criteria!I38:I42)&gt;1,"Directors' remuneration","Director's remuneration")</f>
        <v>Director's remuneration</v>
      </c>
      <c r="J3251" s="292"/>
      <c r="K3251" s="292">
        <f>C$881</f>
        <v>5.0999999999999996</v>
      </c>
      <c r="L3251" s="405"/>
      <c r="M3251" s="421"/>
      <c r="N3251" s="292"/>
      <c r="O3251" s="373">
        <f>SUM(TrialBalanceC!I111:I115)</f>
        <v>0</v>
      </c>
      <c r="P3251" s="295"/>
      <c r="Q3251" s="442"/>
      <c r="R3251" s="403" t="str">
        <f t="shared" si="248"/>
        <v>DELETE</v>
      </c>
    </row>
    <row r="3252" spans="2:18" ht="31.5" customHeight="1" x14ac:dyDescent="0.45">
      <c r="B3252" s="441"/>
      <c r="C3252" s="417"/>
      <c r="D3252" s="400" t="s">
        <v>259</v>
      </c>
      <c r="J3252" s="292"/>
      <c r="K3252" s="292"/>
      <c r="L3252" s="405"/>
      <c r="M3252" s="421"/>
      <c r="N3252" s="292"/>
      <c r="O3252" s="373">
        <f>TrialBalanceC!I116</f>
        <v>0</v>
      </c>
      <c r="P3252" s="295"/>
      <c r="Q3252" s="442"/>
      <c r="R3252" s="403" t="str">
        <f t="shared" si="248"/>
        <v>DELETE</v>
      </c>
    </row>
    <row r="3253" spans="2:18" ht="31.5" customHeight="1" x14ac:dyDescent="0.45">
      <c r="B3253" s="441"/>
      <c r="C3253" s="417"/>
      <c r="D3253" s="400" t="s">
        <v>369</v>
      </c>
      <c r="J3253" s="292"/>
      <c r="K3253" s="292"/>
      <c r="L3253" s="405"/>
      <c r="M3253" s="421"/>
      <c r="N3253" s="292"/>
      <c r="O3253" s="373">
        <f>TrialBalanceC!I117</f>
        <v>0</v>
      </c>
      <c r="P3253" s="295"/>
      <c r="Q3253" s="442"/>
      <c r="R3253" s="403" t="str">
        <f t="shared" si="248"/>
        <v>DELETE</v>
      </c>
    </row>
    <row r="3254" spans="2:18" ht="31.5" customHeight="1" x14ac:dyDescent="0.45">
      <c r="B3254" s="441"/>
      <c r="C3254" s="417"/>
      <c r="D3254" s="400" t="s">
        <v>330</v>
      </c>
      <c r="J3254" s="292"/>
      <c r="K3254" s="292"/>
      <c r="L3254" s="405"/>
      <c r="M3254" s="421"/>
      <c r="N3254" s="292"/>
      <c r="O3254" s="373">
        <f>TrialBalanceC!I118</f>
        <v>0</v>
      </c>
      <c r="P3254" s="295"/>
      <c r="Q3254" s="442"/>
      <c r="R3254" s="403" t="str">
        <f t="shared" si="248"/>
        <v>DELETE</v>
      </c>
    </row>
    <row r="3255" spans="2:18" ht="31.5" customHeight="1" x14ac:dyDescent="0.45">
      <c r="B3255" s="441"/>
      <c r="C3255" s="417"/>
      <c r="D3255" s="400" t="s">
        <v>371</v>
      </c>
      <c r="J3255" s="292"/>
      <c r="K3255" s="292"/>
      <c r="L3255" s="405"/>
      <c r="M3255" s="421"/>
      <c r="N3255" s="292"/>
      <c r="O3255" s="373">
        <f>TrialBalanceC!I119</f>
        <v>0</v>
      </c>
      <c r="P3255" s="295"/>
      <c r="Q3255" s="442"/>
      <c r="R3255" s="403" t="str">
        <f t="shared" si="248"/>
        <v>DELETE</v>
      </c>
    </row>
    <row r="3256" spans="2:18" ht="31.5" customHeight="1" x14ac:dyDescent="0.45">
      <c r="B3256" s="441"/>
      <c r="C3256" s="417"/>
      <c r="D3256" s="400" t="s">
        <v>1062</v>
      </c>
      <c r="J3256" s="292"/>
      <c r="K3256" s="292"/>
      <c r="L3256" s="405"/>
      <c r="M3256" s="421"/>
      <c r="N3256" s="292"/>
      <c r="O3256" s="373">
        <f>TrialBalanceC!I154</f>
        <v>0</v>
      </c>
      <c r="P3256" s="295"/>
      <c r="Q3256" s="442"/>
      <c r="R3256" s="403" t="str">
        <f>IF(R$3143="DELETE","DELETE",IF(O3256=0,"DELETE"," "))</f>
        <v>DELETE</v>
      </c>
    </row>
    <row r="3257" spans="2:18" ht="31.5" customHeight="1" x14ac:dyDescent="0.45">
      <c r="B3257" s="441"/>
      <c r="C3257" s="417"/>
      <c r="D3257" s="400" t="s">
        <v>524</v>
      </c>
      <c r="J3257" s="292"/>
      <c r="K3257" s="292"/>
      <c r="L3257" s="405"/>
      <c r="M3257" s="421"/>
      <c r="N3257" s="292"/>
      <c r="O3257" s="373">
        <f>TrialBalanceC!I120+TrialBalanceC!I121</f>
        <v>0</v>
      </c>
      <c r="P3257" s="295"/>
      <c r="Q3257" s="442"/>
      <c r="R3257" s="403" t="str">
        <f t="shared" si="248"/>
        <v>DELETE</v>
      </c>
    </row>
    <row r="3258" spans="2:18" ht="31.5" customHeight="1" x14ac:dyDescent="0.45">
      <c r="B3258" s="441"/>
      <c r="C3258" s="417"/>
      <c r="D3258" s="400" t="s">
        <v>547</v>
      </c>
      <c r="J3258" s="292"/>
      <c r="K3258" s="292"/>
      <c r="L3258" s="405"/>
      <c r="M3258" s="421"/>
      <c r="N3258" s="292"/>
      <c r="O3258" s="373">
        <f>IF(TrialBalanceC!I93&gt;0,TrialBalanceC!I93,0)</f>
        <v>0</v>
      </c>
      <c r="P3258" s="295"/>
      <c r="Q3258" s="442"/>
      <c r="R3258" s="403" t="str">
        <f>IF(R$3143="DELETE","DELETE",IF(O3258=0,"DELETE"," "))</f>
        <v>DELETE</v>
      </c>
    </row>
    <row r="3259" spans="2:18" ht="31.5" customHeight="1" x14ac:dyDescent="0.45">
      <c r="B3259" s="441"/>
      <c r="C3259" s="417"/>
      <c r="D3259" s="400" t="s">
        <v>728</v>
      </c>
      <c r="J3259" s="292"/>
      <c r="K3259" s="292"/>
      <c r="L3259" s="405"/>
      <c r="M3259" s="421"/>
      <c r="N3259" s="292"/>
      <c r="O3259" s="373">
        <f>TrialBalanceC!I122</f>
        <v>0</v>
      </c>
      <c r="P3259" s="295"/>
      <c r="Q3259" s="442"/>
      <c r="R3259" s="403" t="str">
        <f>IF(R$3143="DELETE","DELETE",IF(O3259=0,"DELETE"," "))</f>
        <v>DELETE</v>
      </c>
    </row>
    <row r="3260" spans="2:18" ht="31.5" customHeight="1" x14ac:dyDescent="0.45">
      <c r="B3260" s="441"/>
      <c r="C3260" s="417"/>
      <c r="D3260" s="400" t="s">
        <v>260</v>
      </c>
      <c r="J3260" s="292"/>
      <c r="K3260" s="292"/>
      <c r="L3260" s="405"/>
      <c r="M3260" s="421"/>
      <c r="N3260" s="292"/>
      <c r="O3260" s="373">
        <f>TrialBalanceC!I123</f>
        <v>0</v>
      </c>
      <c r="P3260" s="295"/>
      <c r="Q3260" s="442"/>
      <c r="R3260" s="403" t="str">
        <f t="shared" si="248"/>
        <v>DELETE</v>
      </c>
    </row>
    <row r="3261" spans="2:18" ht="31.5" customHeight="1" x14ac:dyDescent="0.45">
      <c r="B3261" s="441"/>
      <c r="C3261" s="417"/>
      <c r="D3261" s="400" t="s">
        <v>1081</v>
      </c>
      <c r="J3261" s="292"/>
      <c r="K3261" s="292"/>
      <c r="L3261" s="405"/>
      <c r="M3261" s="421"/>
      <c r="N3261" s="292"/>
      <c r="O3261" s="373">
        <f>TrialBalanceC!I155</f>
        <v>0</v>
      </c>
      <c r="P3261" s="295"/>
      <c r="Q3261" s="442"/>
      <c r="R3261" s="403" t="str">
        <f t="shared" si="248"/>
        <v>DELETE</v>
      </c>
    </row>
    <row r="3262" spans="2:18" ht="31.5" customHeight="1" x14ac:dyDescent="0.45">
      <c r="B3262" s="441"/>
      <c r="C3262" s="417"/>
      <c r="D3262" s="400" t="s">
        <v>253</v>
      </c>
      <c r="J3262" s="292"/>
      <c r="K3262" s="292"/>
      <c r="L3262" s="405"/>
      <c r="M3262" s="421"/>
      <c r="N3262" s="292"/>
      <c r="O3262" s="373">
        <f>SUM(TrialBalanceC!I124:I125)</f>
        <v>0</v>
      </c>
      <c r="P3262" s="295"/>
      <c r="Q3262" s="442"/>
      <c r="R3262" s="403" t="str">
        <f t="shared" si="248"/>
        <v>DELETE</v>
      </c>
    </row>
    <row r="3263" spans="2:18" ht="31.5" customHeight="1" x14ac:dyDescent="0.45">
      <c r="B3263" s="441"/>
      <c r="C3263" s="417"/>
      <c r="D3263" s="400" t="s">
        <v>261</v>
      </c>
      <c r="J3263" s="292"/>
      <c r="K3263" s="292"/>
      <c r="L3263" s="405"/>
      <c r="M3263" s="421"/>
      <c r="N3263" s="292"/>
      <c r="O3263" s="373">
        <f>TrialBalanceC!I126</f>
        <v>0</v>
      </c>
      <c r="P3263" s="295"/>
      <c r="Q3263" s="442"/>
      <c r="R3263" s="403" t="str">
        <f t="shared" si="248"/>
        <v>DELETE</v>
      </c>
    </row>
    <row r="3264" spans="2:18" ht="31.5" customHeight="1" x14ac:dyDescent="0.45">
      <c r="B3264" s="441"/>
      <c r="C3264" s="417"/>
      <c r="D3264" s="400" t="s">
        <v>729</v>
      </c>
      <c r="J3264" s="292"/>
      <c r="K3264" s="292"/>
      <c r="L3264" s="405"/>
      <c r="M3264" s="421"/>
      <c r="N3264" s="292"/>
      <c r="O3264" s="373">
        <f>TrialBalanceC!I127</f>
        <v>0</v>
      </c>
      <c r="P3264" s="295"/>
      <c r="Q3264" s="442"/>
      <c r="R3264" s="403" t="str">
        <f t="shared" si="248"/>
        <v>DELETE</v>
      </c>
    </row>
    <row r="3265" spans="2:18" ht="31.5" customHeight="1" x14ac:dyDescent="0.45">
      <c r="B3265" s="441"/>
      <c r="C3265" s="417"/>
      <c r="D3265" s="400" t="s">
        <v>79</v>
      </c>
      <c r="J3265" s="292"/>
      <c r="K3265" s="292"/>
      <c r="L3265" s="405"/>
      <c r="M3265" s="421"/>
      <c r="N3265" s="292"/>
      <c r="O3265" s="373">
        <f>TrialBalanceC!I128</f>
        <v>0</v>
      </c>
      <c r="P3265" s="295"/>
      <c r="Q3265" s="442"/>
      <c r="R3265" s="403" t="str">
        <f t="shared" si="248"/>
        <v>DELETE</v>
      </c>
    </row>
    <row r="3266" spans="2:18" ht="31.5" customHeight="1" x14ac:dyDescent="0.45">
      <c r="B3266" s="441"/>
      <c r="C3266" s="417"/>
      <c r="D3266" s="400">
        <f>TrialBalanceC!C129</f>
        <v>0</v>
      </c>
      <c r="J3266" s="292"/>
      <c r="K3266" s="292"/>
      <c r="L3266" s="405"/>
      <c r="M3266" s="421"/>
      <c r="N3266" s="292"/>
      <c r="O3266" s="373">
        <f>TrialBalanceC!I129</f>
        <v>0</v>
      </c>
      <c r="P3266" s="295"/>
      <c r="Q3266" s="442"/>
      <c r="R3266" s="403" t="str">
        <f t="shared" si="248"/>
        <v>DELETE</v>
      </c>
    </row>
    <row r="3267" spans="2:18" ht="31.5" customHeight="1" x14ac:dyDescent="0.45">
      <c r="B3267" s="441"/>
      <c r="C3267" s="417"/>
      <c r="D3267" s="400">
        <f>TrialBalanceC!C130</f>
        <v>0</v>
      </c>
      <c r="J3267" s="292"/>
      <c r="K3267" s="292"/>
      <c r="L3267" s="405"/>
      <c r="M3267" s="421"/>
      <c r="N3267" s="292"/>
      <c r="O3267" s="373">
        <f>TrialBalanceC!I130</f>
        <v>0</v>
      </c>
      <c r="P3267" s="295"/>
      <c r="Q3267" s="442"/>
      <c r="R3267" s="403" t="str">
        <f t="shared" si="248"/>
        <v>DELETE</v>
      </c>
    </row>
    <row r="3268" spans="2:18" ht="31.5" customHeight="1" x14ac:dyDescent="0.45">
      <c r="B3268" s="441"/>
      <c r="C3268" s="417"/>
      <c r="D3268" s="400">
        <f>TrialBalanceC!C131</f>
        <v>0</v>
      </c>
      <c r="J3268" s="292"/>
      <c r="K3268" s="292"/>
      <c r="L3268" s="405"/>
      <c r="M3268" s="421"/>
      <c r="N3268" s="292"/>
      <c r="O3268" s="373">
        <f>TrialBalanceC!I131</f>
        <v>0</v>
      </c>
      <c r="P3268" s="295"/>
      <c r="Q3268" s="442"/>
      <c r="R3268" s="403" t="str">
        <f t="shared" si="248"/>
        <v>DELETE</v>
      </c>
    </row>
    <row r="3269" spans="2:18" ht="31.5" customHeight="1" x14ac:dyDescent="0.45">
      <c r="B3269" s="441"/>
      <c r="C3269" s="417"/>
      <c r="D3269" s="400">
        <f>TrialBalanceC!C132</f>
        <v>0</v>
      </c>
      <c r="J3269" s="292"/>
      <c r="K3269" s="292"/>
      <c r="L3269" s="405"/>
      <c r="M3269" s="421"/>
      <c r="N3269" s="292"/>
      <c r="O3269" s="373">
        <f>TrialBalanceC!I132</f>
        <v>0</v>
      </c>
      <c r="P3269" s="295"/>
      <c r="Q3269" s="442"/>
      <c r="R3269" s="403" t="str">
        <f t="shared" si="248"/>
        <v>DELETE</v>
      </c>
    </row>
    <row r="3270" spans="2:18" ht="31.5" customHeight="1" x14ac:dyDescent="0.45">
      <c r="B3270" s="441"/>
      <c r="C3270" s="417"/>
      <c r="D3270" s="400">
        <f>TrialBalanceC!C133</f>
        <v>0</v>
      </c>
      <c r="J3270" s="292"/>
      <c r="K3270" s="292"/>
      <c r="L3270" s="405"/>
      <c r="M3270" s="421"/>
      <c r="N3270" s="292"/>
      <c r="O3270" s="373">
        <f>TrialBalanceC!I133</f>
        <v>0</v>
      </c>
      <c r="P3270" s="295"/>
      <c r="Q3270" s="442"/>
      <c r="R3270" s="403" t="str">
        <f t="shared" si="248"/>
        <v>DELETE</v>
      </c>
    </row>
    <row r="3271" spans="2:18" ht="31.5" customHeight="1" x14ac:dyDescent="0.45">
      <c r="B3271" s="441"/>
      <c r="C3271" s="417"/>
      <c r="D3271" s="400">
        <f>TrialBalanceC!C134</f>
        <v>0</v>
      </c>
      <c r="J3271" s="292"/>
      <c r="K3271" s="292"/>
      <c r="L3271" s="405"/>
      <c r="M3271" s="421"/>
      <c r="N3271" s="292"/>
      <c r="O3271" s="373">
        <f>TrialBalanceC!I134</f>
        <v>0</v>
      </c>
      <c r="P3271" s="295"/>
      <c r="Q3271" s="442"/>
      <c r="R3271" s="403" t="str">
        <f t="shared" si="248"/>
        <v>DELETE</v>
      </c>
    </row>
    <row r="3272" spans="2:18" ht="31.5" customHeight="1" x14ac:dyDescent="0.45">
      <c r="B3272" s="441"/>
      <c r="C3272" s="417"/>
      <c r="D3272" s="400">
        <f>TrialBalanceC!C135</f>
        <v>0</v>
      </c>
      <c r="J3272" s="292"/>
      <c r="K3272" s="292"/>
      <c r="L3272" s="405"/>
      <c r="M3272" s="421"/>
      <c r="N3272" s="292"/>
      <c r="O3272" s="373">
        <f>TrialBalanceC!I135</f>
        <v>0</v>
      </c>
      <c r="P3272" s="295"/>
      <c r="Q3272" s="442"/>
      <c r="R3272" s="403" t="str">
        <f t="shared" si="248"/>
        <v>DELETE</v>
      </c>
    </row>
    <row r="3273" spans="2:18" ht="31.5" customHeight="1" x14ac:dyDescent="0.45">
      <c r="B3273" s="441"/>
      <c r="C3273" s="417"/>
      <c r="D3273" s="400">
        <f>TrialBalanceC!C136</f>
        <v>0</v>
      </c>
      <c r="J3273" s="292"/>
      <c r="K3273" s="292"/>
      <c r="L3273" s="405"/>
      <c r="M3273" s="421"/>
      <c r="N3273" s="292"/>
      <c r="O3273" s="373">
        <f>TrialBalanceC!I136</f>
        <v>0</v>
      </c>
      <c r="P3273" s="295"/>
      <c r="Q3273" s="442"/>
      <c r="R3273" s="403" t="str">
        <f t="shared" si="248"/>
        <v>DELETE</v>
      </c>
    </row>
    <row r="3274" spans="2:18" ht="31.5" customHeight="1" x14ac:dyDescent="0.45">
      <c r="B3274" s="441"/>
      <c r="C3274" s="417"/>
      <c r="D3274" s="400">
        <f>TrialBalanceC!C137</f>
        <v>0</v>
      </c>
      <c r="J3274" s="292"/>
      <c r="K3274" s="292"/>
      <c r="L3274" s="405"/>
      <c r="M3274" s="421"/>
      <c r="N3274" s="292"/>
      <c r="O3274" s="373">
        <f>TrialBalanceC!I137</f>
        <v>0</v>
      </c>
      <c r="P3274" s="295"/>
      <c r="Q3274" s="442"/>
      <c r="R3274" s="403" t="str">
        <f t="shared" si="248"/>
        <v>DELETE</v>
      </c>
    </row>
    <row r="3275" spans="2:18" ht="31.5" customHeight="1" x14ac:dyDescent="0.45">
      <c r="B3275" s="441"/>
      <c r="C3275" s="417"/>
      <c r="D3275" s="400" t="str">
        <f>TrialBalanceC!C138</f>
        <v>Amortisation of prepaid lease agreement</v>
      </c>
      <c r="J3275" s="292"/>
      <c r="K3275" s="292"/>
      <c r="L3275" s="405"/>
      <c r="M3275" s="421"/>
      <c r="N3275" s="292"/>
      <c r="O3275" s="373">
        <f>TrialBalanceC!I138</f>
        <v>0</v>
      </c>
      <c r="P3275" s="295"/>
      <c r="Q3275" s="442"/>
      <c r="R3275" s="403" t="str">
        <f t="shared" si="248"/>
        <v>DELETE</v>
      </c>
    </row>
    <row r="3276" spans="2:18" ht="31.5" customHeight="1" x14ac:dyDescent="0.45">
      <c r="B3276" s="441"/>
      <c r="C3276" s="417"/>
      <c r="D3276" s="400" t="str">
        <f>TrialBalanceC!C139</f>
        <v>Amortisation of goodwill</v>
      </c>
      <c r="J3276" s="292"/>
      <c r="K3276" s="292"/>
      <c r="L3276" s="405"/>
      <c r="M3276" s="421"/>
      <c r="N3276" s="292"/>
      <c r="O3276" s="373">
        <f>TrialBalanceC!I139</f>
        <v>0</v>
      </c>
      <c r="P3276" s="295"/>
      <c r="Q3276" s="442"/>
      <c r="R3276" s="403" t="str">
        <f t="shared" ref="R3276" si="249">IF(R$3143="DELETE","DELETE",IF(O3276=0,"DELETE"," "))</f>
        <v>DELETE</v>
      </c>
    </row>
    <row r="3277" spans="2:18" ht="9" customHeight="1" x14ac:dyDescent="0.45">
      <c r="B3277" s="441"/>
      <c r="C3277" s="417"/>
      <c r="J3277" s="292"/>
      <c r="K3277" s="292"/>
      <c r="L3277" s="405"/>
      <c r="M3277" s="421"/>
      <c r="N3277" s="292"/>
      <c r="O3277" s="374"/>
      <c r="P3277" s="295"/>
      <c r="Q3277" s="442"/>
      <c r="R3277" s="403" t="str">
        <f>R3241</f>
        <v>DELETE</v>
      </c>
    </row>
    <row r="3278" spans="2:18" ht="9" customHeight="1" x14ac:dyDescent="0.45">
      <c r="B3278" s="441"/>
      <c r="C3278" s="417"/>
      <c r="J3278" s="292"/>
      <c r="K3278" s="292"/>
      <c r="L3278" s="405"/>
      <c r="M3278" s="421"/>
      <c r="N3278" s="292"/>
      <c r="O3278" s="349"/>
      <c r="P3278" s="295"/>
      <c r="Q3278" s="442"/>
      <c r="R3278" s="403" t="str">
        <f t="shared" ref="R3278:R3281" si="250">R$3143</f>
        <v>DELETE</v>
      </c>
    </row>
    <row r="3279" spans="2:18" ht="9" customHeight="1" x14ac:dyDescent="0.45">
      <c r="B3279" s="441"/>
      <c r="C3279" s="417"/>
      <c r="J3279" s="292"/>
      <c r="K3279" s="292"/>
      <c r="L3279" s="405"/>
      <c r="M3279" s="421"/>
      <c r="N3279" s="292"/>
      <c r="O3279" s="347"/>
      <c r="P3279" s="295"/>
      <c r="Q3279" s="442"/>
      <c r="R3279" s="403" t="str">
        <f t="shared" si="250"/>
        <v>DELETE</v>
      </c>
    </row>
    <row r="3280" spans="2:18" ht="31.5" customHeight="1" x14ac:dyDescent="0.45">
      <c r="B3280" s="441"/>
      <c r="C3280" s="315" t="str">
        <f>IF(O3280&lt;0,"OPERATING LOSS FOR THE YEAR","OPERATING PROFIT FOR THE YEAR")</f>
        <v>OPERATING PROFIT FOR THE YEAR</v>
      </c>
      <c r="J3280" s="292"/>
      <c r="K3280" s="292">
        <f>FS!B878</f>
        <v>5</v>
      </c>
      <c r="L3280" s="405"/>
      <c r="M3280" s="421"/>
      <c r="N3280" s="292"/>
      <c r="O3280" s="347">
        <f>SUM(S3155:S3277)</f>
        <v>0</v>
      </c>
      <c r="P3280" s="295"/>
      <c r="Q3280" s="442"/>
      <c r="R3280" s="403" t="str">
        <f t="shared" si="250"/>
        <v>DELETE</v>
      </c>
    </row>
    <row r="3281" spans="2:24" ht="31.5" customHeight="1" x14ac:dyDescent="0.45">
      <c r="B3281" s="441"/>
      <c r="C3281" s="417"/>
      <c r="J3281" s="292"/>
      <c r="K3281" s="292"/>
      <c r="L3281" s="405"/>
      <c r="M3281" s="421"/>
      <c r="N3281" s="292"/>
      <c r="O3281" s="347"/>
      <c r="P3281" s="295"/>
      <c r="Q3281" s="442"/>
      <c r="R3281" s="403" t="str">
        <f t="shared" si="250"/>
        <v>DELETE</v>
      </c>
    </row>
    <row r="3282" spans="2:24" ht="31.5" customHeight="1" x14ac:dyDescent="0.45">
      <c r="B3282" s="441"/>
      <c r="C3282" s="417" t="s">
        <v>114</v>
      </c>
      <c r="J3282" s="292"/>
      <c r="K3282" s="292">
        <f>FS!B965</f>
        <v>6</v>
      </c>
      <c r="L3282" s="405"/>
      <c r="M3282" s="421"/>
      <c r="N3282" s="292"/>
      <c r="O3282" s="347">
        <f>SUM(O3285:O3292)</f>
        <v>0</v>
      </c>
      <c r="P3282" s="295"/>
      <c r="Q3282" s="442"/>
      <c r="R3282" s="403" t="str">
        <f t="shared" ref="R3282" si="251">IF(R$3143="DELETE","DELETE",IF(O3282=0,"DELETE"," "))</f>
        <v>DELETE</v>
      </c>
      <c r="S3282" s="380">
        <f>O3282</f>
        <v>0</v>
      </c>
      <c r="T3282" s="380"/>
      <c r="U3282" s="380"/>
      <c r="V3282" s="380"/>
      <c r="W3282" s="380"/>
      <c r="X3282" s="380"/>
    </row>
    <row r="3283" spans="2:24" ht="9" customHeight="1" x14ac:dyDescent="0.45">
      <c r="B3283" s="441"/>
      <c r="C3283" s="417"/>
      <c r="J3283" s="292"/>
      <c r="K3283" s="292"/>
      <c r="L3283" s="405"/>
      <c r="M3283" s="421"/>
      <c r="N3283" s="292"/>
      <c r="O3283" s="347"/>
      <c r="P3283" s="295"/>
      <c r="Q3283" s="442"/>
      <c r="R3283" s="403" t="str">
        <f>R3282</f>
        <v>DELETE</v>
      </c>
    </row>
    <row r="3284" spans="2:24" ht="9" customHeight="1" x14ac:dyDescent="0.45">
      <c r="B3284" s="441"/>
      <c r="C3284" s="417"/>
      <c r="J3284" s="292"/>
      <c r="K3284" s="292"/>
      <c r="L3284" s="405"/>
      <c r="M3284" s="421"/>
      <c r="N3284" s="292"/>
      <c r="O3284" s="372"/>
      <c r="P3284" s="295"/>
      <c r="Q3284" s="442"/>
      <c r="R3284" s="403" t="str">
        <f>R3283</f>
        <v>DELETE</v>
      </c>
    </row>
    <row r="3285" spans="2:24" ht="31.5" customHeight="1" x14ac:dyDescent="0.45">
      <c r="B3285" s="441"/>
      <c r="C3285" s="417"/>
      <c r="D3285" s="400" t="s">
        <v>205</v>
      </c>
      <c r="J3285" s="292"/>
      <c r="K3285" s="292"/>
      <c r="L3285" s="405"/>
      <c r="M3285" s="421"/>
      <c r="N3285" s="292"/>
      <c r="O3285" s="373">
        <f>-TrialBalanceC!I94</f>
        <v>0</v>
      </c>
      <c r="P3285" s="295"/>
      <c r="Q3285" s="442"/>
      <c r="R3285" s="403" t="str">
        <f t="shared" ref="R3285:R3290" si="252">IF(R$3143="DELETE","DELETE",IF(O3285=0,"DELETE"," "))</f>
        <v>DELETE</v>
      </c>
    </row>
    <row r="3286" spans="2:24" ht="31.5" customHeight="1" x14ac:dyDescent="0.45">
      <c r="B3286" s="441"/>
      <c r="C3286" s="417"/>
      <c r="D3286" s="400" t="s">
        <v>531</v>
      </c>
      <c r="J3286" s="292"/>
      <c r="K3286" s="292"/>
      <c r="L3286" s="405"/>
      <c r="M3286" s="421"/>
      <c r="N3286" s="292"/>
      <c r="O3286" s="373">
        <f>-SUM(TrialBalanceC!I90:I92)</f>
        <v>0</v>
      </c>
      <c r="P3286" s="295"/>
      <c r="Q3286" s="442"/>
      <c r="R3286" s="403" t="str">
        <f t="shared" si="252"/>
        <v>DELETE</v>
      </c>
    </row>
    <row r="3287" spans="2:24" ht="31.5" customHeight="1" x14ac:dyDescent="0.45">
      <c r="B3287" s="441"/>
      <c r="C3287" s="417"/>
      <c r="D3287" s="400" t="s">
        <v>532</v>
      </c>
      <c r="J3287" s="292"/>
      <c r="K3287" s="292"/>
      <c r="L3287" s="405"/>
      <c r="M3287" s="421"/>
      <c r="N3287" s="292"/>
      <c r="O3287" s="375">
        <f>-SUM(TrialBalanceC!I85:I88)</f>
        <v>0</v>
      </c>
      <c r="P3287" s="295"/>
      <c r="Q3287" s="442"/>
      <c r="R3287" s="403" t="str">
        <f t="shared" si="252"/>
        <v>DELETE</v>
      </c>
    </row>
    <row r="3288" spans="2:24" ht="31.5" customHeight="1" x14ac:dyDescent="0.45">
      <c r="B3288" s="441"/>
      <c r="C3288" s="417"/>
      <c r="D3288" s="400" t="s">
        <v>207</v>
      </c>
      <c r="J3288" s="292"/>
      <c r="K3288" s="292"/>
      <c r="L3288" s="405"/>
      <c r="M3288" s="421"/>
      <c r="N3288" s="292"/>
      <c r="O3288" s="375">
        <f>-SUM(TrialBalanceC!I95)</f>
        <v>0</v>
      </c>
      <c r="P3288" s="295"/>
      <c r="Q3288" s="442"/>
      <c r="R3288" s="403" t="str">
        <f t="shared" si="252"/>
        <v>DELETE</v>
      </c>
    </row>
    <row r="3289" spans="2:24" ht="31.5" customHeight="1" x14ac:dyDescent="0.45">
      <c r="B3289" s="441"/>
      <c r="C3289" s="417"/>
      <c r="D3289" s="400" t="s">
        <v>548</v>
      </c>
      <c r="J3289" s="292"/>
      <c r="K3289" s="292"/>
      <c r="L3289" s="405"/>
      <c r="M3289" s="421"/>
      <c r="N3289" s="292"/>
      <c r="O3289" s="373">
        <f>IF(TrialBalanceC!I93&lt;0,-TrialBalanceC!I93,0)</f>
        <v>0</v>
      </c>
      <c r="P3289" s="295"/>
      <c r="Q3289" s="442"/>
      <c r="R3289" s="403" t="str">
        <f t="shared" si="252"/>
        <v>DELETE</v>
      </c>
    </row>
    <row r="3290" spans="2:24" ht="31.5" customHeight="1" x14ac:dyDescent="0.45">
      <c r="B3290" s="441"/>
      <c r="C3290" s="417"/>
      <c r="D3290" s="400" t="s">
        <v>359</v>
      </c>
      <c r="J3290" s="292"/>
      <c r="K3290" s="292"/>
      <c r="L3290" s="405"/>
      <c r="M3290" s="421"/>
      <c r="N3290" s="292"/>
      <c r="O3290" s="373">
        <f>-TrialBalanceC!I83</f>
        <v>0</v>
      </c>
      <c r="P3290" s="295"/>
      <c r="Q3290" s="442"/>
      <c r="R3290" s="403" t="str">
        <f t="shared" si="252"/>
        <v>DELETE</v>
      </c>
    </row>
    <row r="3291" spans="2:24" ht="31.5" customHeight="1" x14ac:dyDescent="0.45">
      <c r="B3291" s="441"/>
      <c r="C3291" s="417"/>
      <c r="D3291" s="400" t="str">
        <f>TrialBalance!C96</f>
        <v>Revaluation of investment property</v>
      </c>
      <c r="J3291" s="292"/>
      <c r="K3291" s="292"/>
      <c r="L3291" s="405"/>
      <c r="M3291" s="421"/>
      <c r="N3291" s="292"/>
      <c r="O3291" s="373">
        <f>-TrialBalanceC!I96</f>
        <v>0</v>
      </c>
      <c r="P3291" s="295"/>
      <c r="Q3291" s="442"/>
      <c r="R3291" s="403" t="str">
        <f>IF(R$3143="DELETE","DELETE",IF(O3291=0,"DELETE"," "))</f>
        <v>DELETE</v>
      </c>
    </row>
    <row r="3292" spans="2:24" ht="9" customHeight="1" x14ac:dyDescent="0.45">
      <c r="B3292" s="441"/>
      <c r="C3292" s="417"/>
      <c r="J3292" s="292"/>
      <c r="K3292" s="292"/>
      <c r="L3292" s="405"/>
      <c r="M3292" s="421"/>
      <c r="N3292" s="292"/>
      <c r="O3292" s="374"/>
      <c r="P3292" s="295"/>
      <c r="Q3292" s="442"/>
      <c r="R3292" s="403" t="str">
        <f>R3282</f>
        <v>DELETE</v>
      </c>
    </row>
    <row r="3293" spans="2:24" ht="9" customHeight="1" x14ac:dyDescent="0.45">
      <c r="B3293" s="441"/>
      <c r="C3293" s="417"/>
      <c r="J3293" s="292"/>
      <c r="K3293" s="292"/>
      <c r="L3293" s="405"/>
      <c r="M3293" s="421"/>
      <c r="N3293" s="292"/>
      <c r="O3293" s="349"/>
      <c r="P3293" s="295"/>
      <c r="Q3293" s="442"/>
      <c r="R3293" s="403" t="str">
        <f>R3292</f>
        <v>DELETE</v>
      </c>
    </row>
    <row r="3294" spans="2:24" ht="9" customHeight="1" x14ac:dyDescent="0.45">
      <c r="B3294" s="441"/>
      <c r="C3294" s="417"/>
      <c r="J3294" s="292"/>
      <c r="K3294" s="292"/>
      <c r="L3294" s="405"/>
      <c r="M3294" s="421"/>
      <c r="N3294" s="292"/>
      <c r="O3294" s="347"/>
      <c r="P3294" s="295"/>
      <c r="Q3294" s="442"/>
      <c r="R3294" s="403" t="str">
        <f>R3293</f>
        <v>DELETE</v>
      </c>
    </row>
    <row r="3295" spans="2:24" ht="31.5" customHeight="1" x14ac:dyDescent="0.45">
      <c r="B3295" s="441"/>
      <c r="C3295" s="417"/>
      <c r="J3295" s="292"/>
      <c r="K3295" s="292"/>
      <c r="L3295" s="405"/>
      <c r="M3295" s="421"/>
      <c r="N3295" s="292"/>
      <c r="O3295" s="347">
        <f>SUM(S3155:S3292)</f>
        <v>0</v>
      </c>
      <c r="P3295" s="295"/>
      <c r="Q3295" s="442"/>
      <c r="R3295" s="403" t="str">
        <f>R3294</f>
        <v>DELETE</v>
      </c>
    </row>
    <row r="3296" spans="2:24" ht="31.5" customHeight="1" x14ac:dyDescent="0.45">
      <c r="B3296" s="441"/>
      <c r="C3296" s="417"/>
      <c r="J3296" s="292"/>
      <c r="K3296" s="292"/>
      <c r="L3296" s="405"/>
      <c r="M3296" s="421"/>
      <c r="N3296" s="292"/>
      <c r="O3296" s="347"/>
      <c r="P3296" s="295"/>
      <c r="Q3296" s="442"/>
      <c r="R3296" s="403" t="str">
        <f>R3295</f>
        <v>DELETE</v>
      </c>
    </row>
    <row r="3297" spans="2:24" ht="30" customHeight="1" x14ac:dyDescent="0.45">
      <c r="B3297" s="441"/>
      <c r="C3297" s="417" t="s">
        <v>262</v>
      </c>
      <c r="J3297" s="292"/>
      <c r="K3297" s="292">
        <f>FS!B1024</f>
        <v>7</v>
      </c>
      <c r="L3297" s="405"/>
      <c r="M3297" s="421"/>
      <c r="N3297" s="292"/>
      <c r="O3297" s="347">
        <f>SUM(TrialBalanceC!I142:I152)</f>
        <v>0</v>
      </c>
      <c r="P3297" s="295"/>
      <c r="Q3297" s="442"/>
      <c r="R3297" s="403" t="str">
        <f t="shared" ref="R3297" si="253">IF(R$3143="DELETE","DELETE",IF(O3297=0,"DELETE"," "))</f>
        <v>DELETE</v>
      </c>
      <c r="S3297" s="380">
        <f>-O3297</f>
        <v>0</v>
      </c>
      <c r="T3297" s="380"/>
      <c r="U3297" s="380"/>
      <c r="V3297" s="380"/>
      <c r="W3297" s="380"/>
      <c r="X3297" s="380"/>
    </row>
    <row r="3298" spans="2:24" ht="9" customHeight="1" x14ac:dyDescent="0.45">
      <c r="B3298" s="441"/>
      <c r="C3298" s="417"/>
      <c r="J3298" s="292"/>
      <c r="K3298" s="292"/>
      <c r="L3298" s="405"/>
      <c r="M3298" s="421"/>
      <c r="N3298" s="292"/>
      <c r="O3298" s="349"/>
      <c r="P3298" s="295"/>
      <c r="Q3298" s="442"/>
      <c r="R3298" s="403" t="str">
        <f t="shared" ref="R3298:R3306" si="254">R$3143</f>
        <v>DELETE</v>
      </c>
    </row>
    <row r="3299" spans="2:24" ht="9" customHeight="1" x14ac:dyDescent="0.45">
      <c r="B3299" s="441"/>
      <c r="C3299" s="417"/>
      <c r="J3299" s="292"/>
      <c r="K3299" s="292"/>
      <c r="L3299" s="405"/>
      <c r="M3299" s="421"/>
      <c r="N3299" s="292"/>
      <c r="O3299" s="347"/>
      <c r="P3299" s="295"/>
      <c r="Q3299" s="442"/>
      <c r="R3299" s="403" t="str">
        <f t="shared" si="254"/>
        <v>DELETE</v>
      </c>
    </row>
    <row r="3300" spans="2:24" ht="31.5" customHeight="1" x14ac:dyDescent="0.45">
      <c r="B3300" s="441"/>
      <c r="C3300" s="315" t="str">
        <f>IF(O3300&lt;0,"LOSS BEFORE TAXATION","PROFIT BEFORE TAXATION")</f>
        <v>PROFIT BEFORE TAXATION</v>
      </c>
      <c r="J3300" s="292"/>
      <c r="K3300" s="292"/>
      <c r="L3300" s="405"/>
      <c r="M3300" s="421"/>
      <c r="N3300" s="292"/>
      <c r="O3300" s="347">
        <f>SUM(S3155:S3299)</f>
        <v>0</v>
      </c>
      <c r="P3300" s="295"/>
      <c r="Q3300" s="442"/>
      <c r="R3300" s="403" t="str">
        <f t="shared" si="254"/>
        <v>DELETE</v>
      </c>
      <c r="V3300" s="378" t="b">
        <f>O3300=FS!M2309</f>
        <v>1</v>
      </c>
    </row>
    <row r="3301" spans="2:24" ht="9" customHeight="1" thickBot="1" x14ac:dyDescent="0.5">
      <c r="B3301" s="441"/>
      <c r="C3301" s="417"/>
      <c r="J3301" s="292"/>
      <c r="K3301" s="292"/>
      <c r="L3301" s="405"/>
      <c r="M3301" s="421"/>
      <c r="N3301" s="292"/>
      <c r="O3301" s="351"/>
      <c r="P3301" s="295"/>
      <c r="Q3301" s="442"/>
      <c r="R3301" s="403" t="str">
        <f t="shared" si="254"/>
        <v>DELETE</v>
      </c>
    </row>
    <row r="3302" spans="2:24" ht="9" customHeight="1" thickTop="1" x14ac:dyDescent="0.45">
      <c r="B3302" s="441"/>
      <c r="C3302" s="417"/>
      <c r="J3302" s="292"/>
      <c r="K3302" s="292"/>
      <c r="L3302" s="405"/>
      <c r="M3302" s="421"/>
      <c r="N3302" s="292"/>
      <c r="O3302" s="363"/>
      <c r="P3302" s="295"/>
      <c r="Q3302" s="442"/>
      <c r="R3302" s="403" t="str">
        <f t="shared" si="254"/>
        <v>DELETE</v>
      </c>
    </row>
    <row r="3303" spans="2:24" ht="31.5" customHeight="1" x14ac:dyDescent="0.45">
      <c r="B3303" s="441"/>
      <c r="C3303" s="417"/>
      <c r="J3303" s="292"/>
      <c r="K3303" s="292"/>
      <c r="L3303" s="405"/>
      <c r="M3303" s="421"/>
      <c r="N3303" s="292"/>
      <c r="O3303" s="347"/>
      <c r="P3303" s="295"/>
      <c r="Q3303" s="442"/>
      <c r="R3303" s="403" t="str">
        <f t="shared" si="254"/>
        <v>DELETE</v>
      </c>
    </row>
    <row r="3304" spans="2:24" ht="31.5" customHeight="1" x14ac:dyDescent="0.45">
      <c r="B3304" s="441"/>
      <c r="C3304" s="417"/>
      <c r="J3304" s="292"/>
      <c r="K3304" s="292"/>
      <c r="L3304" s="292"/>
      <c r="M3304" s="347"/>
      <c r="N3304" s="298"/>
      <c r="O3304" s="347"/>
      <c r="P3304" s="295"/>
      <c r="Q3304" s="442"/>
      <c r="R3304" s="403" t="str">
        <f t="shared" si="254"/>
        <v>DELETE</v>
      </c>
    </row>
    <row r="3305" spans="2:24" ht="31.5" customHeight="1" x14ac:dyDescent="0.45">
      <c r="B3305" s="445"/>
      <c r="C3305" s="429"/>
      <c r="D3305" s="429"/>
      <c r="E3305" s="429"/>
      <c r="F3305" s="429"/>
      <c r="G3305" s="429"/>
      <c r="H3305" s="429"/>
      <c r="I3305" s="429"/>
      <c r="J3305" s="429"/>
      <c r="K3305" s="429"/>
      <c r="L3305" s="429"/>
      <c r="M3305" s="437"/>
      <c r="N3305" s="461"/>
      <c r="O3305" s="437"/>
      <c r="P3305" s="433"/>
      <c r="Q3305" s="446"/>
      <c r="R3305" s="403" t="str">
        <f t="shared" si="254"/>
        <v>DELETE</v>
      </c>
    </row>
    <row r="3306" spans="2:24" ht="27.75" customHeight="1" x14ac:dyDescent="0.45">
      <c r="M3306" s="426"/>
      <c r="N3306" s="406"/>
      <c r="O3306" s="426"/>
      <c r="R3306" s="403" t="str">
        <f t="shared" si="254"/>
        <v>DELETE</v>
      </c>
    </row>
  </sheetData>
  <sheetProtection algorithmName="SHA-512" hashValue="IUtZKrtqnX0cYXrLkWwNrq7O02k3t4JQQV0X3kEP6rDVh7j2othLPo9AWhxOoBj/awTEkzt00fWwlbU1cAVRlg==" saltValue="zseIgKs575mohBqECixD9Q==" spinCount="100000" sheet="1" formatColumns="0" formatRows="0" insertRows="0"/>
  <mergeCells count="11">
    <mergeCell ref="O2132:P2132"/>
    <mergeCell ref="O2131:P2131"/>
    <mergeCell ref="J111:K111"/>
    <mergeCell ref="L2131:N2131"/>
    <mergeCell ref="L2132:N2132"/>
    <mergeCell ref="V1:X1"/>
    <mergeCell ref="E215:H215"/>
    <mergeCell ref="D211:H211"/>
    <mergeCell ref="D16:N16"/>
    <mergeCell ref="D18:N18"/>
    <mergeCell ref="D20:N20"/>
  </mergeCells>
  <phoneticPr fontId="0" type="noConversion"/>
  <hyperlinks>
    <hyperlink ref="O2291" r:id="rId1" display="-@sum(TrialBalance!A67:A70" xr:uid="{00000000-0004-0000-0000-000000000000}"/>
    <hyperlink ref="O459" r:id="rId2" display="-TrialBalance!A146-@sum(TrialBalance!A5:A127)" xr:uid="{00000000-0004-0000-0000-000001000000}"/>
    <hyperlink ref="D371" r:id="rId3" display="=@IF(U501+V501=1,&quot;GROSS PROFIT/(LOSS)&quot;,IF((U501+V501=2),&quot;GROSS PROFIT&quot;,&quot;GROSS LOSS&quot;))" xr:uid="{00000000-0004-0000-0000-000003000000}"/>
    <hyperlink ref="D361" r:id="rId4" display="=@IF(U501+V501=1,&quot;GROSS PROFIT/(LOSS)&quot;,IF((U501+V501=2),&quot;GROSS PROFIT&quot;,&quot;GROSS LOSS&quot;))" xr:uid="{00000000-0004-0000-0000-000004000000}"/>
    <hyperlink ref="D379" r:id="rId5" display="=@IF(U501+V501=1,&quot;GROSS PROFIT/(LOSS)&quot;,IF((U501+V501=2),&quot;GROSS PROFIT&quot;,&quot;GROSS LOSS&quot;))" xr:uid="{00000000-0004-0000-0000-000005000000}"/>
    <hyperlink ref="D384" r:id="rId6" display="=@IF(U501+V501=1,&quot;GROSS PROFIT/(LOSS)&quot;,IF((U501+V501=2),&quot;GROSS PROFIT&quot;,&quot;GROSS LOSS&quot;))" xr:uid="{00000000-0004-0000-0000-000006000000}"/>
    <hyperlink ref="C2176" r:id="rId7" display="=@IF(U501+V501=1,&quot;GROSS PROFIT/(LOSS)&quot;,IF((U501+V501=2),&quot;GROSS PROFIT&quot;,&quot;GROSS LOSS&quot;))" xr:uid="{00000000-0004-0000-0000-000007000000}"/>
    <hyperlink ref="C2225" r:id="rId8" display="=@IF(U501+V501=1,&quot;GROSS PROFIT/(LOSS)&quot;,IF((U501+V501=2),&quot;GROSS PROFIT&quot;,&quot;GROSS LOSS&quot;))" xr:uid="{00000000-0004-0000-0000-000008000000}"/>
    <hyperlink ref="C2241" r:id="rId9" display="=@IF(U501+V501=1,&quot;GROSS PROFIT/(LOSS)&quot;,IF((U501+V501=2),&quot;GROSS PROFIT&quot;,&quot;GROSS LOSS&quot;))" xr:uid="{00000000-0004-0000-0000-000009000000}"/>
    <hyperlink ref="C2284" r:id="rId10" display="=@IF(U501+V501=1,&quot;GROSS PROFIT/(LOSS)&quot;,IF((U501+V501=2),&quot;GROSS PROFIT&quot;,&quot;GROSS LOSS&quot;))" xr:uid="{00000000-0004-0000-0000-00000A000000}"/>
    <hyperlink ref="C2304" r:id="rId11" display="=@IF(U501+V501=1,&quot;GROSS PROFIT/(LOSS)&quot;,IF((U501+V501=2),&quot;GROSS PROFIT&quot;,&quot;GROSS LOSS&quot;))" xr:uid="{00000000-0004-0000-0000-00000B000000}"/>
    <hyperlink ref="C2317" r:id="rId12" display="=@IF(U501+V501=1,&quot;GROSS PROFIT/(LOSS)&quot;,IF((U501+V501=2),&quot;GROSS PROFIT&quot;,&quot;GROSS LOSS&quot;))" xr:uid="{00000000-0004-0000-0000-00000C000000}"/>
    <hyperlink ref="D459" r:id="rId13" display="=@IF(U501+V501=1,&quot;GROSS PROFIT/(LOSS)&quot;,IF((U501+V501=2),&quot;GROSS PROFIT&quot;,&quot;GROSS LOSS&quot;))" xr:uid="{00000000-0004-0000-0000-00000D000000}"/>
    <hyperlink ref="D879" r:id="rId14" display="=@IF(U501+V501=1,&quot;GROSS PROFIT/(LOSS)&quot;,IF((U501+V501=2),&quot;GROSS PROFIT&quot;,&quot;GROSS LOSS&quot;))" xr:uid="{00000000-0004-0000-0000-00000E000000}"/>
    <hyperlink ref="M2291" r:id="rId15" display="-@sum(TrialBalance!A67:A70" xr:uid="{00000000-0004-0000-0000-000010000000}"/>
    <hyperlink ref="M459" r:id="rId16" display="-TrialBalance!A146-@sum(TrialBalance!A5:A127)" xr:uid="{00000000-0004-0000-0000-000012000000}"/>
    <hyperlink ref="M358" r:id="rId17" display="-@sum(TrialBalance!A8:A22" xr:uid="{00000000-0004-0000-0000-000018000000}"/>
    <hyperlink ref="M365" r:id="rId18" display="-@sum(TrialBalance!A23:A63" xr:uid="{00000000-0004-0000-0000-00001A000000}"/>
    <hyperlink ref="M367" r:id="rId19" display="-@sum(TrialBalance!A77:A111" xr:uid="{00000000-0004-0000-0000-00001C000000}"/>
    <hyperlink ref="M375" r:id="rId20" display="-@sum(TrialBalance!A112:A118" xr:uid="{00000000-0004-0000-0000-00001E000000}"/>
    <hyperlink ref="O381" r:id="rId21" display="-@sum(TrialBalance!A119:A125" xr:uid="{00000000-0004-0000-0000-000021000000}"/>
    <hyperlink ref="D328" r:id="rId22" display="=@if(Criteria!F343=&quot;No&quot;,Criteria!G346,&quot; &quot;)" xr:uid="{00000000-0004-0000-0000-00002E000000}"/>
    <hyperlink ref="D329" r:id="rId23" display="=@if(Criteria!F343=&quot;No&quot;,Criteria!G346,&quot; &quot;)" xr:uid="{00000000-0004-0000-0000-00002F000000}"/>
    <hyperlink ref="C878" r:id="rId24" display="=@IF(U501+V501=1,&quot;GROSS PROFIT/(LOSS)&quot;,IF((U501+V501=2),&quot;GROSS PROFIT&quot;,&quot;GROSS LOSS&quot;))" xr:uid="{00000000-0004-0000-0000-000030000000}"/>
    <hyperlink ref="C534" r:id="rId25" display="=@IF(U501+V501=1,&quot;GROSS PROFIT/(LOSS)&quot;,IF((U501+V501=2),&quot;GROSS PROFIT&quot;,&quot;GROSS LOSS&quot;))" xr:uid="{00000000-0004-0000-0000-000033000000}"/>
    <hyperlink ref="D537" r:id="rId26" display="=@IF(U501+V501=1,&quot;GROSS PROFIT/(LOSS)&quot;,IF((U501+V501=2),&quot;GROSS PROFIT&quot;,&quot;GROSS LOSS&quot;))" xr:uid="{00000000-0004-0000-0000-000034000000}"/>
    <hyperlink ref="M1719" r:id="rId27" display="=@if(Criteria!E33*Criteria!E34=Criteria!E36*Criteria!E37,&quot; &quot;,Criteria!E33*Criteria!E34)" xr:uid="{00000000-0004-0000-0000-000035000000}"/>
    <hyperlink ref="O1719" r:id="rId28" display="=@if(Criteria!E33*Criteria!E34=Criteria!E36*Criteria!E37,&quot; &quot;,Criteria!E33*Criteria!E34)" xr:uid="{00000000-0004-0000-0000-000036000000}"/>
    <hyperlink ref="D2307" r:id="rId29" display="=@IF(U501+V501=1,&quot;GROSS PROFIT/(LOSS)&quot;,IF((U501+V501=2),&quot;GROSS PROFIT&quot;,&quot;GROSS LOSS&quot;))" xr:uid="{6D530753-BDD5-4F20-8178-EAE322919C04}"/>
    <hyperlink ref="D2308" r:id="rId30" display="=@IF(U501+V501=1,&quot;GROSS PROFIT/(LOSS)&quot;,IF((U501+V501=2),&quot;GROSS PROFIT&quot;,&quot;GROSS LOSS&quot;))" xr:uid="{EDCDB1ED-7F2E-4F59-985C-32018295338B}"/>
    <hyperlink ref="D2309" r:id="rId31" display="=@IF(U501+V501=1,&quot;GROSS PROFIT/(LOSS)&quot;,IF((U501+V501=2),&quot;GROSS PROFIT&quot;,&quot;GROSS LOSS&quot;))" xr:uid="{DC6D711C-1384-4115-AC4F-089FEF92BDB6}"/>
    <hyperlink ref="O358" r:id="rId32" display="-@sum(TrialBalance!A8:A22" xr:uid="{42D037F3-AE1D-49AA-867B-702F83F1B842}"/>
    <hyperlink ref="O365" r:id="rId33" display="-@sum(TrialBalance!A23:A63" xr:uid="{8A802148-5870-4859-BDC2-2739987B54F5}"/>
    <hyperlink ref="O367" r:id="rId34" display="-@sum(TrialBalance!A77:A111" xr:uid="{74D341AA-7716-4AA2-8727-4DC956228A94}"/>
    <hyperlink ref="O375" r:id="rId35" display="-@sum(TrialBalance!A112:A118" xr:uid="{4D7304DC-15C3-441E-81C7-350E34AABB04}"/>
    <hyperlink ref="D1887" r:id="rId36" display="=@IF(U501+V501=1,&quot;GROSS PROFIT/(LOSS)&quot;,IF((U501+V501=2),&quot;GROSS PROFIT&quot;,&quot;GROSS LOSS&quot;))" xr:uid="{6D0CDBB9-6B0B-4DBD-B7BD-35591D412516}"/>
    <hyperlink ref="D1916" r:id="rId37" display="=@IF(U501+V501=1,&quot;GROSS PROFIT/(LOSS)&quot;,IF((U501+V501=2),&quot;GROSS PROFIT&quot;,&quot;GROSS LOSS&quot;))" xr:uid="{D830917F-1C97-492B-BD44-7D627232BAFA}"/>
    <hyperlink ref="M2467" r:id="rId38" display="-@sum(TrialBalance!A67:A70" xr:uid="{76DE13E3-14E1-4654-8949-628A89D9844C}"/>
    <hyperlink ref="C2480" r:id="rId39" display="=@IF(U501+V501=1,&quot;GROSS PROFIT/(LOSS)&quot;,IF((U501+V501=2),&quot;GROSS PROFIT&quot;,&quot;GROSS LOSS&quot;))" xr:uid="{D167F7AB-9D6E-4F5F-8E45-E5071EF929EF}"/>
    <hyperlink ref="C2460" r:id="rId40" display="=@IF(U501+V501=1,&quot;GROSS PROFIT/(LOSS)&quot;,IF((U501+V501=2),&quot;GROSS PROFIT&quot;,&quot;GROSS LOSS&quot;))" xr:uid="{3EB153A4-A4CC-45B2-9BA2-B586C43DAD2E}"/>
    <hyperlink ref="C2418" r:id="rId41" display="=@IF(U501+V501=1,&quot;GROSS PROFIT/(LOSS)&quot;,IF((U501+V501=2),&quot;GROSS PROFIT&quot;,&quot;GROSS LOSS&quot;))" xr:uid="{E6D04A8E-8C1A-4EFE-BBC4-05625D7E4F8F}"/>
    <hyperlink ref="C2402" r:id="rId42" display="=@IF(U501+V501=1,&quot;GROSS PROFIT/(LOSS)&quot;,IF((U501+V501=2),&quot;GROSS PROFIT&quot;,&quot;GROSS LOSS&quot;))" xr:uid="{32BEBCCD-1976-4288-A534-0214E7920CDE}"/>
    <hyperlink ref="C2353" r:id="rId43" display="=@IF(U501+V501=1,&quot;GROSS PROFIT/(LOSS)&quot;,IF((U501+V501=2),&quot;GROSS PROFIT&quot;,&quot;GROSS LOSS&quot;))" xr:uid="{ABA47BFF-34C2-4871-BC1D-87C6A829A739}"/>
    <hyperlink ref="O2467" r:id="rId44" display="-@sum(TrialBalance!A67:A70" xr:uid="{11959076-A1E1-4023-9E05-2716C0B1A437}"/>
    <hyperlink ref="O2631" r:id="rId45" display="-@sum(TrialBalance!A67:A70" xr:uid="{B416A677-129B-44FA-9433-8BA12FD92D29}"/>
    <hyperlink ref="C2644" r:id="rId46" display="=@IF(U501+V501=1,&quot;GROSS PROFIT/(LOSS)&quot;,IF((U501+V501=2),&quot;GROSS PROFIT&quot;,&quot;GROSS LOSS&quot;))" xr:uid="{5AFCB005-45A8-428E-B8E5-D1D63B5EE9C1}"/>
    <hyperlink ref="C2624" r:id="rId47" display="=@IF(U501+V501=1,&quot;GROSS PROFIT/(LOSS)&quot;,IF((U501+V501=2),&quot;GROSS PROFIT&quot;,&quot;GROSS LOSS&quot;))" xr:uid="{DAB7BEFC-8F9C-4990-BFB8-287D46C083D4}"/>
    <hyperlink ref="C2582" r:id="rId48" display="=@IF(U501+V501=1,&quot;GROSS PROFIT/(LOSS)&quot;,IF((U501+V501=2),&quot;GROSS PROFIT&quot;,&quot;GROSS LOSS&quot;))" xr:uid="{5724C979-7EFE-4D83-9416-1101010A63BD}"/>
    <hyperlink ref="C2566" r:id="rId49" display="=@IF(U501+V501=1,&quot;GROSS PROFIT/(LOSS)&quot;,IF((U501+V501=2),&quot;GROSS PROFIT&quot;,&quot;GROSS LOSS&quot;))" xr:uid="{2106299E-A0FD-4668-BB38-CBD59862B6DB}"/>
    <hyperlink ref="C2517" r:id="rId50" display="=@IF(U501+V501=1,&quot;GROSS PROFIT/(LOSS)&quot;,IF((U501+V501=2),&quot;GROSS PROFIT&quot;,&quot;GROSS LOSS&quot;))" xr:uid="{78FA2441-4542-488A-B4E4-051264C59175}"/>
    <hyperlink ref="M2795" r:id="rId51" display="-@sum(TrialBalance!A67:A70" xr:uid="{5CE439A9-2EEA-41C1-8DCF-0E14934A5DF7}"/>
    <hyperlink ref="C2808" r:id="rId52" display="=@IF(U501+V501=1,&quot;GROSS PROFIT/(LOSS)&quot;,IF((U501+V501=2),&quot;GROSS PROFIT&quot;,&quot;GROSS LOSS&quot;))" xr:uid="{BCDEC460-EFCA-47C5-BB51-5C759E708F82}"/>
    <hyperlink ref="C2788" r:id="rId53" display="=@IF(U501+V501=1,&quot;GROSS PROFIT/(LOSS)&quot;,IF((U501+V501=2),&quot;GROSS PROFIT&quot;,&quot;GROSS LOSS&quot;))" xr:uid="{62424474-DC84-48C1-B787-69185B0D33AE}"/>
    <hyperlink ref="C2746" r:id="rId54" display="=@IF(U501+V501=1,&quot;GROSS PROFIT/(LOSS)&quot;,IF((U501+V501=2),&quot;GROSS PROFIT&quot;,&quot;GROSS LOSS&quot;))" xr:uid="{640AD6C2-487F-41EE-A287-F2F8477466CB}"/>
    <hyperlink ref="C2730" r:id="rId55" display="=@IF(U501+V501=1,&quot;GROSS PROFIT/(LOSS)&quot;,IF((U501+V501=2),&quot;GROSS PROFIT&quot;,&quot;GROSS LOSS&quot;))" xr:uid="{14CD13E1-C53A-4CB3-B087-CF5EC40021BD}"/>
    <hyperlink ref="C2681" r:id="rId56" display="=@IF(U501+V501=1,&quot;GROSS PROFIT/(LOSS)&quot;,IF((U501+V501=2),&quot;GROSS PROFIT&quot;,&quot;GROSS LOSS&quot;))" xr:uid="{15CCCCFA-F76F-49A8-8ACC-BFF5D19AA849}"/>
    <hyperlink ref="O2795" r:id="rId57" display="-@sum(TrialBalance!A67:A70" xr:uid="{0FAF4511-AE58-4FFB-B5C6-0D1556FE9A85}"/>
    <hyperlink ref="O2959" r:id="rId58" display="-@sum(TrialBalance!A67:A70" xr:uid="{401DFF96-4993-4EF2-9704-B380881056B3}"/>
    <hyperlink ref="C2972" r:id="rId59" display="=@IF(U501+V501=1,&quot;GROSS PROFIT/(LOSS)&quot;,IF((U501+V501=2),&quot;GROSS PROFIT&quot;,&quot;GROSS LOSS&quot;))" xr:uid="{0EC4FCFA-31A7-4354-8C3C-D2C45713E811}"/>
    <hyperlink ref="C2952" r:id="rId60" display="=@IF(U501+V501=1,&quot;GROSS PROFIT/(LOSS)&quot;,IF((U501+V501=2),&quot;GROSS PROFIT&quot;,&quot;GROSS LOSS&quot;))" xr:uid="{3430C363-4422-465C-947D-44EBA0BE9E17}"/>
    <hyperlink ref="C2894" r:id="rId61" display="=@IF(U501+V501=1,&quot;GROSS PROFIT/(LOSS)&quot;,IF((U501+V501=2),&quot;GROSS PROFIT&quot;,&quot;GROSS LOSS&quot;))" xr:uid="{7B973B0A-6456-4C63-8A83-C130AC59D439}"/>
    <hyperlink ref="C2845" r:id="rId62" display="=@IF(U501+V501=1,&quot;GROSS PROFIT/(LOSS)&quot;,IF((U501+V501=2),&quot;GROSS PROFIT&quot;,&quot;GROSS LOSS&quot;))" xr:uid="{0185AFBC-49DE-40F4-8206-E51EB1E1EDF1}"/>
    <hyperlink ref="C2910" r:id="rId63" display="=@IF(U501+V501=1,&quot;GROSS PROFIT/(LOSS)&quot;,IF((U501+V501=2),&quot;GROSS PROFIT&quot;,&quot;GROSS LOSS&quot;))" xr:uid="{3599DC75-9B30-4D8F-A24F-4825FF81CF39}"/>
    <hyperlink ref="O3123" r:id="rId64" display="-@sum(TrialBalance!A67:A70" xr:uid="{E16706A6-1ADC-4822-8AAA-4DF9DC5CE3E4}"/>
    <hyperlink ref="C3009" r:id="rId65" display="=@IF(U501+V501=1,&quot;GROSS PROFIT/(LOSS)&quot;,IF((U501+V501=2),&quot;GROSS PROFIT&quot;,&quot;GROSS LOSS&quot;))" xr:uid="{9A45D8C4-0860-4DA7-B096-40C46E11E1A2}"/>
    <hyperlink ref="C3058" r:id="rId66" display="=@IF(U501+V501=1,&quot;GROSS PROFIT/(LOSS)&quot;,IF((U501+V501=2),&quot;GROSS PROFIT&quot;,&quot;GROSS LOSS&quot;))" xr:uid="{4DAA6F50-6332-4CEE-A119-40B1C63EA37E}"/>
    <hyperlink ref="C3074" r:id="rId67" display="=@IF(U501+V501=1,&quot;GROSS PROFIT/(LOSS)&quot;,IF((U501+V501=2),&quot;GROSS PROFIT&quot;,&quot;GROSS LOSS&quot;))" xr:uid="{98FE660A-A57F-405B-8402-D6359ACB2C7D}"/>
    <hyperlink ref="C3116" r:id="rId68" display="=@IF(U501+V501=1,&quot;GROSS PROFIT/(LOSS)&quot;,IF((U501+V501=2),&quot;GROSS PROFIT&quot;,&quot;GROSS LOSS&quot;))" xr:uid="{33DCF48D-2A50-4E2E-8B79-C5C76BA60855}"/>
    <hyperlink ref="C3136" r:id="rId69" display="=@IF(U501+V501=1,&quot;GROSS PROFIT/(LOSS)&quot;,IF((U501+V501=2),&quot;GROSS PROFIT&quot;,&quot;GROSS LOSS&quot;))" xr:uid="{7AC3C5FE-9885-48D2-8509-F3D0C69E2917}"/>
    <hyperlink ref="M3123" r:id="rId70" display="-@sum(TrialBalance!A67:A70" xr:uid="{F02BEE7E-C98E-4BB2-A081-B287D178CBDB}"/>
    <hyperlink ref="C3173" r:id="rId71" display="=@IF(U501+V501=1,&quot;GROSS PROFIT/(LOSS)&quot;,IF((U501+V501=2),&quot;GROSS PROFIT&quot;,&quot;GROSS LOSS&quot;))" xr:uid="{8C1BCC73-5075-4D5E-B889-56EBAAFE96A1}"/>
    <hyperlink ref="C3222" r:id="rId72" display="=@IF(U501+V501=1,&quot;GROSS PROFIT/(LOSS)&quot;,IF((U501+V501=2),&quot;GROSS PROFIT&quot;,&quot;GROSS LOSS&quot;))" xr:uid="{8B84D3A4-A42D-4A60-BD86-46AA85234C4B}"/>
    <hyperlink ref="C3280" r:id="rId73" display="=@IF(U501+V501=1,&quot;GROSS PROFIT/(LOSS)&quot;,IF((U501+V501=2),&quot;GROSS PROFIT&quot;,&quot;GROSS LOSS&quot;))" xr:uid="{C744FD99-8098-4CC3-B09A-3880334447CD}"/>
    <hyperlink ref="C3300" r:id="rId74" display="=@IF(U501+V501=1,&quot;GROSS PROFIT/(LOSS)&quot;,IF((U501+V501=2),&quot;GROSS PROFIT&quot;,&quot;GROSS LOSS&quot;))" xr:uid="{1570E290-DD82-4D7E-BC92-A28E8A5C2096}"/>
    <hyperlink ref="O3287" r:id="rId75" display="-@sum(TrialBalance!A67:A70" xr:uid="{121AA74C-53E3-4260-8B17-18FC23DB7F45}"/>
    <hyperlink ref="C3238" r:id="rId76" display="=@IF(U501+V501=1,&quot;GROSS PROFIT/(LOSS)&quot;,IF((U501+V501=2),&quot;GROSS PROFIT&quot;,&quot;GROSS LOSS&quot;))" xr:uid="{CAA3C9C0-6324-4B4A-919B-D4DADE96D443}"/>
    <hyperlink ref="C2114" r:id="rId77" display="=@IF(U501+V501=1,&quot;GROSS PROFIT/(LOSS)&quot;,IF((U501+V501=2),&quot;GROSS PROFIT&quot;,&quot;GROSS LOSS&quot;))" xr:uid="{5C62542B-5606-44D4-BDBF-10DE5B25A897}"/>
    <hyperlink ref="M381" r:id="rId78" display="-@sum(TrialBalance!A119:A125" xr:uid="{4A0B7A1D-89A0-4013-BB16-7B08D8B6F8F9}"/>
    <hyperlink ref="D330" r:id="rId79" display="=@if(Criteria!F343=&quot;No&quot;,Criteria!G346,&quot; &quot;)" xr:uid="{6FFCA915-0444-41E6-AAAD-48A01F5F5E12}"/>
    <hyperlink ref="D1901" r:id="rId80" display="=@IF(U501+V501=1,&quot;GROSS PROFIT/(LOSS)&quot;,IF((U501+V501=2),&quot;GROSS PROFIT&quot;,&quot;GROSS LOSS&quot;))" xr:uid="{400671F2-00D4-488C-A2CA-3AAE739B45F9}"/>
    <hyperlink ref="D2039" r:id="rId81" display="=@IF(U501+V501=1,&quot;GROSS PROFIT/(LOSS)&quot;,IF((U501+V501=2),&quot;GROSS PROFIT&quot;,&quot;GROSS LOSS&quot;))" xr:uid="{4AC22775-B2C8-4095-8B11-2CC0809E829C}"/>
    <hyperlink ref="C2038" r:id="rId82" display="=@IF(U501+V501=1,&quot;GROSS PROFIT/(LOSS)&quot;,IF((U501+V501=2),&quot;GROSS PROFIT&quot;,&quot;GROSS LOSS&quot;))" xr:uid="{F48E2EEA-A495-4003-A673-C35617729888}"/>
    <hyperlink ref="D2048" r:id="rId83" display="=@IF(U501+V501=1,&quot;GROSS PROFIT/(LOSS)&quot;,IF((U501+V501=2),&quot;GROSS PROFIT&quot;,&quot;GROSS LOSS&quot;))" xr:uid="{405E3975-F765-46DF-8888-9CE0A3F29231}"/>
  </hyperlinks>
  <pageMargins left="0.7" right="0.7" top="0.75" bottom="0.75" header="0.3" footer="0.3"/>
  <pageSetup paperSize="9" scale="43" fitToHeight="0" orientation="portrait" r:id="rId84"/>
  <headerFooter alignWithMargins="0"/>
  <drawing r:id="rId85"/>
  <picture r:id="rId8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81</v>
      </c>
      <c r="I3" s="77"/>
    </row>
    <row r="4" spans="1:13" x14ac:dyDescent="0.25">
      <c r="C4" s="3" t="s">
        <v>80</v>
      </c>
      <c r="D4" s="35" t="str">
        <f>Criteria!E20</f>
        <v>29 FEBRUARY 2024</v>
      </c>
    </row>
    <row r="5" spans="1:13" x14ac:dyDescent="0.25">
      <c r="H5" s="77" t="s">
        <v>82</v>
      </c>
      <c r="I5" s="77"/>
    </row>
    <row r="6" spans="1:13" x14ac:dyDescent="0.25">
      <c r="C6" s="3" t="s">
        <v>168</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292</v>
      </c>
      <c r="E9" s="8"/>
      <c r="F9" s="4">
        <f>F486</f>
        <v>0</v>
      </c>
    </row>
    <row r="10" spans="1:13" x14ac:dyDescent="0.25">
      <c r="D10" s="8"/>
      <c r="E10" s="8"/>
    </row>
    <row r="11" spans="1:13" x14ac:dyDescent="0.25">
      <c r="A11" s="34" t="s">
        <v>269</v>
      </c>
      <c r="F11" s="527"/>
      <c r="G11" s="527"/>
      <c r="H11" s="527"/>
      <c r="I11" s="527"/>
    </row>
    <row r="12" spans="1:13" x14ac:dyDescent="0.25">
      <c r="A12" s="34" t="s">
        <v>663</v>
      </c>
      <c r="F12" s="527" t="s">
        <v>352</v>
      </c>
      <c r="G12" s="527"/>
      <c r="H12" s="527" t="s">
        <v>92</v>
      </c>
      <c r="I12" s="527"/>
    </row>
    <row r="13" spans="1:13" x14ac:dyDescent="0.25">
      <c r="A13" s="34" t="s">
        <v>270</v>
      </c>
      <c r="B13" s="32" t="s">
        <v>700</v>
      </c>
      <c r="C13" s="32" t="s">
        <v>226</v>
      </c>
      <c r="D13" s="32" t="s">
        <v>245</v>
      </c>
      <c r="E13" s="32" t="s">
        <v>416</v>
      </c>
      <c r="F13" s="22" t="s">
        <v>229</v>
      </c>
      <c r="G13" s="22" t="s">
        <v>230</v>
      </c>
      <c r="H13" s="22" t="s">
        <v>229</v>
      </c>
      <c r="I13" s="22" t="s">
        <v>230</v>
      </c>
    </row>
    <row r="14" spans="1:13" x14ac:dyDescent="0.25">
      <c r="A14" s="34"/>
    </row>
    <row r="15" spans="1:13" x14ac:dyDescent="0.25">
      <c r="A15" s="34" t="str">
        <f t="shared" ref="A15:A78" si="0">IF(COUNTIF(K15:M15,"ERROR")&gt;0,"ERROR"," ")</f>
        <v xml:space="preserve"> </v>
      </c>
      <c r="B15" s="5">
        <v>1</v>
      </c>
      <c r="D15" s="33"/>
      <c r="E15" s="33"/>
      <c r="J15" s="14">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x14ac:dyDescent="0.25">
      <c r="A16" s="34" t="str">
        <f t="shared" si="0"/>
        <v xml:space="preserve"> </v>
      </c>
      <c r="B16" s="25"/>
      <c r="D16" s="33"/>
      <c r="E16" s="33"/>
      <c r="J16" s="14">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4" t="str">
        <f t="shared" si="0"/>
        <v xml:space="preserve"> </v>
      </c>
      <c r="D17" s="33"/>
      <c r="E17" s="33"/>
      <c r="J17" s="14">
        <f t="shared" si="3"/>
        <v>0</v>
      </c>
      <c r="K17" s="2" t="str">
        <f t="shared" si="4"/>
        <v xml:space="preserve"> </v>
      </c>
      <c r="L17" s="2" t="str">
        <f t="shared" si="1"/>
        <v xml:space="preserve"> </v>
      </c>
      <c r="M17" s="2" t="str">
        <f t="shared" si="2"/>
        <v xml:space="preserve"> </v>
      </c>
    </row>
    <row r="18" spans="1:13" x14ac:dyDescent="0.25">
      <c r="A18" s="34" t="str">
        <f t="shared" si="0"/>
        <v xml:space="preserve"> </v>
      </c>
      <c r="D18" s="33"/>
      <c r="E18" s="33"/>
      <c r="J18" s="14">
        <f t="shared" si="3"/>
        <v>0</v>
      </c>
      <c r="K18" s="2" t="str">
        <f t="shared" si="4"/>
        <v xml:space="preserve"> </v>
      </c>
      <c r="L18" s="2" t="str">
        <f t="shared" si="1"/>
        <v xml:space="preserve"> </v>
      </c>
      <c r="M18" s="2" t="str">
        <f t="shared" si="2"/>
        <v xml:space="preserve"> </v>
      </c>
    </row>
    <row r="19" spans="1:13" x14ac:dyDescent="0.25">
      <c r="A19" s="34" t="str">
        <f t="shared" si="0"/>
        <v xml:space="preserve"> </v>
      </c>
      <c r="D19" s="33"/>
      <c r="E19" s="33"/>
      <c r="J19" s="14">
        <f t="shared" si="3"/>
        <v>0</v>
      </c>
      <c r="K19" s="2" t="str">
        <f t="shared" si="4"/>
        <v xml:space="preserve"> </v>
      </c>
      <c r="L19" s="2" t="str">
        <f t="shared" si="1"/>
        <v xml:space="preserve"> </v>
      </c>
      <c r="M19" s="2" t="str">
        <f t="shared" si="2"/>
        <v xml:space="preserve"> </v>
      </c>
    </row>
    <row r="20" spans="1:13" x14ac:dyDescent="0.25">
      <c r="A20" s="34" t="str">
        <f t="shared" si="0"/>
        <v xml:space="preserve"> </v>
      </c>
      <c r="D20" s="33"/>
      <c r="E20" s="33"/>
      <c r="J20" s="14">
        <f t="shared" si="3"/>
        <v>0</v>
      </c>
      <c r="K20" s="2" t="str">
        <f t="shared" si="4"/>
        <v xml:space="preserve"> </v>
      </c>
      <c r="L20" s="2" t="str">
        <f t="shared" si="1"/>
        <v xml:space="preserve"> </v>
      </c>
      <c r="M20" s="2" t="str">
        <f t="shared" si="2"/>
        <v xml:space="preserve"> </v>
      </c>
    </row>
    <row r="21" spans="1:13" x14ac:dyDescent="0.25">
      <c r="A21" s="34" t="str">
        <f t="shared" si="0"/>
        <v xml:space="preserve"> </v>
      </c>
      <c r="D21" s="33"/>
      <c r="E21" s="33"/>
      <c r="J21" s="14">
        <f t="shared" si="3"/>
        <v>0</v>
      </c>
      <c r="K21" s="2" t="str">
        <f t="shared" si="4"/>
        <v xml:space="preserve"> </v>
      </c>
      <c r="L21" s="2" t="str">
        <f t="shared" si="1"/>
        <v xml:space="preserve"> </v>
      </c>
      <c r="M21" s="2" t="str">
        <f t="shared" si="2"/>
        <v xml:space="preserve"> </v>
      </c>
    </row>
    <row r="22" spans="1:13" x14ac:dyDescent="0.25">
      <c r="A22" s="34" t="str">
        <f t="shared" si="0"/>
        <v xml:space="preserve"> </v>
      </c>
      <c r="D22" s="33"/>
      <c r="E22" s="33"/>
      <c r="J22" s="14">
        <f t="shared" si="3"/>
        <v>0</v>
      </c>
      <c r="K22" s="2" t="str">
        <f t="shared" si="4"/>
        <v xml:space="preserve"> </v>
      </c>
      <c r="L22" s="2" t="str">
        <f t="shared" si="1"/>
        <v xml:space="preserve"> </v>
      </c>
      <c r="M22" s="2" t="str">
        <f t="shared" si="2"/>
        <v xml:space="preserve"> </v>
      </c>
    </row>
    <row r="23" spans="1:13" x14ac:dyDescent="0.25">
      <c r="A23" s="34" t="str">
        <f t="shared" si="0"/>
        <v xml:space="preserve"> </v>
      </c>
      <c r="D23" s="33"/>
      <c r="E23" s="33"/>
      <c r="J23" s="14">
        <f t="shared" si="3"/>
        <v>0</v>
      </c>
      <c r="K23" s="2" t="str">
        <f t="shared" si="4"/>
        <v xml:space="preserve"> </v>
      </c>
      <c r="L23" s="2" t="str">
        <f t="shared" si="1"/>
        <v xml:space="preserve"> </v>
      </c>
      <c r="M23" s="2" t="str">
        <f t="shared" si="2"/>
        <v xml:space="preserve"> </v>
      </c>
    </row>
    <row r="24" spans="1:13" x14ac:dyDescent="0.25">
      <c r="A24" s="34" t="str">
        <f t="shared" si="0"/>
        <v xml:space="preserve"> </v>
      </c>
      <c r="D24" s="33"/>
      <c r="E24" s="33"/>
      <c r="J24" s="14">
        <f t="shared" si="3"/>
        <v>0</v>
      </c>
      <c r="K24" s="2" t="str">
        <f t="shared" si="4"/>
        <v xml:space="preserve"> </v>
      </c>
      <c r="L24" s="2" t="str">
        <f t="shared" si="1"/>
        <v xml:space="preserve"> </v>
      </c>
      <c r="M24" s="2" t="str">
        <f t="shared" si="2"/>
        <v xml:space="preserve"> </v>
      </c>
    </row>
    <row r="25" spans="1:13" x14ac:dyDescent="0.25">
      <c r="A25" s="34" t="str">
        <f t="shared" si="0"/>
        <v xml:space="preserve"> </v>
      </c>
      <c r="C25" s="52"/>
      <c r="D25" s="33"/>
      <c r="E25" s="33"/>
      <c r="J25" s="14">
        <f t="shared" si="3"/>
        <v>0</v>
      </c>
      <c r="K25" s="2" t="str">
        <f t="shared" si="4"/>
        <v xml:space="preserve"> </v>
      </c>
      <c r="L25" s="2" t="str">
        <f t="shared" si="1"/>
        <v xml:space="preserve"> </v>
      </c>
      <c r="M25" s="2" t="str">
        <f t="shared" si="2"/>
        <v xml:space="preserve"> </v>
      </c>
    </row>
    <row r="26" spans="1:13" x14ac:dyDescent="0.25">
      <c r="A26" s="34" t="str">
        <f t="shared" si="0"/>
        <v xml:space="preserve"> </v>
      </c>
      <c r="D26" s="33"/>
      <c r="E26" s="33"/>
      <c r="J26" s="14">
        <f t="shared" si="3"/>
        <v>0</v>
      </c>
      <c r="K26" s="2" t="str">
        <f t="shared" si="4"/>
        <v xml:space="preserve"> </v>
      </c>
      <c r="L26" s="2" t="str">
        <f t="shared" si="1"/>
        <v xml:space="preserve"> </v>
      </c>
      <c r="M26" s="2" t="str">
        <f t="shared" si="2"/>
        <v xml:space="preserve"> </v>
      </c>
    </row>
    <row r="27" spans="1:13" x14ac:dyDescent="0.25">
      <c r="A27" s="34" t="str">
        <f t="shared" si="0"/>
        <v xml:space="preserve"> </v>
      </c>
      <c r="D27" s="33"/>
      <c r="E27" s="33"/>
      <c r="J27" s="14">
        <f t="shared" si="3"/>
        <v>0</v>
      </c>
      <c r="K27" s="2" t="str">
        <f t="shared" si="4"/>
        <v xml:space="preserve"> </v>
      </c>
      <c r="L27" s="2" t="str">
        <f t="shared" si="1"/>
        <v xml:space="preserve"> </v>
      </c>
      <c r="M27" s="2" t="str">
        <f t="shared" si="2"/>
        <v xml:space="preserve"> </v>
      </c>
    </row>
    <row r="28" spans="1:13" x14ac:dyDescent="0.25">
      <c r="A28" s="34" t="str">
        <f t="shared" si="0"/>
        <v xml:space="preserve"> </v>
      </c>
      <c r="D28" s="33"/>
      <c r="E28" s="33"/>
      <c r="J28" s="14">
        <f t="shared" si="3"/>
        <v>0</v>
      </c>
      <c r="K28" s="2" t="str">
        <f t="shared" si="4"/>
        <v xml:space="preserve"> </v>
      </c>
      <c r="L28" s="2" t="str">
        <f t="shared" si="1"/>
        <v xml:space="preserve"> </v>
      </c>
      <c r="M28" s="2" t="str">
        <f t="shared" si="2"/>
        <v xml:space="preserve"> </v>
      </c>
    </row>
    <row r="29" spans="1:13" x14ac:dyDescent="0.25">
      <c r="A29" s="34" t="str">
        <f t="shared" si="0"/>
        <v xml:space="preserve"> </v>
      </c>
      <c r="D29" s="33"/>
      <c r="E29" s="33"/>
      <c r="J29" s="14">
        <f t="shared" si="3"/>
        <v>0</v>
      </c>
      <c r="K29" s="2" t="str">
        <f t="shared" si="4"/>
        <v xml:space="preserve"> </v>
      </c>
      <c r="L29" s="2" t="str">
        <f t="shared" si="1"/>
        <v xml:space="preserve"> </v>
      </c>
      <c r="M29" s="2" t="str">
        <f t="shared" si="2"/>
        <v xml:space="preserve"> </v>
      </c>
    </row>
    <row r="30" spans="1:13" x14ac:dyDescent="0.25">
      <c r="A30" s="34" t="str">
        <f t="shared" si="0"/>
        <v xml:space="preserve"> </v>
      </c>
      <c r="D30" s="33"/>
      <c r="E30" s="33"/>
      <c r="J30" s="14">
        <f t="shared" si="3"/>
        <v>0</v>
      </c>
      <c r="K30" s="2" t="str">
        <f t="shared" si="4"/>
        <v xml:space="preserve"> </v>
      </c>
      <c r="L30" s="2" t="str">
        <f t="shared" si="1"/>
        <v xml:space="preserve"> </v>
      </c>
      <c r="M30" s="2" t="str">
        <f t="shared" si="2"/>
        <v xml:space="preserve"> </v>
      </c>
    </row>
    <row r="31" spans="1:13" x14ac:dyDescent="0.25">
      <c r="A31" s="34" t="str">
        <f t="shared" si="0"/>
        <v xml:space="preserve"> </v>
      </c>
      <c r="D31" s="33"/>
      <c r="E31" s="33"/>
      <c r="J31" s="14">
        <f t="shared" si="3"/>
        <v>0</v>
      </c>
      <c r="K31" s="2" t="str">
        <f t="shared" si="4"/>
        <v xml:space="preserve"> </v>
      </c>
      <c r="L31" s="2" t="str">
        <f t="shared" si="1"/>
        <v xml:space="preserve"> </v>
      </c>
      <c r="M31" s="2" t="str">
        <f t="shared" si="2"/>
        <v xml:space="preserve"> </v>
      </c>
    </row>
    <row r="32" spans="1:13" x14ac:dyDescent="0.25">
      <c r="A32" s="34" t="str">
        <f t="shared" si="0"/>
        <v xml:space="preserve"> </v>
      </c>
      <c r="D32" s="33"/>
      <c r="E32" s="33"/>
      <c r="J32" s="14">
        <f t="shared" si="3"/>
        <v>0</v>
      </c>
      <c r="K32" s="2" t="str">
        <f t="shared" si="4"/>
        <v xml:space="preserve"> </v>
      </c>
      <c r="L32" s="2" t="str">
        <f t="shared" si="1"/>
        <v xml:space="preserve"> </v>
      </c>
      <c r="M32" s="2" t="str">
        <f t="shared" si="2"/>
        <v xml:space="preserve"> </v>
      </c>
    </row>
    <row r="33" spans="1:13" x14ac:dyDescent="0.25">
      <c r="A33" s="34" t="str">
        <f t="shared" si="0"/>
        <v xml:space="preserve"> </v>
      </c>
      <c r="D33" s="33"/>
      <c r="E33" s="33"/>
      <c r="J33" s="14">
        <f t="shared" si="3"/>
        <v>0</v>
      </c>
      <c r="K33" s="2" t="str">
        <f t="shared" si="4"/>
        <v xml:space="preserve"> </v>
      </c>
      <c r="L33" s="2" t="str">
        <f t="shared" si="1"/>
        <v xml:space="preserve"> </v>
      </c>
      <c r="M33" s="2" t="str">
        <f t="shared" si="2"/>
        <v xml:space="preserve"> </v>
      </c>
    </row>
    <row r="34" spans="1:13" x14ac:dyDescent="0.25">
      <c r="A34" s="34" t="str">
        <f t="shared" si="0"/>
        <v xml:space="preserve"> </v>
      </c>
      <c r="D34" s="33"/>
      <c r="E34" s="33"/>
      <c r="J34" s="14">
        <f t="shared" si="3"/>
        <v>0</v>
      </c>
      <c r="K34" s="2" t="str">
        <f t="shared" si="4"/>
        <v xml:space="preserve"> </v>
      </c>
      <c r="L34" s="2" t="str">
        <f t="shared" si="1"/>
        <v xml:space="preserve"> </v>
      </c>
      <c r="M34" s="2" t="str">
        <f t="shared" si="2"/>
        <v xml:space="preserve"> </v>
      </c>
    </row>
    <row r="35" spans="1:13" x14ac:dyDescent="0.25">
      <c r="A35" s="34" t="str">
        <f t="shared" si="0"/>
        <v xml:space="preserve"> </v>
      </c>
      <c r="D35" s="33"/>
      <c r="E35" s="33"/>
      <c r="J35" s="14">
        <f t="shared" si="3"/>
        <v>0</v>
      </c>
      <c r="K35" s="2" t="str">
        <f t="shared" si="4"/>
        <v xml:space="preserve"> </v>
      </c>
      <c r="L35" s="2" t="str">
        <f t="shared" si="1"/>
        <v xml:space="preserve"> </v>
      </c>
      <c r="M35" s="2" t="str">
        <f t="shared" si="2"/>
        <v xml:space="preserve"> </v>
      </c>
    </row>
    <row r="36" spans="1:13" x14ac:dyDescent="0.25">
      <c r="A36" s="34" t="str">
        <f t="shared" si="0"/>
        <v xml:space="preserve"> </v>
      </c>
      <c r="D36" s="33"/>
      <c r="E36" s="33"/>
      <c r="J36" s="14">
        <f t="shared" si="3"/>
        <v>0</v>
      </c>
      <c r="K36" s="2" t="str">
        <f t="shared" si="4"/>
        <v xml:space="preserve"> </v>
      </c>
      <c r="L36" s="2" t="str">
        <f t="shared" si="1"/>
        <v xml:space="preserve"> </v>
      </c>
      <c r="M36" s="2" t="str">
        <f t="shared" si="2"/>
        <v xml:space="preserve"> </v>
      </c>
    </row>
    <row r="37" spans="1:13" x14ac:dyDescent="0.25">
      <c r="A37" s="34" t="str">
        <f t="shared" si="0"/>
        <v xml:space="preserve"> </v>
      </c>
      <c r="D37" s="33"/>
      <c r="E37" s="33"/>
      <c r="J37" s="14">
        <f t="shared" si="3"/>
        <v>0</v>
      </c>
      <c r="K37" s="2" t="str">
        <f t="shared" si="4"/>
        <v xml:space="preserve"> </v>
      </c>
      <c r="L37" s="2" t="str">
        <f t="shared" si="1"/>
        <v xml:space="preserve"> </v>
      </c>
      <c r="M37" s="2" t="str">
        <f t="shared" si="2"/>
        <v xml:space="preserve"> </v>
      </c>
    </row>
    <row r="38" spans="1:13" x14ac:dyDescent="0.25">
      <c r="A38" s="34" t="str">
        <f t="shared" si="0"/>
        <v xml:space="preserve"> </v>
      </c>
      <c r="D38" s="33"/>
      <c r="E38" s="33"/>
      <c r="J38" s="14">
        <f t="shared" si="3"/>
        <v>0</v>
      </c>
      <c r="K38" s="2" t="str">
        <f t="shared" si="4"/>
        <v xml:space="preserve"> </v>
      </c>
      <c r="L38" s="2" t="str">
        <f t="shared" si="1"/>
        <v xml:space="preserve"> </v>
      </c>
      <c r="M38" s="2" t="str">
        <f t="shared" si="2"/>
        <v xml:space="preserve"> </v>
      </c>
    </row>
    <row r="39" spans="1:13" x14ac:dyDescent="0.25">
      <c r="A39" s="34" t="str">
        <f t="shared" si="0"/>
        <v xml:space="preserve"> </v>
      </c>
      <c r="D39" s="33"/>
      <c r="E39" s="33"/>
      <c r="J39" s="14">
        <f t="shared" si="3"/>
        <v>0</v>
      </c>
      <c r="K39" s="2" t="str">
        <f t="shared" si="4"/>
        <v xml:space="preserve"> </v>
      </c>
      <c r="L39" s="2" t="str">
        <f t="shared" si="1"/>
        <v xml:space="preserve"> </v>
      </c>
      <c r="M39" s="2" t="str">
        <f t="shared" si="2"/>
        <v xml:space="preserve"> </v>
      </c>
    </row>
    <row r="40" spans="1:13" x14ac:dyDescent="0.25">
      <c r="A40" s="34" t="str">
        <f t="shared" si="0"/>
        <v xml:space="preserve"> </v>
      </c>
      <c r="D40" s="33"/>
      <c r="E40" s="33"/>
      <c r="J40" s="14">
        <f t="shared" si="3"/>
        <v>0</v>
      </c>
      <c r="K40" s="2" t="str">
        <f t="shared" si="4"/>
        <v xml:space="preserve"> </v>
      </c>
      <c r="L40" s="2" t="str">
        <f t="shared" si="1"/>
        <v xml:space="preserve"> </v>
      </c>
      <c r="M40" s="2" t="str">
        <f t="shared" si="2"/>
        <v xml:space="preserve"> </v>
      </c>
    </row>
    <row r="41" spans="1:13" x14ac:dyDescent="0.25">
      <c r="A41" s="34" t="str">
        <f t="shared" si="0"/>
        <v xml:space="preserve"> </v>
      </c>
      <c r="D41" s="33"/>
      <c r="E41" s="33"/>
      <c r="J41" s="14">
        <f t="shared" si="3"/>
        <v>0</v>
      </c>
      <c r="K41" s="2" t="str">
        <f t="shared" si="4"/>
        <v xml:space="preserve"> </v>
      </c>
      <c r="L41" s="2" t="str">
        <f t="shared" si="1"/>
        <v xml:space="preserve"> </v>
      </c>
      <c r="M41" s="2" t="str">
        <f t="shared" si="2"/>
        <v xml:space="preserve"> </v>
      </c>
    </row>
    <row r="42" spans="1:13" x14ac:dyDescent="0.25">
      <c r="A42" s="34" t="str">
        <f t="shared" si="0"/>
        <v xml:space="preserve"> </v>
      </c>
      <c r="D42" s="33"/>
      <c r="E42" s="33"/>
      <c r="J42" s="14">
        <f t="shared" si="3"/>
        <v>0</v>
      </c>
      <c r="K42" s="2" t="str">
        <f t="shared" si="4"/>
        <v xml:space="preserve"> </v>
      </c>
      <c r="L42" s="2" t="str">
        <f t="shared" si="1"/>
        <v xml:space="preserve"> </v>
      </c>
      <c r="M42" s="2" t="str">
        <f t="shared" si="2"/>
        <v xml:space="preserve"> </v>
      </c>
    </row>
    <row r="43" spans="1:13" x14ac:dyDescent="0.25">
      <c r="A43" s="34" t="str">
        <f t="shared" si="0"/>
        <v xml:space="preserve"> </v>
      </c>
      <c r="D43" s="33"/>
      <c r="E43" s="33"/>
      <c r="J43" s="14">
        <f t="shared" si="3"/>
        <v>0</v>
      </c>
      <c r="K43" s="2" t="str">
        <f t="shared" si="4"/>
        <v xml:space="preserve"> </v>
      </c>
      <c r="L43" s="2" t="str">
        <f t="shared" si="1"/>
        <v xml:space="preserve"> </v>
      </c>
      <c r="M43" s="2" t="str">
        <f t="shared" si="2"/>
        <v xml:space="preserve"> </v>
      </c>
    </row>
    <row r="44" spans="1:13" x14ac:dyDescent="0.25">
      <c r="A44" s="34" t="str">
        <f t="shared" si="0"/>
        <v xml:space="preserve"> </v>
      </c>
      <c r="D44" s="33"/>
      <c r="E44" s="33"/>
      <c r="J44" s="14">
        <f t="shared" si="3"/>
        <v>0</v>
      </c>
      <c r="K44" s="2" t="str">
        <f t="shared" si="4"/>
        <v xml:space="preserve"> </v>
      </c>
      <c r="L44" s="2" t="str">
        <f t="shared" si="1"/>
        <v xml:space="preserve"> </v>
      </c>
      <c r="M44" s="2" t="str">
        <f t="shared" si="2"/>
        <v xml:space="preserve"> </v>
      </c>
    </row>
    <row r="45" spans="1:13" x14ac:dyDescent="0.25">
      <c r="A45" s="34" t="str">
        <f t="shared" si="0"/>
        <v xml:space="preserve"> </v>
      </c>
      <c r="D45" s="33"/>
      <c r="E45" s="33"/>
      <c r="J45" s="14">
        <f t="shared" si="3"/>
        <v>0</v>
      </c>
      <c r="K45" s="2" t="str">
        <f t="shared" si="4"/>
        <v xml:space="preserve"> </v>
      </c>
      <c r="L45" s="2" t="str">
        <f t="shared" si="1"/>
        <v xml:space="preserve"> </v>
      </c>
      <c r="M45" s="2" t="str">
        <f t="shared" si="2"/>
        <v xml:space="preserve"> </v>
      </c>
    </row>
    <row r="46" spans="1:13" x14ac:dyDescent="0.25">
      <c r="A46" s="34" t="str">
        <f t="shared" si="0"/>
        <v xml:space="preserve"> </v>
      </c>
      <c r="D46" s="33"/>
      <c r="E46" s="33"/>
      <c r="J46" s="14">
        <f t="shared" si="3"/>
        <v>0</v>
      </c>
      <c r="K46" s="2" t="str">
        <f t="shared" si="4"/>
        <v xml:space="preserve"> </v>
      </c>
      <c r="L46" s="2" t="str">
        <f t="shared" si="1"/>
        <v xml:space="preserve"> </v>
      </c>
      <c r="M46" s="2" t="str">
        <f t="shared" si="2"/>
        <v xml:space="preserve"> </v>
      </c>
    </row>
    <row r="47" spans="1:13" x14ac:dyDescent="0.25">
      <c r="A47" s="34" t="str">
        <f t="shared" si="0"/>
        <v xml:space="preserve"> </v>
      </c>
      <c r="D47" s="33"/>
      <c r="E47" s="33"/>
      <c r="J47" s="14">
        <f t="shared" si="3"/>
        <v>0</v>
      </c>
      <c r="K47" s="2" t="str">
        <f t="shared" si="4"/>
        <v xml:space="preserve"> </v>
      </c>
      <c r="L47" s="2" t="str">
        <f t="shared" si="1"/>
        <v xml:space="preserve"> </v>
      </c>
      <c r="M47" s="2" t="str">
        <f t="shared" si="2"/>
        <v xml:space="preserve"> </v>
      </c>
    </row>
    <row r="48" spans="1:13" x14ac:dyDescent="0.25">
      <c r="A48" s="34" t="str">
        <f t="shared" si="0"/>
        <v xml:space="preserve"> </v>
      </c>
      <c r="D48" s="33"/>
      <c r="E48" s="33"/>
      <c r="J48" s="14">
        <f t="shared" si="3"/>
        <v>0</v>
      </c>
      <c r="K48" s="2" t="str">
        <f t="shared" si="4"/>
        <v xml:space="preserve"> </v>
      </c>
      <c r="L48" s="2" t="str">
        <f t="shared" si="1"/>
        <v xml:space="preserve"> </v>
      </c>
      <c r="M48" s="2" t="str">
        <f t="shared" si="2"/>
        <v xml:space="preserve"> </v>
      </c>
    </row>
    <row r="49" spans="1:13" x14ac:dyDescent="0.25">
      <c r="A49" s="34" t="str">
        <f t="shared" si="0"/>
        <v xml:space="preserve"> </v>
      </c>
      <c r="D49" s="33"/>
      <c r="E49" s="33"/>
      <c r="J49" s="14">
        <f t="shared" si="3"/>
        <v>0</v>
      </c>
      <c r="K49" s="2" t="str">
        <f t="shared" si="4"/>
        <v xml:space="preserve"> </v>
      </c>
      <c r="L49" s="2" t="str">
        <f t="shared" si="1"/>
        <v xml:space="preserve"> </v>
      </c>
      <c r="M49" s="2" t="str">
        <f t="shared" si="2"/>
        <v xml:space="preserve"> </v>
      </c>
    </row>
    <row r="50" spans="1:13" x14ac:dyDescent="0.25">
      <c r="A50" s="34" t="str">
        <f t="shared" si="0"/>
        <v xml:space="preserve"> </v>
      </c>
      <c r="D50" s="33"/>
      <c r="E50" s="33"/>
      <c r="J50" s="14">
        <f t="shared" si="3"/>
        <v>0</v>
      </c>
      <c r="K50" s="2" t="str">
        <f t="shared" si="4"/>
        <v xml:space="preserve"> </v>
      </c>
      <c r="L50" s="2" t="str">
        <f t="shared" si="1"/>
        <v xml:space="preserve"> </v>
      </c>
      <c r="M50" s="2" t="str">
        <f t="shared" si="2"/>
        <v xml:space="preserve"> </v>
      </c>
    </row>
    <row r="51" spans="1:13" x14ac:dyDescent="0.25">
      <c r="A51" s="34" t="str">
        <f t="shared" si="0"/>
        <v xml:space="preserve"> </v>
      </c>
      <c r="D51" s="33"/>
      <c r="E51" s="33"/>
      <c r="J51" s="14">
        <f t="shared" si="3"/>
        <v>0</v>
      </c>
      <c r="K51" s="2" t="str">
        <f t="shared" si="4"/>
        <v xml:space="preserve"> </v>
      </c>
      <c r="L51" s="2" t="str">
        <f t="shared" si="1"/>
        <v xml:space="preserve"> </v>
      </c>
      <c r="M51" s="2" t="str">
        <f t="shared" si="2"/>
        <v xml:space="preserve"> </v>
      </c>
    </row>
    <row r="52" spans="1:13" x14ac:dyDescent="0.25">
      <c r="A52" s="34" t="str">
        <f t="shared" si="0"/>
        <v xml:space="preserve"> </v>
      </c>
      <c r="D52" s="33"/>
      <c r="E52" s="33"/>
      <c r="J52" s="14">
        <f t="shared" si="3"/>
        <v>0</v>
      </c>
      <c r="K52" s="2" t="str">
        <f t="shared" si="4"/>
        <v xml:space="preserve"> </v>
      </c>
      <c r="L52" s="2" t="str">
        <f t="shared" si="1"/>
        <v xml:space="preserve"> </v>
      </c>
      <c r="M52" s="2" t="str">
        <f t="shared" si="2"/>
        <v xml:space="preserve"> </v>
      </c>
    </row>
    <row r="53" spans="1:13" x14ac:dyDescent="0.25">
      <c r="A53" s="34" t="str">
        <f t="shared" si="0"/>
        <v xml:space="preserve"> </v>
      </c>
      <c r="D53" s="33"/>
      <c r="E53" s="33"/>
      <c r="J53" s="14">
        <f t="shared" si="3"/>
        <v>0</v>
      </c>
      <c r="K53" s="2" t="str">
        <f t="shared" si="4"/>
        <v xml:space="preserve"> </v>
      </c>
      <c r="L53" s="2" t="str">
        <f t="shared" si="1"/>
        <v xml:space="preserve"> </v>
      </c>
      <c r="M53" s="2" t="str">
        <f t="shared" si="2"/>
        <v xml:space="preserve"> </v>
      </c>
    </row>
    <row r="54" spans="1:13" x14ac:dyDescent="0.25">
      <c r="A54" s="34" t="str">
        <f t="shared" si="0"/>
        <v xml:space="preserve"> </v>
      </c>
      <c r="D54" s="33"/>
      <c r="E54" s="33"/>
      <c r="J54" s="14">
        <f t="shared" si="3"/>
        <v>0</v>
      </c>
      <c r="K54" s="2" t="str">
        <f t="shared" si="4"/>
        <v xml:space="preserve"> </v>
      </c>
      <c r="L54" s="2" t="str">
        <f t="shared" si="1"/>
        <v xml:space="preserve"> </v>
      </c>
      <c r="M54" s="2" t="str">
        <f t="shared" si="2"/>
        <v xml:space="preserve"> </v>
      </c>
    </row>
    <row r="55" spans="1:13" x14ac:dyDescent="0.25">
      <c r="A55" s="34" t="str">
        <f t="shared" si="0"/>
        <v xml:space="preserve"> </v>
      </c>
      <c r="D55" s="33"/>
      <c r="E55" s="33"/>
      <c r="J55" s="14">
        <f t="shared" si="3"/>
        <v>0</v>
      </c>
      <c r="K55" s="2" t="str">
        <f t="shared" si="4"/>
        <v xml:space="preserve"> </v>
      </c>
      <c r="L55" s="2" t="str">
        <f t="shared" si="1"/>
        <v xml:space="preserve"> </v>
      </c>
      <c r="M55" s="2" t="str">
        <f t="shared" si="2"/>
        <v xml:space="preserve"> </v>
      </c>
    </row>
    <row r="56" spans="1:13" x14ac:dyDescent="0.25">
      <c r="A56" s="34" t="str">
        <f t="shared" si="0"/>
        <v xml:space="preserve"> </v>
      </c>
      <c r="D56" s="33"/>
      <c r="E56" s="33"/>
      <c r="J56" s="14">
        <f t="shared" si="3"/>
        <v>0</v>
      </c>
      <c r="K56" s="2" t="str">
        <f t="shared" si="4"/>
        <v xml:space="preserve"> </v>
      </c>
      <c r="L56" s="2" t="str">
        <f t="shared" si="1"/>
        <v xml:space="preserve"> </v>
      </c>
      <c r="M56" s="2" t="str">
        <f t="shared" si="2"/>
        <v xml:space="preserve"> </v>
      </c>
    </row>
    <row r="57" spans="1:13" x14ac:dyDescent="0.25">
      <c r="A57" s="34" t="str">
        <f t="shared" si="0"/>
        <v xml:space="preserve"> </v>
      </c>
      <c r="D57" s="33"/>
      <c r="E57" s="33"/>
      <c r="J57" s="14">
        <f t="shared" si="3"/>
        <v>0</v>
      </c>
      <c r="K57" s="2" t="str">
        <f t="shared" si="4"/>
        <v xml:space="preserve"> </v>
      </c>
      <c r="L57" s="2" t="str">
        <f t="shared" si="1"/>
        <v xml:space="preserve"> </v>
      </c>
      <c r="M57" s="2" t="str">
        <f t="shared" si="2"/>
        <v xml:space="preserve"> </v>
      </c>
    </row>
    <row r="58" spans="1:13" x14ac:dyDescent="0.25">
      <c r="A58" s="34" t="str">
        <f t="shared" si="0"/>
        <v xml:space="preserve"> </v>
      </c>
      <c r="D58" s="33"/>
      <c r="E58" s="33"/>
      <c r="J58" s="14">
        <f t="shared" si="3"/>
        <v>0</v>
      </c>
      <c r="K58" s="2" t="str">
        <f t="shared" si="4"/>
        <v xml:space="preserve"> </v>
      </c>
      <c r="L58" s="2" t="str">
        <f t="shared" si="1"/>
        <v xml:space="preserve"> </v>
      </c>
      <c r="M58" s="2" t="str">
        <f t="shared" si="2"/>
        <v xml:space="preserve"> </v>
      </c>
    </row>
    <row r="59" spans="1:13" x14ac:dyDescent="0.25">
      <c r="A59" s="34" t="str">
        <f t="shared" si="0"/>
        <v xml:space="preserve"> </v>
      </c>
      <c r="D59" s="33"/>
      <c r="E59" s="33"/>
      <c r="J59" s="14">
        <f t="shared" si="3"/>
        <v>0</v>
      </c>
      <c r="K59" s="2" t="str">
        <f t="shared" si="4"/>
        <v xml:space="preserve"> </v>
      </c>
      <c r="L59" s="2" t="str">
        <f t="shared" si="1"/>
        <v xml:space="preserve"> </v>
      </c>
      <c r="M59" s="2" t="str">
        <f t="shared" si="2"/>
        <v xml:space="preserve"> </v>
      </c>
    </row>
    <row r="60" spans="1:13" x14ac:dyDescent="0.25">
      <c r="A60" s="34" t="str">
        <f t="shared" si="0"/>
        <v xml:space="preserve"> </v>
      </c>
      <c r="D60" s="33"/>
      <c r="E60" s="33"/>
      <c r="J60" s="14">
        <f t="shared" si="3"/>
        <v>0</v>
      </c>
      <c r="K60" s="2" t="str">
        <f t="shared" si="4"/>
        <v xml:space="preserve"> </v>
      </c>
      <c r="L60" s="2" t="str">
        <f t="shared" si="1"/>
        <v xml:space="preserve"> </v>
      </c>
      <c r="M60" s="2" t="str">
        <f t="shared" si="2"/>
        <v xml:space="preserve"> </v>
      </c>
    </row>
    <row r="61" spans="1:13" x14ac:dyDescent="0.25">
      <c r="A61" s="34" t="str">
        <f t="shared" si="0"/>
        <v xml:space="preserve"> </v>
      </c>
      <c r="D61" s="33"/>
      <c r="E61" s="33"/>
      <c r="J61" s="14">
        <f t="shared" si="3"/>
        <v>0</v>
      </c>
      <c r="K61" s="2" t="str">
        <f t="shared" si="4"/>
        <v xml:space="preserve"> </v>
      </c>
      <c r="L61" s="2" t="str">
        <f t="shared" si="1"/>
        <v xml:space="preserve"> </v>
      </c>
      <c r="M61" s="2" t="str">
        <f t="shared" si="2"/>
        <v xml:space="preserve"> </v>
      </c>
    </row>
    <row r="62" spans="1:13" x14ac:dyDescent="0.25">
      <c r="A62" s="34" t="str">
        <f t="shared" si="0"/>
        <v xml:space="preserve"> </v>
      </c>
      <c r="D62" s="33"/>
      <c r="E62" s="33"/>
      <c r="J62" s="14">
        <f t="shared" si="3"/>
        <v>0</v>
      </c>
      <c r="K62" s="2" t="str">
        <f t="shared" si="4"/>
        <v xml:space="preserve"> </v>
      </c>
      <c r="L62" s="2" t="str">
        <f t="shared" si="1"/>
        <v xml:space="preserve"> </v>
      </c>
      <c r="M62" s="2" t="str">
        <f t="shared" si="2"/>
        <v xml:space="preserve"> </v>
      </c>
    </row>
    <row r="63" spans="1:13" x14ac:dyDescent="0.25">
      <c r="A63" s="34" t="str">
        <f t="shared" si="0"/>
        <v xml:space="preserve"> </v>
      </c>
      <c r="D63" s="33"/>
      <c r="E63" s="33"/>
      <c r="J63" s="14">
        <f t="shared" si="3"/>
        <v>0</v>
      </c>
      <c r="K63" s="2" t="str">
        <f t="shared" si="4"/>
        <v xml:space="preserve"> </v>
      </c>
      <c r="L63" s="2" t="str">
        <f t="shared" si="1"/>
        <v xml:space="preserve"> </v>
      </c>
      <c r="M63" s="2" t="str">
        <f t="shared" si="2"/>
        <v xml:space="preserve"> </v>
      </c>
    </row>
    <row r="64" spans="1:13" x14ac:dyDescent="0.25">
      <c r="A64" s="34" t="str">
        <f t="shared" si="0"/>
        <v xml:space="preserve"> </v>
      </c>
      <c r="D64" s="33"/>
      <c r="E64" s="33"/>
      <c r="J64" s="14">
        <f t="shared" si="3"/>
        <v>0</v>
      </c>
      <c r="K64" s="2" t="str">
        <f t="shared" si="4"/>
        <v xml:space="preserve"> </v>
      </c>
      <c r="L64" s="2" t="str">
        <f t="shared" si="1"/>
        <v xml:space="preserve"> </v>
      </c>
      <c r="M64" s="2" t="str">
        <f t="shared" si="2"/>
        <v xml:space="preserve"> </v>
      </c>
    </row>
    <row r="65" spans="1:13" x14ac:dyDescent="0.25">
      <c r="A65" s="34" t="str">
        <f t="shared" si="0"/>
        <v xml:space="preserve"> </v>
      </c>
      <c r="D65" s="33"/>
      <c r="E65" s="33"/>
      <c r="J65" s="14">
        <f t="shared" si="3"/>
        <v>0</v>
      </c>
      <c r="K65" s="2" t="str">
        <f t="shared" si="4"/>
        <v xml:space="preserve"> </v>
      </c>
      <c r="L65" s="2" t="str">
        <f t="shared" si="1"/>
        <v xml:space="preserve"> </v>
      </c>
      <c r="M65" s="2" t="str">
        <f t="shared" si="2"/>
        <v xml:space="preserve"> </v>
      </c>
    </row>
    <row r="66" spans="1:13" x14ac:dyDescent="0.25">
      <c r="A66" s="34" t="str">
        <f t="shared" si="0"/>
        <v xml:space="preserve"> </v>
      </c>
      <c r="D66" s="33"/>
      <c r="E66" s="33"/>
      <c r="J66" s="14">
        <f t="shared" si="3"/>
        <v>0</v>
      </c>
      <c r="K66" s="2" t="str">
        <f t="shared" si="4"/>
        <v xml:space="preserve"> </v>
      </c>
      <c r="L66" s="2" t="str">
        <f t="shared" si="1"/>
        <v xml:space="preserve"> </v>
      </c>
      <c r="M66" s="2" t="str">
        <f t="shared" si="2"/>
        <v xml:space="preserve"> </v>
      </c>
    </row>
    <row r="67" spans="1:13" x14ac:dyDescent="0.25">
      <c r="A67" s="34" t="str">
        <f t="shared" si="0"/>
        <v xml:space="preserve"> </v>
      </c>
      <c r="D67" s="33"/>
      <c r="E67" s="33"/>
      <c r="J67" s="14">
        <f t="shared" si="3"/>
        <v>0</v>
      </c>
      <c r="K67" s="2" t="str">
        <f t="shared" si="4"/>
        <v xml:space="preserve"> </v>
      </c>
      <c r="L67" s="2" t="str">
        <f t="shared" si="1"/>
        <v xml:space="preserve"> </v>
      </c>
      <c r="M67" s="2" t="str">
        <f t="shared" si="2"/>
        <v xml:space="preserve"> </v>
      </c>
    </row>
    <row r="68" spans="1:13" x14ac:dyDescent="0.25">
      <c r="A68" s="34" t="str">
        <f t="shared" si="0"/>
        <v xml:space="preserve"> </v>
      </c>
      <c r="D68" s="33"/>
      <c r="E68" s="33"/>
      <c r="J68" s="14">
        <f t="shared" si="3"/>
        <v>0</v>
      </c>
      <c r="K68" s="2" t="str">
        <f t="shared" si="4"/>
        <v xml:space="preserve"> </v>
      </c>
      <c r="L68" s="2" t="str">
        <f t="shared" si="1"/>
        <v xml:space="preserve"> </v>
      </c>
      <c r="M68" s="2" t="str">
        <f t="shared" si="2"/>
        <v xml:space="preserve"> </v>
      </c>
    </row>
    <row r="69" spans="1:13" x14ac:dyDescent="0.25">
      <c r="A69" s="34" t="str">
        <f t="shared" si="0"/>
        <v xml:space="preserve"> </v>
      </c>
      <c r="D69" s="33"/>
      <c r="E69" s="33"/>
      <c r="J69" s="14">
        <f t="shared" si="3"/>
        <v>0</v>
      </c>
      <c r="K69" s="2" t="str">
        <f t="shared" si="4"/>
        <v xml:space="preserve"> </v>
      </c>
      <c r="L69" s="2" t="str">
        <f t="shared" si="1"/>
        <v xml:space="preserve"> </v>
      </c>
      <c r="M69" s="2" t="str">
        <f t="shared" si="2"/>
        <v xml:space="preserve"> </v>
      </c>
    </row>
    <row r="70" spans="1:13" x14ac:dyDescent="0.25">
      <c r="A70" s="34" t="str">
        <f t="shared" si="0"/>
        <v xml:space="preserve"> </v>
      </c>
      <c r="D70" s="33"/>
      <c r="E70" s="33"/>
      <c r="J70" s="14">
        <f t="shared" si="3"/>
        <v>0</v>
      </c>
      <c r="K70" s="2" t="str">
        <f t="shared" si="4"/>
        <v xml:space="preserve"> </v>
      </c>
      <c r="L70" s="2" t="str">
        <f t="shared" si="1"/>
        <v xml:space="preserve"> </v>
      </c>
      <c r="M70" s="2" t="str">
        <f t="shared" si="2"/>
        <v xml:space="preserve"> </v>
      </c>
    </row>
    <row r="71" spans="1:13" x14ac:dyDescent="0.25">
      <c r="A71" s="34" t="str">
        <f t="shared" si="0"/>
        <v xml:space="preserve"> </v>
      </c>
      <c r="D71" s="33"/>
      <c r="E71" s="33"/>
      <c r="J71" s="14">
        <f t="shared" si="3"/>
        <v>0</v>
      </c>
      <c r="K71" s="2" t="str">
        <f t="shared" si="4"/>
        <v xml:space="preserve"> </v>
      </c>
      <c r="L71" s="2" t="str">
        <f t="shared" si="1"/>
        <v xml:space="preserve"> </v>
      </c>
      <c r="M71" s="2" t="str">
        <f t="shared" si="2"/>
        <v xml:space="preserve"> </v>
      </c>
    </row>
    <row r="72" spans="1:13" x14ac:dyDescent="0.25">
      <c r="A72" s="34" t="str">
        <f t="shared" si="0"/>
        <v xml:space="preserve"> </v>
      </c>
      <c r="D72" s="33"/>
      <c r="E72" s="33"/>
      <c r="J72" s="14">
        <f t="shared" si="3"/>
        <v>0</v>
      </c>
      <c r="K72" s="2" t="str">
        <f t="shared" si="4"/>
        <v xml:space="preserve"> </v>
      </c>
      <c r="L72" s="2" t="str">
        <f t="shared" si="1"/>
        <v xml:space="preserve"> </v>
      </c>
      <c r="M72" s="2" t="str">
        <f t="shared" si="2"/>
        <v xml:space="preserve"> </v>
      </c>
    </row>
    <row r="73" spans="1:13" x14ac:dyDescent="0.25">
      <c r="A73" s="34" t="str">
        <f t="shared" si="0"/>
        <v xml:space="preserve"> </v>
      </c>
      <c r="D73" s="33"/>
      <c r="E73" s="33"/>
      <c r="J73" s="14">
        <f t="shared" si="3"/>
        <v>0</v>
      </c>
      <c r="K73" s="2" t="str">
        <f t="shared" si="4"/>
        <v xml:space="preserve"> </v>
      </c>
      <c r="L73" s="2" t="str">
        <f t="shared" si="1"/>
        <v xml:space="preserve"> </v>
      </c>
      <c r="M73" s="2" t="str">
        <f t="shared" si="2"/>
        <v xml:space="preserve"> </v>
      </c>
    </row>
    <row r="74" spans="1:13" x14ac:dyDescent="0.25">
      <c r="A74" s="34" t="str">
        <f t="shared" si="0"/>
        <v xml:space="preserve"> </v>
      </c>
      <c r="D74" s="33"/>
      <c r="E74" s="33"/>
      <c r="J74" s="14">
        <f t="shared" si="3"/>
        <v>0</v>
      </c>
      <c r="K74" s="2" t="str">
        <f t="shared" si="4"/>
        <v xml:space="preserve"> </v>
      </c>
      <c r="L74" s="2" t="str">
        <f t="shared" si="1"/>
        <v xml:space="preserve"> </v>
      </c>
      <c r="M74" s="2" t="str">
        <f t="shared" si="2"/>
        <v xml:space="preserve"> </v>
      </c>
    </row>
    <row r="75" spans="1:13" x14ac:dyDescent="0.25">
      <c r="A75" s="34" t="str">
        <f t="shared" si="0"/>
        <v xml:space="preserve"> </v>
      </c>
      <c r="D75" s="33"/>
      <c r="E75" s="33"/>
      <c r="J75" s="14">
        <f t="shared" si="3"/>
        <v>0</v>
      </c>
      <c r="K75" s="2" t="str">
        <f t="shared" si="4"/>
        <v xml:space="preserve"> </v>
      </c>
      <c r="L75" s="2" t="str">
        <f t="shared" si="1"/>
        <v xml:space="preserve"> </v>
      </c>
      <c r="M75" s="2" t="str">
        <f t="shared" si="2"/>
        <v xml:space="preserve"> </v>
      </c>
    </row>
    <row r="76" spans="1:13" x14ac:dyDescent="0.25">
      <c r="A76" s="34" t="str">
        <f t="shared" si="0"/>
        <v xml:space="preserve"> </v>
      </c>
      <c r="D76" s="33"/>
      <c r="E76" s="33"/>
      <c r="J76" s="14">
        <f t="shared" si="3"/>
        <v>0</v>
      </c>
      <c r="K76" s="2" t="str">
        <f t="shared" si="4"/>
        <v xml:space="preserve"> </v>
      </c>
      <c r="L76" s="2" t="str">
        <f t="shared" si="1"/>
        <v xml:space="preserve"> </v>
      </c>
      <c r="M76" s="2" t="str">
        <f t="shared" si="2"/>
        <v xml:space="preserve"> </v>
      </c>
    </row>
    <row r="77" spans="1:13" x14ac:dyDescent="0.25">
      <c r="A77" s="34" t="str">
        <f t="shared" si="0"/>
        <v xml:space="preserve"> </v>
      </c>
      <c r="D77" s="33"/>
      <c r="E77" s="33"/>
      <c r="J77" s="14">
        <f t="shared" si="3"/>
        <v>0</v>
      </c>
      <c r="K77" s="2" t="str">
        <f t="shared" si="4"/>
        <v xml:space="preserve"> </v>
      </c>
      <c r="L77" s="2" t="str">
        <f t="shared" si="1"/>
        <v xml:space="preserve"> </v>
      </c>
      <c r="M77" s="2" t="str">
        <f t="shared" si="2"/>
        <v xml:space="preserve"> </v>
      </c>
    </row>
    <row r="78" spans="1:13" x14ac:dyDescent="0.25">
      <c r="A78" s="34" t="str">
        <f t="shared" si="0"/>
        <v xml:space="preserve"> </v>
      </c>
      <c r="D78" s="33"/>
      <c r="E78" s="33"/>
      <c r="J78" s="14">
        <f t="shared" si="3"/>
        <v>0</v>
      </c>
      <c r="K78" s="2" t="str">
        <f t="shared" si="4"/>
        <v xml:space="preserve"> </v>
      </c>
      <c r="L78" s="2" t="str">
        <f t="shared" si="1"/>
        <v xml:space="preserve"> </v>
      </c>
      <c r="M78" s="2" t="str">
        <f t="shared" si="2"/>
        <v xml:space="preserve"> </v>
      </c>
    </row>
    <row r="79" spans="1:13" x14ac:dyDescent="0.25">
      <c r="A79" s="34" t="str">
        <f t="shared" ref="A79:A142" si="5">IF(COUNTIF(K79:M79,"ERROR")&gt;0,"ERROR"," ")</f>
        <v xml:space="preserve"> </v>
      </c>
      <c r="D79" s="33"/>
      <c r="E79" s="33"/>
      <c r="J79" s="14">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x14ac:dyDescent="0.25">
      <c r="A80" s="34" t="str">
        <f t="shared" si="5"/>
        <v xml:space="preserve"> </v>
      </c>
      <c r="D80" s="33"/>
      <c r="E80" s="33"/>
      <c r="J80" s="14">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4" t="str">
        <f t="shared" si="5"/>
        <v xml:space="preserve"> </v>
      </c>
      <c r="D81" s="33"/>
      <c r="E81" s="33"/>
      <c r="J81" s="14">
        <f t="shared" si="8"/>
        <v>0</v>
      </c>
      <c r="K81" s="2" t="str">
        <f t="shared" si="9"/>
        <v xml:space="preserve"> </v>
      </c>
      <c r="L81" s="2" t="str">
        <f t="shared" si="6"/>
        <v xml:space="preserve"> </v>
      </c>
      <c r="M81" s="2" t="str">
        <f t="shared" si="7"/>
        <v xml:space="preserve"> </v>
      </c>
    </row>
    <row r="82" spans="1:13" x14ac:dyDescent="0.25">
      <c r="A82" s="34" t="str">
        <f t="shared" si="5"/>
        <v xml:space="preserve"> </v>
      </c>
      <c r="D82" s="33"/>
      <c r="E82" s="33"/>
      <c r="J82" s="14">
        <f t="shared" si="8"/>
        <v>0</v>
      </c>
      <c r="K82" s="2" t="str">
        <f t="shared" si="9"/>
        <v xml:space="preserve"> </v>
      </c>
      <c r="L82" s="2" t="str">
        <f t="shared" si="6"/>
        <v xml:space="preserve"> </v>
      </c>
      <c r="M82" s="2" t="str">
        <f t="shared" si="7"/>
        <v xml:space="preserve"> </v>
      </c>
    </row>
    <row r="83" spans="1:13" x14ac:dyDescent="0.25">
      <c r="A83" s="34" t="str">
        <f t="shared" si="5"/>
        <v xml:space="preserve"> </v>
      </c>
      <c r="D83" s="33"/>
      <c r="E83" s="33"/>
      <c r="J83" s="14">
        <f t="shared" si="8"/>
        <v>0</v>
      </c>
      <c r="K83" s="2" t="str">
        <f t="shared" si="9"/>
        <v xml:space="preserve"> </v>
      </c>
      <c r="L83" s="2" t="str">
        <f t="shared" si="6"/>
        <v xml:space="preserve"> </v>
      </c>
      <c r="M83" s="2" t="str">
        <f t="shared" si="7"/>
        <v xml:space="preserve"> </v>
      </c>
    </row>
    <row r="84" spans="1:13" x14ac:dyDescent="0.25">
      <c r="A84" s="34" t="str">
        <f t="shared" si="5"/>
        <v xml:space="preserve"> </v>
      </c>
      <c r="D84" s="33"/>
      <c r="E84" s="33"/>
      <c r="J84" s="14">
        <f t="shared" si="8"/>
        <v>0</v>
      </c>
      <c r="K84" s="2" t="str">
        <f t="shared" si="9"/>
        <v xml:space="preserve"> </v>
      </c>
      <c r="L84" s="2" t="str">
        <f t="shared" si="6"/>
        <v xml:space="preserve"> </v>
      </c>
      <c r="M84" s="2" t="str">
        <f t="shared" si="7"/>
        <v xml:space="preserve"> </v>
      </c>
    </row>
    <row r="85" spans="1:13" x14ac:dyDescent="0.25">
      <c r="A85" s="34" t="str">
        <f t="shared" si="5"/>
        <v xml:space="preserve"> </v>
      </c>
      <c r="D85" s="33"/>
      <c r="E85" s="33"/>
      <c r="J85" s="14">
        <f t="shared" si="8"/>
        <v>0</v>
      </c>
      <c r="K85" s="2" t="str">
        <f t="shared" si="9"/>
        <v xml:space="preserve"> </v>
      </c>
      <c r="L85" s="2" t="str">
        <f t="shared" si="6"/>
        <v xml:space="preserve"> </v>
      </c>
      <c r="M85" s="2" t="str">
        <f t="shared" si="7"/>
        <v xml:space="preserve"> </v>
      </c>
    </row>
    <row r="86" spans="1:13" x14ac:dyDescent="0.25">
      <c r="A86" s="34" t="str">
        <f t="shared" si="5"/>
        <v xml:space="preserve"> </v>
      </c>
      <c r="D86" s="33"/>
      <c r="E86" s="33"/>
      <c r="J86" s="14">
        <f t="shared" si="8"/>
        <v>0</v>
      </c>
      <c r="K86" s="2" t="str">
        <f t="shared" si="9"/>
        <v xml:space="preserve"> </v>
      </c>
      <c r="L86" s="2" t="str">
        <f t="shared" si="6"/>
        <v xml:space="preserve"> </v>
      </c>
      <c r="M86" s="2" t="str">
        <f t="shared" si="7"/>
        <v xml:space="preserve"> </v>
      </c>
    </row>
    <row r="87" spans="1:13" x14ac:dyDescent="0.25">
      <c r="A87" s="34" t="str">
        <f t="shared" si="5"/>
        <v xml:space="preserve"> </v>
      </c>
      <c r="D87" s="33"/>
      <c r="E87" s="33"/>
      <c r="J87" s="14">
        <f t="shared" si="8"/>
        <v>0</v>
      </c>
      <c r="K87" s="2" t="str">
        <f t="shared" si="9"/>
        <v xml:space="preserve"> </v>
      </c>
      <c r="L87" s="2" t="str">
        <f t="shared" si="6"/>
        <v xml:space="preserve"> </v>
      </c>
      <c r="M87" s="2" t="str">
        <f t="shared" si="7"/>
        <v xml:space="preserve"> </v>
      </c>
    </row>
    <row r="88" spans="1:13" x14ac:dyDescent="0.25">
      <c r="A88" s="34" t="str">
        <f t="shared" si="5"/>
        <v xml:space="preserve"> </v>
      </c>
      <c r="D88" s="33"/>
      <c r="E88" s="33"/>
      <c r="J88" s="14">
        <f t="shared" si="8"/>
        <v>0</v>
      </c>
      <c r="K88" s="2" t="str">
        <f t="shared" si="9"/>
        <v xml:space="preserve"> </v>
      </c>
      <c r="L88" s="2" t="str">
        <f t="shared" si="6"/>
        <v xml:space="preserve"> </v>
      </c>
      <c r="M88" s="2" t="str">
        <f t="shared" si="7"/>
        <v xml:space="preserve"> </v>
      </c>
    </row>
    <row r="89" spans="1:13" x14ac:dyDescent="0.25">
      <c r="A89" s="34" t="str">
        <f t="shared" si="5"/>
        <v xml:space="preserve"> </v>
      </c>
      <c r="D89" s="33"/>
      <c r="E89" s="33"/>
      <c r="J89" s="14">
        <f t="shared" si="8"/>
        <v>0</v>
      </c>
      <c r="K89" s="2" t="str">
        <f t="shared" si="9"/>
        <v xml:space="preserve"> </v>
      </c>
      <c r="L89" s="2" t="str">
        <f t="shared" si="6"/>
        <v xml:space="preserve"> </v>
      </c>
      <c r="M89" s="2" t="str">
        <f t="shared" si="7"/>
        <v xml:space="preserve"> </v>
      </c>
    </row>
    <row r="90" spans="1:13" x14ac:dyDescent="0.25">
      <c r="A90" s="34" t="str">
        <f t="shared" si="5"/>
        <v xml:space="preserve"> </v>
      </c>
      <c r="D90" s="33"/>
      <c r="E90" s="33"/>
      <c r="J90" s="14">
        <f t="shared" si="8"/>
        <v>0</v>
      </c>
      <c r="K90" s="2" t="str">
        <f t="shared" si="9"/>
        <v xml:space="preserve"> </v>
      </c>
      <c r="L90" s="2" t="str">
        <f t="shared" si="6"/>
        <v xml:space="preserve"> </v>
      </c>
      <c r="M90" s="2" t="str">
        <f t="shared" si="7"/>
        <v xml:space="preserve"> </v>
      </c>
    </row>
    <row r="91" spans="1:13" x14ac:dyDescent="0.25">
      <c r="A91" s="34" t="str">
        <f t="shared" si="5"/>
        <v xml:space="preserve"> </v>
      </c>
      <c r="D91" s="33"/>
      <c r="E91" s="33"/>
      <c r="J91" s="14">
        <f t="shared" si="8"/>
        <v>0</v>
      </c>
      <c r="K91" s="2" t="str">
        <f t="shared" si="9"/>
        <v xml:space="preserve"> </v>
      </c>
      <c r="L91" s="2" t="str">
        <f t="shared" si="6"/>
        <v xml:space="preserve"> </v>
      </c>
      <c r="M91" s="2" t="str">
        <f t="shared" si="7"/>
        <v xml:space="preserve"> </v>
      </c>
    </row>
    <row r="92" spans="1:13" x14ac:dyDescent="0.25">
      <c r="A92" s="34" t="str">
        <f t="shared" si="5"/>
        <v xml:space="preserve"> </v>
      </c>
      <c r="D92" s="33"/>
      <c r="E92" s="33"/>
      <c r="J92" s="14">
        <f t="shared" si="8"/>
        <v>0</v>
      </c>
      <c r="K92" s="2" t="str">
        <f t="shared" si="9"/>
        <v xml:space="preserve"> </v>
      </c>
      <c r="L92" s="2" t="str">
        <f t="shared" si="6"/>
        <v xml:space="preserve"> </v>
      </c>
      <c r="M92" s="2" t="str">
        <f t="shared" si="7"/>
        <v xml:space="preserve"> </v>
      </c>
    </row>
    <row r="93" spans="1:13" x14ac:dyDescent="0.25">
      <c r="A93" s="34" t="str">
        <f t="shared" si="5"/>
        <v xml:space="preserve"> </v>
      </c>
      <c r="D93" s="33"/>
      <c r="E93" s="33"/>
      <c r="J93" s="14">
        <f t="shared" si="8"/>
        <v>0</v>
      </c>
      <c r="K93" s="2" t="str">
        <f t="shared" si="9"/>
        <v xml:space="preserve"> </v>
      </c>
      <c r="L93" s="2" t="str">
        <f t="shared" si="6"/>
        <v xml:space="preserve"> </v>
      </c>
      <c r="M93" s="2" t="str">
        <f t="shared" si="7"/>
        <v xml:space="preserve"> </v>
      </c>
    </row>
    <row r="94" spans="1:13" x14ac:dyDescent="0.25">
      <c r="A94" s="34" t="str">
        <f t="shared" si="5"/>
        <v xml:space="preserve"> </v>
      </c>
      <c r="D94" s="33"/>
      <c r="E94" s="33"/>
      <c r="J94" s="14">
        <f t="shared" si="8"/>
        <v>0</v>
      </c>
      <c r="K94" s="2" t="str">
        <f t="shared" si="9"/>
        <v xml:space="preserve"> </v>
      </c>
      <c r="L94" s="2" t="str">
        <f t="shared" si="6"/>
        <v xml:space="preserve"> </v>
      </c>
      <c r="M94" s="2" t="str">
        <f t="shared" si="7"/>
        <v xml:space="preserve"> </v>
      </c>
    </row>
    <row r="95" spans="1:13" x14ac:dyDescent="0.25">
      <c r="A95" s="34" t="str">
        <f t="shared" si="5"/>
        <v xml:space="preserve"> </v>
      </c>
      <c r="D95" s="33"/>
      <c r="E95" s="33"/>
      <c r="J95" s="14">
        <f t="shared" si="8"/>
        <v>0</v>
      </c>
      <c r="K95" s="2" t="str">
        <f t="shared" si="9"/>
        <v xml:space="preserve"> </v>
      </c>
      <c r="L95" s="2" t="str">
        <f t="shared" si="6"/>
        <v xml:space="preserve"> </v>
      </c>
      <c r="M95" s="2" t="str">
        <f t="shared" si="7"/>
        <v xml:space="preserve"> </v>
      </c>
    </row>
    <row r="96" spans="1:13" x14ac:dyDescent="0.25">
      <c r="A96" s="34" t="str">
        <f t="shared" si="5"/>
        <v xml:space="preserve"> </v>
      </c>
      <c r="D96" s="33"/>
      <c r="E96" s="33"/>
      <c r="J96" s="14">
        <f t="shared" si="8"/>
        <v>0</v>
      </c>
      <c r="K96" s="2" t="str">
        <f t="shared" si="9"/>
        <v xml:space="preserve"> </v>
      </c>
      <c r="L96" s="2" t="str">
        <f t="shared" si="6"/>
        <v xml:space="preserve"> </v>
      </c>
      <c r="M96" s="2" t="str">
        <f t="shared" si="7"/>
        <v xml:space="preserve"> </v>
      </c>
    </row>
    <row r="97" spans="1:13" x14ac:dyDescent="0.25">
      <c r="A97" s="34" t="str">
        <f t="shared" si="5"/>
        <v xml:space="preserve"> </v>
      </c>
      <c r="D97" s="33"/>
      <c r="E97" s="33"/>
      <c r="J97" s="14">
        <f t="shared" si="8"/>
        <v>0</v>
      </c>
      <c r="K97" s="2" t="str">
        <f t="shared" si="9"/>
        <v xml:space="preserve"> </v>
      </c>
      <c r="L97" s="2" t="str">
        <f t="shared" si="6"/>
        <v xml:space="preserve"> </v>
      </c>
      <c r="M97" s="2" t="str">
        <f t="shared" si="7"/>
        <v xml:space="preserve"> </v>
      </c>
    </row>
    <row r="98" spans="1:13" x14ac:dyDescent="0.25">
      <c r="A98" s="34" t="str">
        <f t="shared" si="5"/>
        <v xml:space="preserve"> </v>
      </c>
      <c r="D98" s="33"/>
      <c r="E98" s="33"/>
      <c r="J98" s="14">
        <f t="shared" si="8"/>
        <v>0</v>
      </c>
      <c r="K98" s="2" t="str">
        <f t="shared" si="9"/>
        <v xml:space="preserve"> </v>
      </c>
      <c r="L98" s="2" t="str">
        <f t="shared" si="6"/>
        <v xml:space="preserve"> </v>
      </c>
      <c r="M98" s="2" t="str">
        <f t="shared" si="7"/>
        <v xml:space="preserve"> </v>
      </c>
    </row>
    <row r="99" spans="1:13" x14ac:dyDescent="0.25">
      <c r="A99" s="34" t="str">
        <f t="shared" si="5"/>
        <v xml:space="preserve"> </v>
      </c>
      <c r="D99" s="33"/>
      <c r="E99" s="33"/>
      <c r="J99" s="14">
        <f t="shared" si="8"/>
        <v>0</v>
      </c>
      <c r="K99" s="2" t="str">
        <f t="shared" si="9"/>
        <v xml:space="preserve"> </v>
      </c>
      <c r="L99" s="2" t="str">
        <f t="shared" si="6"/>
        <v xml:space="preserve"> </v>
      </c>
      <c r="M99" s="2" t="str">
        <f t="shared" si="7"/>
        <v xml:space="preserve"> </v>
      </c>
    </row>
    <row r="100" spans="1:13" x14ac:dyDescent="0.25">
      <c r="A100" s="34" t="str">
        <f t="shared" si="5"/>
        <v xml:space="preserve"> </v>
      </c>
      <c r="D100" s="33"/>
      <c r="E100" s="33"/>
      <c r="J100" s="14">
        <f t="shared" si="8"/>
        <v>0</v>
      </c>
      <c r="K100" s="2" t="str">
        <f t="shared" si="9"/>
        <v xml:space="preserve"> </v>
      </c>
      <c r="L100" s="2" t="str">
        <f t="shared" si="6"/>
        <v xml:space="preserve"> </v>
      </c>
      <c r="M100" s="2" t="str">
        <f t="shared" si="7"/>
        <v xml:space="preserve"> </v>
      </c>
    </row>
    <row r="101" spans="1:13" x14ac:dyDescent="0.25">
      <c r="A101" s="34" t="str">
        <f t="shared" si="5"/>
        <v xml:space="preserve"> </v>
      </c>
      <c r="D101" s="33"/>
      <c r="E101" s="33"/>
      <c r="J101" s="14">
        <f t="shared" si="8"/>
        <v>0</v>
      </c>
      <c r="K101" s="2" t="str">
        <f t="shared" si="9"/>
        <v xml:space="preserve"> </v>
      </c>
      <c r="L101" s="2" t="str">
        <f t="shared" si="6"/>
        <v xml:space="preserve"> </v>
      </c>
      <c r="M101" s="2" t="str">
        <f t="shared" si="7"/>
        <v xml:space="preserve"> </v>
      </c>
    </row>
    <row r="102" spans="1:13" x14ac:dyDescent="0.25">
      <c r="A102" s="34" t="str">
        <f t="shared" si="5"/>
        <v xml:space="preserve"> </v>
      </c>
      <c r="D102" s="33"/>
      <c r="E102" s="33"/>
      <c r="J102" s="14">
        <f t="shared" si="8"/>
        <v>0</v>
      </c>
      <c r="K102" s="2" t="str">
        <f t="shared" si="9"/>
        <v xml:space="preserve"> </v>
      </c>
      <c r="L102" s="2" t="str">
        <f t="shared" si="6"/>
        <v xml:space="preserve"> </v>
      </c>
      <c r="M102" s="2" t="str">
        <f t="shared" si="7"/>
        <v xml:space="preserve"> </v>
      </c>
    </row>
    <row r="103" spans="1:13" x14ac:dyDescent="0.25">
      <c r="A103" s="34" t="str">
        <f t="shared" si="5"/>
        <v xml:space="preserve"> </v>
      </c>
      <c r="D103" s="33"/>
      <c r="E103" s="33"/>
      <c r="J103" s="14">
        <f t="shared" si="8"/>
        <v>0</v>
      </c>
      <c r="K103" s="2" t="str">
        <f t="shared" si="9"/>
        <v xml:space="preserve"> </v>
      </c>
      <c r="L103" s="2" t="str">
        <f t="shared" si="6"/>
        <v xml:space="preserve"> </v>
      </c>
      <c r="M103" s="2" t="str">
        <f t="shared" si="7"/>
        <v xml:space="preserve"> </v>
      </c>
    </row>
    <row r="104" spans="1:13" x14ac:dyDescent="0.25">
      <c r="A104" s="34" t="str">
        <f t="shared" si="5"/>
        <v xml:space="preserve"> </v>
      </c>
      <c r="D104" s="33"/>
      <c r="E104" s="33"/>
      <c r="J104" s="14">
        <f t="shared" si="8"/>
        <v>0</v>
      </c>
      <c r="K104" s="2" t="str">
        <f t="shared" si="9"/>
        <v xml:space="preserve"> </v>
      </c>
      <c r="L104" s="2" t="str">
        <f t="shared" si="6"/>
        <v xml:space="preserve"> </v>
      </c>
      <c r="M104" s="2" t="str">
        <f t="shared" si="7"/>
        <v xml:space="preserve"> </v>
      </c>
    </row>
    <row r="105" spans="1:13" x14ac:dyDescent="0.25">
      <c r="A105" s="34" t="str">
        <f t="shared" si="5"/>
        <v xml:space="preserve"> </v>
      </c>
      <c r="D105" s="33"/>
      <c r="E105" s="33"/>
      <c r="J105" s="14">
        <f t="shared" si="8"/>
        <v>0</v>
      </c>
      <c r="K105" s="2" t="str">
        <f t="shared" si="9"/>
        <v xml:space="preserve"> </v>
      </c>
      <c r="L105" s="2" t="str">
        <f t="shared" si="6"/>
        <v xml:space="preserve"> </v>
      </c>
      <c r="M105" s="2" t="str">
        <f t="shared" si="7"/>
        <v xml:space="preserve"> </v>
      </c>
    </row>
    <row r="106" spans="1:13" x14ac:dyDescent="0.25">
      <c r="A106" s="34" t="str">
        <f t="shared" si="5"/>
        <v xml:space="preserve"> </v>
      </c>
      <c r="D106" s="33"/>
      <c r="E106" s="33"/>
      <c r="J106" s="14">
        <f t="shared" si="8"/>
        <v>0</v>
      </c>
      <c r="K106" s="2" t="str">
        <f t="shared" si="9"/>
        <v xml:space="preserve"> </v>
      </c>
      <c r="L106" s="2" t="str">
        <f t="shared" si="6"/>
        <v xml:space="preserve"> </v>
      </c>
      <c r="M106" s="2" t="str">
        <f t="shared" si="7"/>
        <v xml:space="preserve"> </v>
      </c>
    </row>
    <row r="107" spans="1:13" x14ac:dyDescent="0.25">
      <c r="A107" s="34" t="str">
        <f t="shared" si="5"/>
        <v xml:space="preserve"> </v>
      </c>
      <c r="D107" s="33"/>
      <c r="E107" s="33"/>
      <c r="J107" s="14">
        <f t="shared" si="8"/>
        <v>0</v>
      </c>
      <c r="K107" s="2" t="str">
        <f t="shared" si="9"/>
        <v xml:space="preserve"> </v>
      </c>
      <c r="L107" s="2" t="str">
        <f t="shared" si="6"/>
        <v xml:space="preserve"> </v>
      </c>
      <c r="M107" s="2" t="str">
        <f t="shared" si="7"/>
        <v xml:space="preserve"> </v>
      </c>
    </row>
    <row r="108" spans="1:13" x14ac:dyDescent="0.25">
      <c r="A108" s="34" t="str">
        <f t="shared" si="5"/>
        <v xml:space="preserve"> </v>
      </c>
      <c r="D108" s="33"/>
      <c r="E108" s="33"/>
      <c r="J108" s="14">
        <f t="shared" si="8"/>
        <v>0</v>
      </c>
      <c r="K108" s="2" t="str">
        <f t="shared" si="9"/>
        <v xml:space="preserve"> </v>
      </c>
      <c r="L108" s="2" t="str">
        <f t="shared" si="6"/>
        <v xml:space="preserve"> </v>
      </c>
      <c r="M108" s="2" t="str">
        <f t="shared" si="7"/>
        <v xml:space="preserve"> </v>
      </c>
    </row>
    <row r="109" spans="1:13" x14ac:dyDescent="0.25">
      <c r="A109" s="34" t="str">
        <f t="shared" si="5"/>
        <v xml:space="preserve"> </v>
      </c>
      <c r="D109" s="33"/>
      <c r="E109" s="33"/>
      <c r="J109" s="14">
        <f t="shared" si="8"/>
        <v>0</v>
      </c>
      <c r="K109" s="2" t="str">
        <f t="shared" si="9"/>
        <v xml:space="preserve"> </v>
      </c>
      <c r="L109" s="2" t="str">
        <f t="shared" si="6"/>
        <v xml:space="preserve"> </v>
      </c>
      <c r="M109" s="2" t="str">
        <f t="shared" si="7"/>
        <v xml:space="preserve"> </v>
      </c>
    </row>
    <row r="110" spans="1:13" x14ac:dyDescent="0.25">
      <c r="A110" s="34" t="str">
        <f t="shared" si="5"/>
        <v xml:space="preserve"> </v>
      </c>
      <c r="B110" s="17"/>
      <c r="D110" s="33"/>
      <c r="E110" s="33"/>
      <c r="J110" s="14">
        <f t="shared" si="8"/>
        <v>0</v>
      </c>
      <c r="K110" s="2" t="str">
        <f t="shared" si="9"/>
        <v xml:space="preserve"> </v>
      </c>
      <c r="L110" s="2" t="str">
        <f t="shared" si="6"/>
        <v xml:space="preserve"> </v>
      </c>
      <c r="M110" s="2" t="str">
        <f t="shared" si="7"/>
        <v xml:space="preserve"> </v>
      </c>
    </row>
    <row r="111" spans="1:13" x14ac:dyDescent="0.25">
      <c r="A111" s="34" t="str">
        <f t="shared" si="5"/>
        <v xml:space="preserve"> </v>
      </c>
      <c r="D111" s="33"/>
      <c r="E111" s="33"/>
      <c r="J111" s="14">
        <f t="shared" si="8"/>
        <v>0</v>
      </c>
      <c r="K111" s="2" t="str">
        <f t="shared" si="9"/>
        <v xml:space="preserve"> </v>
      </c>
      <c r="L111" s="2" t="str">
        <f t="shared" si="6"/>
        <v xml:space="preserve"> </v>
      </c>
      <c r="M111" s="2" t="str">
        <f t="shared" si="7"/>
        <v xml:space="preserve"> </v>
      </c>
    </row>
    <row r="112" spans="1:13" x14ac:dyDescent="0.25">
      <c r="A112" s="34" t="str">
        <f t="shared" si="5"/>
        <v xml:space="preserve"> </v>
      </c>
      <c r="D112" s="33"/>
      <c r="E112" s="33"/>
      <c r="J112" s="14">
        <f t="shared" si="8"/>
        <v>0</v>
      </c>
      <c r="K112" s="2" t="str">
        <f t="shared" si="9"/>
        <v xml:space="preserve"> </v>
      </c>
      <c r="L112" s="2" t="str">
        <f t="shared" si="6"/>
        <v xml:space="preserve"> </v>
      </c>
      <c r="M112" s="2" t="str">
        <f t="shared" si="7"/>
        <v xml:space="preserve"> </v>
      </c>
    </row>
    <row r="113" spans="1:13" x14ac:dyDescent="0.25">
      <c r="A113" s="34" t="str">
        <f t="shared" si="5"/>
        <v xml:space="preserve"> </v>
      </c>
      <c r="D113" s="33"/>
      <c r="E113" s="33"/>
      <c r="J113" s="14">
        <f t="shared" si="8"/>
        <v>0</v>
      </c>
      <c r="K113" s="2" t="str">
        <f t="shared" si="9"/>
        <v xml:space="preserve"> </v>
      </c>
      <c r="L113" s="2" t="str">
        <f t="shared" si="6"/>
        <v xml:space="preserve"> </v>
      </c>
      <c r="M113" s="2" t="str">
        <f t="shared" si="7"/>
        <v xml:space="preserve"> </v>
      </c>
    </row>
    <row r="114" spans="1:13" x14ac:dyDescent="0.25">
      <c r="A114" s="34" t="str">
        <f t="shared" si="5"/>
        <v xml:space="preserve"> </v>
      </c>
      <c r="D114" s="33"/>
      <c r="E114" s="33"/>
      <c r="J114" s="14">
        <f t="shared" si="8"/>
        <v>0</v>
      </c>
      <c r="K114" s="2" t="str">
        <f t="shared" si="9"/>
        <v xml:space="preserve"> </v>
      </c>
      <c r="L114" s="2" t="str">
        <f t="shared" si="6"/>
        <v xml:space="preserve"> </v>
      </c>
      <c r="M114" s="2" t="str">
        <f t="shared" si="7"/>
        <v xml:space="preserve"> </v>
      </c>
    </row>
    <row r="115" spans="1:13" x14ac:dyDescent="0.25">
      <c r="A115" s="34" t="str">
        <f t="shared" si="5"/>
        <v xml:space="preserve"> </v>
      </c>
      <c r="D115" s="33"/>
      <c r="E115" s="33"/>
      <c r="J115" s="14">
        <f t="shared" si="8"/>
        <v>0</v>
      </c>
      <c r="K115" s="2" t="str">
        <f t="shared" si="9"/>
        <v xml:space="preserve"> </v>
      </c>
      <c r="L115" s="2" t="str">
        <f t="shared" si="6"/>
        <v xml:space="preserve"> </v>
      </c>
      <c r="M115" s="2" t="str">
        <f t="shared" si="7"/>
        <v xml:space="preserve"> </v>
      </c>
    </row>
    <row r="116" spans="1:13" x14ac:dyDescent="0.25">
      <c r="A116" s="34" t="str">
        <f t="shared" si="5"/>
        <v xml:space="preserve"> </v>
      </c>
      <c r="D116" s="33"/>
      <c r="E116" s="33"/>
      <c r="J116" s="14">
        <f t="shared" si="8"/>
        <v>0</v>
      </c>
      <c r="K116" s="2" t="str">
        <f t="shared" si="9"/>
        <v xml:space="preserve"> </v>
      </c>
      <c r="L116" s="2" t="str">
        <f t="shared" si="6"/>
        <v xml:space="preserve"> </v>
      </c>
      <c r="M116" s="2" t="str">
        <f t="shared" si="7"/>
        <v xml:space="preserve"> </v>
      </c>
    </row>
    <row r="117" spans="1:13" x14ac:dyDescent="0.25">
      <c r="A117" s="34" t="str">
        <f t="shared" si="5"/>
        <v xml:space="preserve"> </v>
      </c>
      <c r="D117" s="33"/>
      <c r="E117" s="33"/>
      <c r="J117" s="14">
        <f t="shared" si="8"/>
        <v>0</v>
      </c>
      <c r="K117" s="2" t="str">
        <f t="shared" si="9"/>
        <v xml:space="preserve"> </v>
      </c>
      <c r="L117" s="2" t="str">
        <f t="shared" si="6"/>
        <v xml:space="preserve"> </v>
      </c>
      <c r="M117" s="2" t="str">
        <f t="shared" si="7"/>
        <v xml:space="preserve"> </v>
      </c>
    </row>
    <row r="118" spans="1:13" x14ac:dyDescent="0.25">
      <c r="A118" s="34" t="str">
        <f t="shared" si="5"/>
        <v xml:space="preserve"> </v>
      </c>
      <c r="D118" s="33"/>
      <c r="E118" s="33"/>
      <c r="J118" s="14">
        <f t="shared" si="8"/>
        <v>0</v>
      </c>
      <c r="K118" s="2" t="str">
        <f t="shared" si="9"/>
        <v xml:space="preserve"> </v>
      </c>
      <c r="L118" s="2" t="str">
        <f t="shared" si="6"/>
        <v xml:space="preserve"> </v>
      </c>
      <c r="M118" s="2" t="str">
        <f t="shared" si="7"/>
        <v xml:space="preserve"> </v>
      </c>
    </row>
    <row r="119" spans="1:13" x14ac:dyDescent="0.25">
      <c r="A119" s="34" t="str">
        <f t="shared" si="5"/>
        <v xml:space="preserve"> </v>
      </c>
      <c r="D119" s="33"/>
      <c r="E119" s="33"/>
      <c r="J119" s="14">
        <f t="shared" si="8"/>
        <v>0</v>
      </c>
      <c r="K119" s="2" t="str">
        <f t="shared" si="9"/>
        <v xml:space="preserve"> </v>
      </c>
      <c r="L119" s="2" t="str">
        <f t="shared" si="6"/>
        <v xml:space="preserve"> </v>
      </c>
      <c r="M119" s="2" t="str">
        <f t="shared" si="7"/>
        <v xml:space="preserve"> </v>
      </c>
    </row>
    <row r="120" spans="1:13" x14ac:dyDescent="0.25">
      <c r="A120" s="34" t="str">
        <f t="shared" si="5"/>
        <v xml:space="preserve"> </v>
      </c>
      <c r="D120" s="33"/>
      <c r="E120" s="33"/>
      <c r="J120" s="14">
        <f t="shared" si="8"/>
        <v>0</v>
      </c>
      <c r="K120" s="2" t="str">
        <f t="shared" si="9"/>
        <v xml:space="preserve"> </v>
      </c>
      <c r="L120" s="2" t="str">
        <f t="shared" si="6"/>
        <v xml:space="preserve"> </v>
      </c>
      <c r="M120" s="2" t="str">
        <f t="shared" si="7"/>
        <v xml:space="preserve"> </v>
      </c>
    </row>
    <row r="121" spans="1:13" x14ac:dyDescent="0.25">
      <c r="A121" s="34" t="str">
        <f t="shared" si="5"/>
        <v xml:space="preserve"> </v>
      </c>
      <c r="D121" s="33"/>
      <c r="E121" s="33"/>
      <c r="J121" s="14">
        <f t="shared" si="8"/>
        <v>0</v>
      </c>
      <c r="K121" s="2" t="str">
        <f t="shared" si="9"/>
        <v xml:space="preserve"> </v>
      </c>
      <c r="L121" s="2" t="str">
        <f t="shared" si="6"/>
        <v xml:space="preserve"> </v>
      </c>
      <c r="M121" s="2" t="str">
        <f t="shared" si="7"/>
        <v xml:space="preserve"> </v>
      </c>
    </row>
    <row r="122" spans="1:13" x14ac:dyDescent="0.25">
      <c r="A122" s="34" t="str">
        <f t="shared" si="5"/>
        <v xml:space="preserve"> </v>
      </c>
      <c r="D122" s="33"/>
      <c r="E122" s="33"/>
      <c r="J122" s="14">
        <f t="shared" si="8"/>
        <v>0</v>
      </c>
      <c r="K122" s="2" t="str">
        <f t="shared" si="9"/>
        <v xml:space="preserve"> </v>
      </c>
      <c r="L122" s="2" t="str">
        <f t="shared" si="6"/>
        <v xml:space="preserve"> </v>
      </c>
      <c r="M122" s="2" t="str">
        <f t="shared" si="7"/>
        <v xml:space="preserve"> </v>
      </c>
    </row>
    <row r="123" spans="1:13" x14ac:dyDescent="0.25">
      <c r="A123" s="34" t="str">
        <f t="shared" si="5"/>
        <v xml:space="preserve"> </v>
      </c>
      <c r="D123" s="33"/>
      <c r="E123" s="33"/>
      <c r="J123" s="14">
        <f t="shared" si="8"/>
        <v>0</v>
      </c>
      <c r="K123" s="2" t="str">
        <f t="shared" si="9"/>
        <v xml:space="preserve"> </v>
      </c>
      <c r="L123" s="2" t="str">
        <f t="shared" si="6"/>
        <v xml:space="preserve"> </v>
      </c>
      <c r="M123" s="2" t="str">
        <f t="shared" si="7"/>
        <v xml:space="preserve"> </v>
      </c>
    </row>
    <row r="124" spans="1:13" x14ac:dyDescent="0.25">
      <c r="A124" s="34" t="str">
        <f t="shared" si="5"/>
        <v xml:space="preserve"> </v>
      </c>
      <c r="C124" s="40"/>
      <c r="D124" s="33"/>
      <c r="E124" s="33"/>
      <c r="J124" s="14">
        <f t="shared" si="8"/>
        <v>0</v>
      </c>
      <c r="K124" s="2" t="str">
        <f t="shared" si="9"/>
        <v xml:space="preserve"> </v>
      </c>
      <c r="L124" s="2" t="str">
        <f t="shared" si="6"/>
        <v xml:space="preserve"> </v>
      </c>
      <c r="M124" s="2" t="str">
        <f t="shared" si="7"/>
        <v xml:space="preserve"> </v>
      </c>
    </row>
    <row r="125" spans="1:13" x14ac:dyDescent="0.25">
      <c r="A125" s="34" t="str">
        <f t="shared" si="5"/>
        <v xml:space="preserve"> </v>
      </c>
      <c r="D125" s="33"/>
      <c r="E125" s="33"/>
      <c r="J125" s="14">
        <f t="shared" si="8"/>
        <v>0</v>
      </c>
      <c r="K125" s="2" t="str">
        <f t="shared" si="9"/>
        <v xml:space="preserve"> </v>
      </c>
      <c r="L125" s="2" t="str">
        <f t="shared" si="6"/>
        <v xml:space="preserve"> </v>
      </c>
      <c r="M125" s="2" t="str">
        <f t="shared" si="7"/>
        <v xml:space="preserve"> </v>
      </c>
    </row>
    <row r="126" spans="1:13" x14ac:dyDescent="0.25">
      <c r="A126" s="34" t="str">
        <f t="shared" si="5"/>
        <v xml:space="preserve"> </v>
      </c>
      <c r="D126" s="33"/>
      <c r="E126" s="33"/>
      <c r="J126" s="14">
        <f t="shared" si="8"/>
        <v>0</v>
      </c>
      <c r="K126" s="2" t="str">
        <f t="shared" si="9"/>
        <v xml:space="preserve"> </v>
      </c>
      <c r="L126" s="2" t="str">
        <f t="shared" si="6"/>
        <v xml:space="preserve"> </v>
      </c>
      <c r="M126" s="2" t="str">
        <f t="shared" si="7"/>
        <v xml:space="preserve"> </v>
      </c>
    </row>
    <row r="127" spans="1:13" x14ac:dyDescent="0.25">
      <c r="A127" s="34" t="str">
        <f t="shared" si="5"/>
        <v xml:space="preserve"> </v>
      </c>
      <c r="D127" s="33"/>
      <c r="E127" s="33"/>
      <c r="J127" s="14">
        <f t="shared" si="8"/>
        <v>0</v>
      </c>
      <c r="K127" s="2" t="str">
        <f t="shared" si="9"/>
        <v xml:space="preserve"> </v>
      </c>
      <c r="L127" s="2" t="str">
        <f t="shared" si="6"/>
        <v xml:space="preserve"> </v>
      </c>
      <c r="M127" s="2" t="str">
        <f t="shared" si="7"/>
        <v xml:space="preserve"> </v>
      </c>
    </row>
    <row r="128" spans="1:13" x14ac:dyDescent="0.25">
      <c r="A128" s="34" t="str">
        <f t="shared" si="5"/>
        <v xml:space="preserve"> </v>
      </c>
      <c r="D128" s="33"/>
      <c r="E128" s="33"/>
      <c r="J128" s="14">
        <f t="shared" si="8"/>
        <v>0</v>
      </c>
      <c r="K128" s="2" t="str">
        <f t="shared" si="9"/>
        <v xml:space="preserve"> </v>
      </c>
      <c r="L128" s="2" t="str">
        <f t="shared" si="6"/>
        <v xml:space="preserve"> </v>
      </c>
      <c r="M128" s="2" t="str">
        <f t="shared" si="7"/>
        <v xml:space="preserve"> </v>
      </c>
    </row>
    <row r="129" spans="1:13" x14ac:dyDescent="0.25">
      <c r="A129" s="34" t="str">
        <f t="shared" si="5"/>
        <v xml:space="preserve"> </v>
      </c>
      <c r="D129" s="33"/>
      <c r="E129" s="33"/>
      <c r="J129" s="14">
        <f t="shared" si="8"/>
        <v>0</v>
      </c>
      <c r="K129" s="2" t="str">
        <f t="shared" si="9"/>
        <v xml:space="preserve"> </v>
      </c>
      <c r="L129" s="2" t="str">
        <f t="shared" si="6"/>
        <v xml:space="preserve"> </v>
      </c>
      <c r="M129" s="2" t="str">
        <f t="shared" si="7"/>
        <v xml:space="preserve"> </v>
      </c>
    </row>
    <row r="130" spans="1:13" x14ac:dyDescent="0.25">
      <c r="A130" s="34" t="str">
        <f t="shared" si="5"/>
        <v xml:space="preserve"> </v>
      </c>
      <c r="D130" s="33"/>
      <c r="E130" s="33"/>
      <c r="J130" s="14">
        <f t="shared" si="8"/>
        <v>0</v>
      </c>
      <c r="K130" s="2" t="str">
        <f t="shared" si="9"/>
        <v xml:space="preserve"> </v>
      </c>
      <c r="L130" s="2" t="str">
        <f t="shared" si="6"/>
        <v xml:space="preserve"> </v>
      </c>
      <c r="M130" s="2" t="str">
        <f t="shared" si="7"/>
        <v xml:space="preserve"> </v>
      </c>
    </row>
    <row r="131" spans="1:13" x14ac:dyDescent="0.25">
      <c r="A131" s="34" t="str">
        <f t="shared" si="5"/>
        <v xml:space="preserve"> </v>
      </c>
      <c r="D131" s="33"/>
      <c r="E131" s="33"/>
      <c r="J131" s="14">
        <f t="shared" si="8"/>
        <v>0</v>
      </c>
      <c r="K131" s="2" t="str">
        <f t="shared" si="9"/>
        <v xml:space="preserve"> </v>
      </c>
      <c r="L131" s="2" t="str">
        <f t="shared" si="6"/>
        <v xml:space="preserve"> </v>
      </c>
      <c r="M131" s="2" t="str">
        <f t="shared" si="7"/>
        <v xml:space="preserve"> </v>
      </c>
    </row>
    <row r="132" spans="1:13" x14ac:dyDescent="0.25">
      <c r="A132" s="34" t="str">
        <f t="shared" si="5"/>
        <v xml:space="preserve"> </v>
      </c>
      <c r="D132" s="33"/>
      <c r="E132" s="33"/>
      <c r="J132" s="14">
        <f t="shared" si="8"/>
        <v>0</v>
      </c>
      <c r="K132" s="2" t="str">
        <f t="shared" si="9"/>
        <v xml:space="preserve"> </v>
      </c>
      <c r="L132" s="2" t="str">
        <f t="shared" si="6"/>
        <v xml:space="preserve"> </v>
      </c>
      <c r="M132" s="2" t="str">
        <f t="shared" si="7"/>
        <v xml:space="preserve"> </v>
      </c>
    </row>
    <row r="133" spans="1:13" x14ac:dyDescent="0.25">
      <c r="A133" s="34" t="str">
        <f t="shared" si="5"/>
        <v xml:space="preserve"> </v>
      </c>
      <c r="D133" s="33"/>
      <c r="E133" s="33"/>
      <c r="J133" s="14">
        <f t="shared" si="8"/>
        <v>0</v>
      </c>
      <c r="K133" s="2" t="str">
        <f t="shared" si="9"/>
        <v xml:space="preserve"> </v>
      </c>
      <c r="L133" s="2" t="str">
        <f t="shared" si="6"/>
        <v xml:space="preserve"> </v>
      </c>
      <c r="M133" s="2" t="str">
        <f t="shared" si="7"/>
        <v xml:space="preserve"> </v>
      </c>
    </row>
    <row r="134" spans="1:13" x14ac:dyDescent="0.25">
      <c r="A134" s="34" t="str">
        <f t="shared" si="5"/>
        <v xml:space="preserve"> </v>
      </c>
      <c r="D134" s="33"/>
      <c r="E134" s="33"/>
      <c r="J134" s="14">
        <f t="shared" si="8"/>
        <v>0</v>
      </c>
      <c r="K134" s="2" t="str">
        <f t="shared" si="9"/>
        <v xml:space="preserve"> </v>
      </c>
      <c r="L134" s="2" t="str">
        <f t="shared" si="6"/>
        <v xml:space="preserve"> </v>
      </c>
      <c r="M134" s="2" t="str">
        <f t="shared" si="7"/>
        <v xml:space="preserve"> </v>
      </c>
    </row>
    <row r="135" spans="1:13" x14ac:dyDescent="0.25">
      <c r="A135" s="34" t="str">
        <f t="shared" si="5"/>
        <v xml:space="preserve"> </v>
      </c>
      <c r="D135" s="33"/>
      <c r="E135" s="33"/>
      <c r="J135" s="14">
        <f t="shared" si="8"/>
        <v>0</v>
      </c>
      <c r="K135" s="2" t="str">
        <f t="shared" si="9"/>
        <v xml:space="preserve"> </v>
      </c>
      <c r="L135" s="2" t="str">
        <f t="shared" si="6"/>
        <v xml:space="preserve"> </v>
      </c>
      <c r="M135" s="2" t="str">
        <f t="shared" si="7"/>
        <v xml:space="preserve"> </v>
      </c>
    </row>
    <row r="136" spans="1:13" x14ac:dyDescent="0.25">
      <c r="A136" s="34" t="str">
        <f t="shared" si="5"/>
        <v xml:space="preserve"> </v>
      </c>
      <c r="D136" s="33"/>
      <c r="E136" s="33"/>
      <c r="J136" s="14">
        <f t="shared" si="8"/>
        <v>0</v>
      </c>
      <c r="K136" s="2" t="str">
        <f t="shared" si="9"/>
        <v xml:space="preserve"> </v>
      </c>
      <c r="L136" s="2" t="str">
        <f t="shared" si="6"/>
        <v xml:space="preserve"> </v>
      </c>
      <c r="M136" s="2" t="str">
        <f t="shared" si="7"/>
        <v xml:space="preserve"> </v>
      </c>
    </row>
    <row r="137" spans="1:13" x14ac:dyDescent="0.25">
      <c r="A137" s="34" t="str">
        <f t="shared" si="5"/>
        <v xml:space="preserve"> </v>
      </c>
      <c r="D137" s="33"/>
      <c r="E137" s="33"/>
      <c r="J137" s="14">
        <f t="shared" si="8"/>
        <v>0</v>
      </c>
      <c r="K137" s="2" t="str">
        <f t="shared" si="9"/>
        <v xml:space="preserve"> </v>
      </c>
      <c r="L137" s="2" t="str">
        <f t="shared" si="6"/>
        <v xml:space="preserve"> </v>
      </c>
      <c r="M137" s="2" t="str">
        <f t="shared" si="7"/>
        <v xml:space="preserve"> </v>
      </c>
    </row>
    <row r="138" spans="1:13" x14ac:dyDescent="0.25">
      <c r="A138" s="34" t="str">
        <f t="shared" si="5"/>
        <v xml:space="preserve"> </v>
      </c>
      <c r="D138" s="33"/>
      <c r="E138" s="33"/>
      <c r="J138" s="14">
        <f t="shared" si="8"/>
        <v>0</v>
      </c>
      <c r="K138" s="2" t="str">
        <f t="shared" si="9"/>
        <v xml:space="preserve"> </v>
      </c>
      <c r="L138" s="2" t="str">
        <f t="shared" si="6"/>
        <v xml:space="preserve"> </v>
      </c>
      <c r="M138" s="2" t="str">
        <f t="shared" si="7"/>
        <v xml:space="preserve"> </v>
      </c>
    </row>
    <row r="139" spans="1:13" x14ac:dyDescent="0.25">
      <c r="A139" s="34" t="str">
        <f t="shared" si="5"/>
        <v xml:space="preserve"> </v>
      </c>
      <c r="D139" s="33"/>
      <c r="E139" s="33"/>
      <c r="J139" s="14">
        <f t="shared" si="8"/>
        <v>0</v>
      </c>
      <c r="K139" s="2" t="str">
        <f t="shared" si="9"/>
        <v xml:space="preserve"> </v>
      </c>
      <c r="L139" s="2" t="str">
        <f t="shared" si="6"/>
        <v xml:space="preserve"> </v>
      </c>
      <c r="M139" s="2" t="str">
        <f t="shared" si="7"/>
        <v xml:space="preserve"> </v>
      </c>
    </row>
    <row r="140" spans="1:13" x14ac:dyDescent="0.25">
      <c r="A140" s="34" t="str">
        <f t="shared" si="5"/>
        <v xml:space="preserve"> </v>
      </c>
      <c r="D140" s="33"/>
      <c r="E140" s="33"/>
      <c r="J140" s="14">
        <f t="shared" si="8"/>
        <v>0</v>
      </c>
      <c r="K140" s="2" t="str">
        <f t="shared" si="9"/>
        <v xml:space="preserve"> </v>
      </c>
      <c r="L140" s="2" t="str">
        <f t="shared" si="6"/>
        <v xml:space="preserve"> </v>
      </c>
      <c r="M140" s="2" t="str">
        <f t="shared" si="7"/>
        <v xml:space="preserve"> </v>
      </c>
    </row>
    <row r="141" spans="1:13" x14ac:dyDescent="0.25">
      <c r="A141" s="34" t="str">
        <f t="shared" si="5"/>
        <v xml:space="preserve"> </v>
      </c>
      <c r="D141" s="33"/>
      <c r="E141" s="33"/>
      <c r="J141" s="14">
        <f t="shared" si="8"/>
        <v>0</v>
      </c>
      <c r="K141" s="2" t="str">
        <f t="shared" si="9"/>
        <v xml:space="preserve"> </v>
      </c>
      <c r="L141" s="2" t="str">
        <f t="shared" si="6"/>
        <v xml:space="preserve"> </v>
      </c>
      <c r="M141" s="2" t="str">
        <f t="shared" si="7"/>
        <v xml:space="preserve"> </v>
      </c>
    </row>
    <row r="142" spans="1:13" x14ac:dyDescent="0.25">
      <c r="A142" s="34" t="str">
        <f t="shared" si="5"/>
        <v xml:space="preserve"> </v>
      </c>
      <c r="D142" s="33"/>
      <c r="E142" s="33"/>
      <c r="J142" s="14">
        <f t="shared" si="8"/>
        <v>0</v>
      </c>
      <c r="K142" s="2" t="str">
        <f t="shared" si="9"/>
        <v xml:space="preserve"> </v>
      </c>
      <c r="L142" s="2" t="str">
        <f t="shared" si="6"/>
        <v xml:space="preserve"> </v>
      </c>
      <c r="M142" s="2" t="str">
        <f t="shared" si="7"/>
        <v xml:space="preserve"> </v>
      </c>
    </row>
    <row r="143" spans="1:13" x14ac:dyDescent="0.25">
      <c r="A143" s="34" t="str">
        <f t="shared" ref="A143:A206" si="10">IF(COUNTIF(K143:M143,"ERROR")&gt;0,"ERROR"," ")</f>
        <v xml:space="preserve"> </v>
      </c>
      <c r="D143" s="33"/>
      <c r="E143" s="33"/>
      <c r="J143" s="14">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x14ac:dyDescent="0.25">
      <c r="A144" s="34" t="str">
        <f t="shared" si="10"/>
        <v xml:space="preserve"> </v>
      </c>
      <c r="D144" s="33"/>
      <c r="E144" s="33"/>
      <c r="J144" s="14">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4" t="str">
        <f t="shared" si="10"/>
        <v xml:space="preserve"> </v>
      </c>
      <c r="D145" s="33"/>
      <c r="E145" s="33"/>
      <c r="J145" s="14">
        <f t="shared" si="13"/>
        <v>0</v>
      </c>
      <c r="K145" s="2" t="str">
        <f t="shared" si="14"/>
        <v xml:space="preserve"> </v>
      </c>
      <c r="L145" s="2" t="str">
        <f t="shared" si="11"/>
        <v xml:space="preserve"> </v>
      </c>
      <c r="M145" s="2" t="str">
        <f t="shared" si="12"/>
        <v xml:space="preserve"> </v>
      </c>
    </row>
    <row r="146" spans="1:13" x14ac:dyDescent="0.25">
      <c r="A146" s="34" t="str">
        <f t="shared" si="10"/>
        <v xml:space="preserve"> </v>
      </c>
      <c r="D146" s="33"/>
      <c r="E146" s="33"/>
      <c r="J146" s="14">
        <f t="shared" si="13"/>
        <v>0</v>
      </c>
      <c r="K146" s="2" t="str">
        <f t="shared" si="14"/>
        <v xml:space="preserve"> </v>
      </c>
      <c r="L146" s="2" t="str">
        <f t="shared" si="11"/>
        <v xml:space="preserve"> </v>
      </c>
      <c r="M146" s="2" t="str">
        <f t="shared" si="12"/>
        <v xml:space="preserve"> </v>
      </c>
    </row>
    <row r="147" spans="1:13" x14ac:dyDescent="0.25">
      <c r="A147" s="34" t="str">
        <f t="shared" si="10"/>
        <v xml:space="preserve"> </v>
      </c>
      <c r="D147" s="33"/>
      <c r="E147" s="33"/>
      <c r="J147" s="14">
        <f t="shared" si="13"/>
        <v>0</v>
      </c>
      <c r="K147" s="2" t="str">
        <f t="shared" si="14"/>
        <v xml:space="preserve"> </v>
      </c>
      <c r="L147" s="2" t="str">
        <f t="shared" si="11"/>
        <v xml:space="preserve"> </v>
      </c>
      <c r="M147" s="2" t="str">
        <f t="shared" si="12"/>
        <v xml:space="preserve"> </v>
      </c>
    </row>
    <row r="148" spans="1:13" x14ac:dyDescent="0.25">
      <c r="A148" s="34" t="str">
        <f t="shared" si="10"/>
        <v xml:space="preserve"> </v>
      </c>
      <c r="D148" s="33"/>
      <c r="E148" s="33"/>
      <c r="J148" s="14">
        <f t="shared" si="13"/>
        <v>0</v>
      </c>
      <c r="K148" s="2" t="str">
        <f t="shared" si="14"/>
        <v xml:space="preserve"> </v>
      </c>
      <c r="L148" s="2" t="str">
        <f t="shared" si="11"/>
        <v xml:space="preserve"> </v>
      </c>
      <c r="M148" s="2" t="str">
        <f t="shared" si="12"/>
        <v xml:space="preserve"> </v>
      </c>
    </row>
    <row r="149" spans="1:13" x14ac:dyDescent="0.25">
      <c r="A149" s="34" t="str">
        <f t="shared" si="10"/>
        <v xml:space="preserve"> </v>
      </c>
      <c r="D149" s="33"/>
      <c r="E149" s="33"/>
      <c r="J149" s="14">
        <f t="shared" si="13"/>
        <v>0</v>
      </c>
      <c r="K149" s="2" t="str">
        <f t="shared" si="14"/>
        <v xml:space="preserve"> </v>
      </c>
      <c r="L149" s="2" t="str">
        <f t="shared" si="11"/>
        <v xml:space="preserve"> </v>
      </c>
      <c r="M149" s="2" t="str">
        <f t="shared" si="12"/>
        <v xml:space="preserve"> </v>
      </c>
    </row>
    <row r="150" spans="1:13" x14ac:dyDescent="0.25">
      <c r="A150" s="34" t="str">
        <f t="shared" si="10"/>
        <v xml:space="preserve"> </v>
      </c>
      <c r="D150" s="33"/>
      <c r="E150" s="33"/>
      <c r="J150" s="14">
        <f t="shared" si="13"/>
        <v>0</v>
      </c>
      <c r="K150" s="2" t="str">
        <f t="shared" si="14"/>
        <v xml:space="preserve"> </v>
      </c>
      <c r="L150" s="2" t="str">
        <f t="shared" si="11"/>
        <v xml:space="preserve"> </v>
      </c>
      <c r="M150" s="2" t="str">
        <f t="shared" si="12"/>
        <v xml:space="preserve"> </v>
      </c>
    </row>
    <row r="151" spans="1:13" x14ac:dyDescent="0.25">
      <c r="A151" s="34" t="str">
        <f t="shared" si="10"/>
        <v xml:space="preserve"> </v>
      </c>
      <c r="D151" s="33"/>
      <c r="E151" s="33"/>
      <c r="J151" s="14">
        <f t="shared" si="13"/>
        <v>0</v>
      </c>
      <c r="K151" s="2" t="str">
        <f t="shared" si="14"/>
        <v xml:space="preserve"> </v>
      </c>
      <c r="L151" s="2" t="str">
        <f t="shared" si="11"/>
        <v xml:space="preserve"> </v>
      </c>
      <c r="M151" s="2" t="str">
        <f t="shared" si="12"/>
        <v xml:space="preserve"> </v>
      </c>
    </row>
    <row r="152" spans="1:13" x14ac:dyDescent="0.25">
      <c r="A152" s="34" t="str">
        <f t="shared" si="10"/>
        <v xml:space="preserve"> </v>
      </c>
      <c r="D152" s="33"/>
      <c r="E152" s="33"/>
      <c r="J152" s="14">
        <f t="shared" si="13"/>
        <v>0</v>
      </c>
      <c r="K152" s="2" t="str">
        <f t="shared" si="14"/>
        <v xml:space="preserve"> </v>
      </c>
      <c r="L152" s="2" t="str">
        <f t="shared" si="11"/>
        <v xml:space="preserve"> </v>
      </c>
      <c r="M152" s="2" t="str">
        <f t="shared" si="12"/>
        <v xml:space="preserve"> </v>
      </c>
    </row>
    <row r="153" spans="1:13" x14ac:dyDescent="0.25">
      <c r="A153" s="34" t="str">
        <f t="shared" si="10"/>
        <v xml:space="preserve"> </v>
      </c>
      <c r="D153" s="33"/>
      <c r="E153" s="33"/>
      <c r="J153" s="14">
        <f t="shared" si="13"/>
        <v>0</v>
      </c>
      <c r="K153" s="2" t="str">
        <f t="shared" si="14"/>
        <v xml:space="preserve"> </v>
      </c>
      <c r="L153" s="2" t="str">
        <f t="shared" si="11"/>
        <v xml:space="preserve"> </v>
      </c>
      <c r="M153" s="2" t="str">
        <f t="shared" si="12"/>
        <v xml:space="preserve"> </v>
      </c>
    </row>
    <row r="154" spans="1:13" x14ac:dyDescent="0.25">
      <c r="A154" s="34" t="str">
        <f t="shared" si="10"/>
        <v xml:space="preserve"> </v>
      </c>
      <c r="D154" s="33"/>
      <c r="E154" s="33"/>
      <c r="J154" s="14">
        <f t="shared" si="13"/>
        <v>0</v>
      </c>
      <c r="K154" s="2" t="str">
        <f t="shared" si="14"/>
        <v xml:space="preserve"> </v>
      </c>
      <c r="L154" s="2" t="str">
        <f t="shared" si="11"/>
        <v xml:space="preserve"> </v>
      </c>
      <c r="M154" s="2" t="str">
        <f t="shared" si="12"/>
        <v xml:space="preserve"> </v>
      </c>
    </row>
    <row r="155" spans="1:13" x14ac:dyDescent="0.25">
      <c r="A155" s="34" t="str">
        <f t="shared" si="10"/>
        <v xml:space="preserve"> </v>
      </c>
      <c r="D155" s="33"/>
      <c r="E155" s="33"/>
      <c r="J155" s="14">
        <f t="shared" si="13"/>
        <v>0</v>
      </c>
      <c r="K155" s="2" t="str">
        <f t="shared" si="14"/>
        <v xml:space="preserve"> </v>
      </c>
      <c r="L155" s="2" t="str">
        <f t="shared" si="11"/>
        <v xml:space="preserve"> </v>
      </c>
      <c r="M155" s="2" t="str">
        <f t="shared" si="12"/>
        <v xml:space="preserve"> </v>
      </c>
    </row>
    <row r="156" spans="1:13" x14ac:dyDescent="0.25">
      <c r="A156" s="34" t="str">
        <f t="shared" si="10"/>
        <v xml:space="preserve"> </v>
      </c>
      <c r="D156" s="33"/>
      <c r="E156" s="33"/>
      <c r="J156" s="14">
        <f t="shared" si="13"/>
        <v>0</v>
      </c>
      <c r="K156" s="2" t="str">
        <f t="shared" si="14"/>
        <v xml:space="preserve"> </v>
      </c>
      <c r="L156" s="2" t="str">
        <f t="shared" si="11"/>
        <v xml:space="preserve"> </v>
      </c>
      <c r="M156" s="2" t="str">
        <f t="shared" si="12"/>
        <v xml:space="preserve"> </v>
      </c>
    </row>
    <row r="157" spans="1:13" x14ac:dyDescent="0.25">
      <c r="A157" s="34" t="str">
        <f t="shared" si="10"/>
        <v xml:space="preserve"> </v>
      </c>
      <c r="D157" s="33"/>
      <c r="E157" s="33"/>
      <c r="J157" s="14">
        <f t="shared" si="13"/>
        <v>0</v>
      </c>
      <c r="K157" s="2" t="str">
        <f t="shared" si="14"/>
        <v xml:space="preserve"> </v>
      </c>
      <c r="L157" s="2" t="str">
        <f t="shared" si="11"/>
        <v xml:space="preserve"> </v>
      </c>
      <c r="M157" s="2" t="str">
        <f t="shared" si="12"/>
        <v xml:space="preserve"> </v>
      </c>
    </row>
    <row r="158" spans="1:13" x14ac:dyDescent="0.25">
      <c r="A158" s="34" t="str">
        <f t="shared" si="10"/>
        <v xml:space="preserve"> </v>
      </c>
      <c r="D158" s="33"/>
      <c r="E158" s="33"/>
      <c r="J158" s="14">
        <f t="shared" si="13"/>
        <v>0</v>
      </c>
      <c r="K158" s="2" t="str">
        <f t="shared" si="14"/>
        <v xml:space="preserve"> </v>
      </c>
      <c r="L158" s="2" t="str">
        <f t="shared" si="11"/>
        <v xml:space="preserve"> </v>
      </c>
      <c r="M158" s="2" t="str">
        <f t="shared" si="12"/>
        <v xml:space="preserve"> </v>
      </c>
    </row>
    <row r="159" spans="1:13" x14ac:dyDescent="0.25">
      <c r="A159" s="34" t="str">
        <f t="shared" si="10"/>
        <v xml:space="preserve"> </v>
      </c>
      <c r="D159" s="33"/>
      <c r="E159" s="33"/>
      <c r="J159" s="14">
        <f t="shared" si="13"/>
        <v>0</v>
      </c>
      <c r="K159" s="2" t="str">
        <f t="shared" si="14"/>
        <v xml:space="preserve"> </v>
      </c>
      <c r="L159" s="2" t="str">
        <f t="shared" si="11"/>
        <v xml:space="preserve"> </v>
      </c>
      <c r="M159" s="2" t="str">
        <f t="shared" si="12"/>
        <v xml:space="preserve"> </v>
      </c>
    </row>
    <row r="160" spans="1:13" x14ac:dyDescent="0.25">
      <c r="A160" s="34" t="str">
        <f t="shared" si="10"/>
        <v xml:space="preserve"> </v>
      </c>
      <c r="D160" s="33"/>
      <c r="E160" s="33"/>
      <c r="J160" s="14">
        <f t="shared" si="13"/>
        <v>0</v>
      </c>
      <c r="K160" s="2" t="str">
        <f t="shared" si="14"/>
        <v xml:space="preserve"> </v>
      </c>
      <c r="L160" s="2" t="str">
        <f t="shared" si="11"/>
        <v xml:space="preserve"> </v>
      </c>
      <c r="M160" s="2" t="str">
        <f t="shared" si="12"/>
        <v xml:space="preserve"> </v>
      </c>
    </row>
    <row r="161" spans="1:13" x14ac:dyDescent="0.25">
      <c r="A161" s="34" t="str">
        <f t="shared" si="10"/>
        <v xml:space="preserve"> </v>
      </c>
      <c r="D161" s="33"/>
      <c r="E161" s="33"/>
      <c r="J161" s="14">
        <f t="shared" si="13"/>
        <v>0</v>
      </c>
      <c r="K161" s="2" t="str">
        <f t="shared" si="14"/>
        <v xml:space="preserve"> </v>
      </c>
      <c r="L161" s="2" t="str">
        <f t="shared" si="11"/>
        <v xml:space="preserve"> </v>
      </c>
      <c r="M161" s="2" t="str">
        <f t="shared" si="12"/>
        <v xml:space="preserve"> </v>
      </c>
    </row>
    <row r="162" spans="1:13" x14ac:dyDescent="0.25">
      <c r="A162" s="34" t="str">
        <f t="shared" si="10"/>
        <v xml:space="preserve"> </v>
      </c>
      <c r="D162" s="33"/>
      <c r="E162" s="33"/>
      <c r="J162" s="14">
        <f t="shared" si="13"/>
        <v>0</v>
      </c>
      <c r="K162" s="2" t="str">
        <f t="shared" si="14"/>
        <v xml:space="preserve"> </v>
      </c>
      <c r="L162" s="2" t="str">
        <f t="shared" si="11"/>
        <v xml:space="preserve"> </v>
      </c>
      <c r="M162" s="2" t="str">
        <f t="shared" si="12"/>
        <v xml:space="preserve"> </v>
      </c>
    </row>
    <row r="163" spans="1:13" x14ac:dyDescent="0.25">
      <c r="A163" s="34" t="str">
        <f t="shared" si="10"/>
        <v xml:space="preserve"> </v>
      </c>
      <c r="D163" s="33"/>
      <c r="E163" s="33"/>
      <c r="J163" s="14">
        <f t="shared" si="13"/>
        <v>0</v>
      </c>
      <c r="K163" s="2" t="str">
        <f t="shared" si="14"/>
        <v xml:space="preserve"> </v>
      </c>
      <c r="L163" s="2" t="str">
        <f t="shared" si="11"/>
        <v xml:space="preserve"> </v>
      </c>
      <c r="M163" s="2" t="str">
        <f t="shared" si="12"/>
        <v xml:space="preserve"> </v>
      </c>
    </row>
    <row r="164" spans="1:13" x14ac:dyDescent="0.25">
      <c r="A164" s="34" t="str">
        <f t="shared" si="10"/>
        <v xml:space="preserve"> </v>
      </c>
      <c r="D164" s="33"/>
      <c r="E164" s="33"/>
      <c r="J164" s="14">
        <f t="shared" si="13"/>
        <v>0</v>
      </c>
      <c r="K164" s="2" t="str">
        <f t="shared" si="14"/>
        <v xml:space="preserve"> </v>
      </c>
      <c r="L164" s="2" t="str">
        <f t="shared" si="11"/>
        <v xml:space="preserve"> </v>
      </c>
      <c r="M164" s="2" t="str">
        <f t="shared" si="12"/>
        <v xml:space="preserve"> </v>
      </c>
    </row>
    <row r="165" spans="1:13" x14ac:dyDescent="0.25">
      <c r="A165" s="34" t="str">
        <f t="shared" si="10"/>
        <v xml:space="preserve"> </v>
      </c>
      <c r="D165" s="33"/>
      <c r="E165" s="33"/>
      <c r="J165" s="14">
        <f t="shared" si="13"/>
        <v>0</v>
      </c>
      <c r="K165" s="2" t="str">
        <f t="shared" si="14"/>
        <v xml:space="preserve"> </v>
      </c>
      <c r="L165" s="2" t="str">
        <f t="shared" si="11"/>
        <v xml:space="preserve"> </v>
      </c>
      <c r="M165" s="2" t="str">
        <f t="shared" si="12"/>
        <v xml:space="preserve"> </v>
      </c>
    </row>
    <row r="166" spans="1:13" x14ac:dyDescent="0.25">
      <c r="A166" s="34" t="str">
        <f t="shared" si="10"/>
        <v xml:space="preserve"> </v>
      </c>
      <c r="D166" s="33"/>
      <c r="E166" s="33"/>
      <c r="J166" s="14">
        <f t="shared" si="13"/>
        <v>0</v>
      </c>
      <c r="K166" s="2" t="str">
        <f t="shared" si="14"/>
        <v xml:space="preserve"> </v>
      </c>
      <c r="L166" s="2" t="str">
        <f t="shared" si="11"/>
        <v xml:space="preserve"> </v>
      </c>
      <c r="M166" s="2" t="str">
        <f t="shared" si="12"/>
        <v xml:space="preserve"> </v>
      </c>
    </row>
    <row r="167" spans="1:13" x14ac:dyDescent="0.25">
      <c r="A167" s="34" t="str">
        <f t="shared" si="10"/>
        <v xml:space="preserve"> </v>
      </c>
      <c r="D167" s="33"/>
      <c r="E167" s="33"/>
      <c r="J167" s="14">
        <f t="shared" si="13"/>
        <v>0</v>
      </c>
      <c r="K167" s="2" t="str">
        <f t="shared" si="14"/>
        <v xml:space="preserve"> </v>
      </c>
      <c r="L167" s="2" t="str">
        <f t="shared" si="11"/>
        <v xml:space="preserve"> </v>
      </c>
      <c r="M167" s="2" t="str">
        <f t="shared" si="12"/>
        <v xml:space="preserve"> </v>
      </c>
    </row>
    <row r="168" spans="1:13" x14ac:dyDescent="0.25">
      <c r="A168" s="34" t="str">
        <f t="shared" si="10"/>
        <v xml:space="preserve"> </v>
      </c>
      <c r="D168" s="33"/>
      <c r="E168" s="33"/>
      <c r="J168" s="14">
        <f t="shared" si="13"/>
        <v>0</v>
      </c>
      <c r="K168" s="2" t="str">
        <f t="shared" si="14"/>
        <v xml:space="preserve"> </v>
      </c>
      <c r="L168" s="2" t="str">
        <f t="shared" si="11"/>
        <v xml:space="preserve"> </v>
      </c>
      <c r="M168" s="2" t="str">
        <f t="shared" si="12"/>
        <v xml:space="preserve"> </v>
      </c>
    </row>
    <row r="169" spans="1:13" x14ac:dyDescent="0.25">
      <c r="A169" s="34" t="str">
        <f t="shared" si="10"/>
        <v xml:space="preserve"> </v>
      </c>
      <c r="D169" s="33"/>
      <c r="E169" s="33"/>
      <c r="J169" s="14">
        <f t="shared" si="13"/>
        <v>0</v>
      </c>
      <c r="K169" s="2" t="str">
        <f t="shared" si="14"/>
        <v xml:space="preserve"> </v>
      </c>
      <c r="L169" s="2" t="str">
        <f t="shared" si="11"/>
        <v xml:space="preserve"> </v>
      </c>
      <c r="M169" s="2" t="str">
        <f t="shared" si="12"/>
        <v xml:space="preserve"> </v>
      </c>
    </row>
    <row r="170" spans="1:13" x14ac:dyDescent="0.25">
      <c r="A170" s="34" t="str">
        <f t="shared" si="10"/>
        <v xml:space="preserve"> </v>
      </c>
      <c r="D170" s="33"/>
      <c r="E170" s="33"/>
      <c r="J170" s="14">
        <f t="shared" si="13"/>
        <v>0</v>
      </c>
      <c r="K170" s="2" t="str">
        <f t="shared" si="14"/>
        <v xml:space="preserve"> </v>
      </c>
      <c r="L170" s="2" t="str">
        <f t="shared" si="11"/>
        <v xml:space="preserve"> </v>
      </c>
      <c r="M170" s="2" t="str">
        <f t="shared" si="12"/>
        <v xml:space="preserve"> </v>
      </c>
    </row>
    <row r="171" spans="1:13" x14ac:dyDescent="0.25">
      <c r="A171" s="34" t="str">
        <f t="shared" si="10"/>
        <v xml:space="preserve"> </v>
      </c>
      <c r="D171" s="33"/>
      <c r="E171" s="33"/>
      <c r="J171" s="14">
        <f t="shared" si="13"/>
        <v>0</v>
      </c>
      <c r="K171" s="2" t="str">
        <f t="shared" si="14"/>
        <v xml:space="preserve"> </v>
      </c>
      <c r="L171" s="2" t="str">
        <f t="shared" si="11"/>
        <v xml:space="preserve"> </v>
      </c>
      <c r="M171" s="2" t="str">
        <f t="shared" si="12"/>
        <v xml:space="preserve"> </v>
      </c>
    </row>
    <row r="172" spans="1:13" x14ac:dyDescent="0.25">
      <c r="A172" s="34" t="str">
        <f t="shared" si="10"/>
        <v xml:space="preserve"> </v>
      </c>
      <c r="D172" s="33"/>
      <c r="E172" s="33"/>
      <c r="J172" s="14">
        <f t="shared" si="13"/>
        <v>0</v>
      </c>
      <c r="K172" s="2" t="str">
        <f t="shared" si="14"/>
        <v xml:space="preserve"> </v>
      </c>
      <c r="L172" s="2" t="str">
        <f t="shared" si="11"/>
        <v xml:space="preserve"> </v>
      </c>
      <c r="M172" s="2" t="str">
        <f t="shared" si="12"/>
        <v xml:space="preserve"> </v>
      </c>
    </row>
    <row r="173" spans="1:13" x14ac:dyDescent="0.25">
      <c r="A173" s="34" t="str">
        <f t="shared" si="10"/>
        <v xml:space="preserve"> </v>
      </c>
      <c r="D173" s="33"/>
      <c r="E173" s="33"/>
      <c r="J173" s="14">
        <f t="shared" si="13"/>
        <v>0</v>
      </c>
      <c r="K173" s="2" t="str">
        <f t="shared" si="14"/>
        <v xml:space="preserve"> </v>
      </c>
      <c r="L173" s="2" t="str">
        <f t="shared" si="11"/>
        <v xml:space="preserve"> </v>
      </c>
      <c r="M173" s="2" t="str">
        <f t="shared" si="12"/>
        <v xml:space="preserve"> </v>
      </c>
    </row>
    <row r="174" spans="1:13" x14ac:dyDescent="0.25">
      <c r="A174" s="34" t="str">
        <f t="shared" si="10"/>
        <v xml:space="preserve"> </v>
      </c>
      <c r="D174" s="33"/>
      <c r="E174" s="33"/>
      <c r="J174" s="14">
        <f t="shared" si="13"/>
        <v>0</v>
      </c>
      <c r="K174" s="2" t="str">
        <f t="shared" si="14"/>
        <v xml:space="preserve"> </v>
      </c>
      <c r="L174" s="2" t="str">
        <f t="shared" si="11"/>
        <v xml:space="preserve"> </v>
      </c>
      <c r="M174" s="2" t="str">
        <f t="shared" si="12"/>
        <v xml:space="preserve"> </v>
      </c>
    </row>
    <row r="175" spans="1:13" x14ac:dyDescent="0.25">
      <c r="A175" s="34" t="str">
        <f t="shared" si="10"/>
        <v xml:space="preserve"> </v>
      </c>
      <c r="D175" s="33"/>
      <c r="E175" s="33"/>
      <c r="J175" s="14">
        <f t="shared" si="13"/>
        <v>0</v>
      </c>
      <c r="K175" s="2" t="str">
        <f t="shared" si="14"/>
        <v xml:space="preserve"> </v>
      </c>
      <c r="L175" s="2" t="str">
        <f t="shared" si="11"/>
        <v xml:space="preserve"> </v>
      </c>
      <c r="M175" s="2" t="str">
        <f t="shared" si="12"/>
        <v xml:space="preserve"> </v>
      </c>
    </row>
    <row r="176" spans="1:13" x14ac:dyDescent="0.25">
      <c r="A176" s="34" t="str">
        <f t="shared" si="10"/>
        <v xml:space="preserve"> </v>
      </c>
      <c r="D176" s="33"/>
      <c r="E176" s="33"/>
      <c r="J176" s="14">
        <f t="shared" si="13"/>
        <v>0</v>
      </c>
      <c r="K176" s="2" t="str">
        <f t="shared" si="14"/>
        <v xml:space="preserve"> </v>
      </c>
      <c r="L176" s="2" t="str">
        <f t="shared" si="11"/>
        <v xml:space="preserve"> </v>
      </c>
      <c r="M176" s="2" t="str">
        <f t="shared" si="12"/>
        <v xml:space="preserve"> </v>
      </c>
    </row>
    <row r="177" spans="1:13" x14ac:dyDescent="0.25">
      <c r="A177" s="34" t="str">
        <f t="shared" si="10"/>
        <v xml:space="preserve"> </v>
      </c>
      <c r="D177" s="33"/>
      <c r="E177" s="33"/>
      <c r="J177" s="14">
        <f t="shared" si="13"/>
        <v>0</v>
      </c>
      <c r="K177" s="2" t="str">
        <f t="shared" si="14"/>
        <v xml:space="preserve"> </v>
      </c>
      <c r="L177" s="2" t="str">
        <f t="shared" si="11"/>
        <v xml:space="preserve"> </v>
      </c>
      <c r="M177" s="2" t="str">
        <f t="shared" si="12"/>
        <v xml:space="preserve"> </v>
      </c>
    </row>
    <row r="178" spans="1:13" x14ac:dyDescent="0.25">
      <c r="A178" s="34" t="str">
        <f t="shared" si="10"/>
        <v xml:space="preserve"> </v>
      </c>
      <c r="D178" s="33"/>
      <c r="E178" s="33"/>
      <c r="J178" s="14">
        <f t="shared" si="13"/>
        <v>0</v>
      </c>
      <c r="K178" s="2" t="str">
        <f t="shared" si="14"/>
        <v xml:space="preserve"> </v>
      </c>
      <c r="L178" s="2" t="str">
        <f t="shared" si="11"/>
        <v xml:space="preserve"> </v>
      </c>
      <c r="M178" s="2" t="str">
        <f t="shared" si="12"/>
        <v xml:space="preserve"> </v>
      </c>
    </row>
    <row r="179" spans="1:13" x14ac:dyDescent="0.25">
      <c r="A179" s="34" t="str">
        <f t="shared" si="10"/>
        <v xml:space="preserve"> </v>
      </c>
      <c r="D179" s="33"/>
      <c r="E179" s="33"/>
      <c r="J179" s="14">
        <f t="shared" si="13"/>
        <v>0</v>
      </c>
      <c r="K179" s="2" t="str">
        <f t="shared" si="14"/>
        <v xml:space="preserve"> </v>
      </c>
      <c r="L179" s="2" t="str">
        <f t="shared" si="11"/>
        <v xml:space="preserve"> </v>
      </c>
      <c r="M179" s="2" t="str">
        <f t="shared" si="12"/>
        <v xml:space="preserve"> </v>
      </c>
    </row>
    <row r="180" spans="1:13" x14ac:dyDescent="0.25">
      <c r="A180" s="34" t="str">
        <f t="shared" si="10"/>
        <v xml:space="preserve"> </v>
      </c>
      <c r="D180" s="33"/>
      <c r="E180" s="33"/>
      <c r="J180" s="14">
        <f t="shared" si="13"/>
        <v>0</v>
      </c>
      <c r="K180" s="2" t="str">
        <f t="shared" si="14"/>
        <v xml:space="preserve"> </v>
      </c>
      <c r="L180" s="2" t="str">
        <f t="shared" si="11"/>
        <v xml:space="preserve"> </v>
      </c>
      <c r="M180" s="2" t="str">
        <f t="shared" si="12"/>
        <v xml:space="preserve"> </v>
      </c>
    </row>
    <row r="181" spans="1:13" x14ac:dyDescent="0.25">
      <c r="A181" s="34" t="str">
        <f t="shared" si="10"/>
        <v xml:space="preserve"> </v>
      </c>
      <c r="D181" s="33"/>
      <c r="E181" s="33"/>
      <c r="J181" s="14">
        <f t="shared" si="13"/>
        <v>0</v>
      </c>
      <c r="K181" s="2" t="str">
        <f t="shared" si="14"/>
        <v xml:space="preserve"> </v>
      </c>
      <c r="L181" s="2" t="str">
        <f t="shared" si="11"/>
        <v xml:space="preserve"> </v>
      </c>
      <c r="M181" s="2" t="str">
        <f t="shared" si="12"/>
        <v xml:space="preserve"> </v>
      </c>
    </row>
    <row r="182" spans="1:13" x14ac:dyDescent="0.25">
      <c r="A182" s="34" t="str">
        <f t="shared" si="10"/>
        <v xml:space="preserve"> </v>
      </c>
      <c r="D182" s="33"/>
      <c r="E182" s="33"/>
      <c r="J182" s="14">
        <f t="shared" si="13"/>
        <v>0</v>
      </c>
      <c r="K182" s="2" t="str">
        <f t="shared" si="14"/>
        <v xml:space="preserve"> </v>
      </c>
      <c r="L182" s="2" t="str">
        <f t="shared" si="11"/>
        <v xml:space="preserve"> </v>
      </c>
      <c r="M182" s="2" t="str">
        <f t="shared" si="12"/>
        <v xml:space="preserve"> </v>
      </c>
    </row>
    <row r="183" spans="1:13" x14ac:dyDescent="0.25">
      <c r="A183" s="34" t="str">
        <f t="shared" si="10"/>
        <v xml:space="preserve"> </v>
      </c>
      <c r="D183" s="33"/>
      <c r="E183" s="33"/>
      <c r="J183" s="14">
        <f t="shared" si="13"/>
        <v>0</v>
      </c>
      <c r="K183" s="2" t="str">
        <f t="shared" si="14"/>
        <v xml:space="preserve"> </v>
      </c>
      <c r="L183" s="2" t="str">
        <f t="shared" si="11"/>
        <v xml:space="preserve"> </v>
      </c>
      <c r="M183" s="2" t="str">
        <f t="shared" si="12"/>
        <v xml:space="preserve"> </v>
      </c>
    </row>
    <row r="184" spans="1:13" x14ac:dyDescent="0.25">
      <c r="A184" s="34" t="str">
        <f t="shared" si="10"/>
        <v xml:space="preserve"> </v>
      </c>
      <c r="D184" s="33"/>
      <c r="E184" s="33"/>
      <c r="J184" s="14">
        <f t="shared" si="13"/>
        <v>0</v>
      </c>
      <c r="K184" s="2" t="str">
        <f t="shared" si="14"/>
        <v xml:space="preserve"> </v>
      </c>
      <c r="L184" s="2" t="str">
        <f t="shared" si="11"/>
        <v xml:space="preserve"> </v>
      </c>
      <c r="M184" s="2" t="str">
        <f t="shared" si="12"/>
        <v xml:space="preserve"> </v>
      </c>
    </row>
    <row r="185" spans="1:13" x14ac:dyDescent="0.25">
      <c r="A185" s="34" t="str">
        <f t="shared" si="10"/>
        <v xml:space="preserve"> </v>
      </c>
      <c r="D185" s="33"/>
      <c r="E185" s="33"/>
      <c r="J185" s="14">
        <f t="shared" si="13"/>
        <v>0</v>
      </c>
      <c r="K185" s="2" t="str">
        <f t="shared" si="14"/>
        <v xml:space="preserve"> </v>
      </c>
      <c r="L185" s="2" t="str">
        <f t="shared" si="11"/>
        <v xml:space="preserve"> </v>
      </c>
      <c r="M185" s="2" t="str">
        <f t="shared" si="12"/>
        <v xml:space="preserve"> </v>
      </c>
    </row>
    <row r="186" spans="1:13" x14ac:dyDescent="0.25">
      <c r="A186" s="34" t="str">
        <f t="shared" si="10"/>
        <v xml:space="preserve"> </v>
      </c>
      <c r="D186" s="33"/>
      <c r="E186" s="33"/>
      <c r="J186" s="14">
        <f t="shared" si="13"/>
        <v>0</v>
      </c>
      <c r="K186" s="2" t="str">
        <f t="shared" si="14"/>
        <v xml:space="preserve"> </v>
      </c>
      <c r="L186" s="2" t="str">
        <f t="shared" si="11"/>
        <v xml:space="preserve"> </v>
      </c>
      <c r="M186" s="2" t="str">
        <f t="shared" si="12"/>
        <v xml:space="preserve"> </v>
      </c>
    </row>
    <row r="187" spans="1:13" x14ac:dyDescent="0.25">
      <c r="A187" s="34" t="str">
        <f t="shared" si="10"/>
        <v xml:space="preserve"> </v>
      </c>
      <c r="D187" s="33"/>
      <c r="E187" s="33"/>
      <c r="J187" s="14">
        <f t="shared" si="13"/>
        <v>0</v>
      </c>
      <c r="K187" s="2" t="str">
        <f t="shared" si="14"/>
        <v xml:space="preserve"> </v>
      </c>
      <c r="L187" s="2" t="str">
        <f t="shared" si="11"/>
        <v xml:space="preserve"> </v>
      </c>
      <c r="M187" s="2" t="str">
        <f t="shared" si="12"/>
        <v xml:space="preserve"> </v>
      </c>
    </row>
    <row r="188" spans="1:13" x14ac:dyDescent="0.25">
      <c r="A188" s="34" t="str">
        <f t="shared" si="10"/>
        <v xml:space="preserve"> </v>
      </c>
      <c r="D188" s="33"/>
      <c r="E188" s="33"/>
      <c r="J188" s="14">
        <f t="shared" si="13"/>
        <v>0</v>
      </c>
      <c r="K188" s="2" t="str">
        <f t="shared" si="14"/>
        <v xml:space="preserve"> </v>
      </c>
      <c r="L188" s="2" t="str">
        <f t="shared" si="11"/>
        <v xml:space="preserve"> </v>
      </c>
      <c r="M188" s="2" t="str">
        <f t="shared" si="12"/>
        <v xml:space="preserve"> </v>
      </c>
    </row>
    <row r="189" spans="1:13" x14ac:dyDescent="0.25">
      <c r="A189" s="34" t="str">
        <f t="shared" si="10"/>
        <v xml:space="preserve"> </v>
      </c>
      <c r="D189" s="33"/>
      <c r="E189" s="33"/>
      <c r="J189" s="14">
        <f t="shared" si="13"/>
        <v>0</v>
      </c>
      <c r="K189" s="2" t="str">
        <f t="shared" si="14"/>
        <v xml:space="preserve"> </v>
      </c>
      <c r="L189" s="2" t="str">
        <f t="shared" si="11"/>
        <v xml:space="preserve"> </v>
      </c>
      <c r="M189" s="2" t="str">
        <f t="shared" si="12"/>
        <v xml:space="preserve"> </v>
      </c>
    </row>
    <row r="190" spans="1:13" x14ac:dyDescent="0.25">
      <c r="A190" s="34" t="str">
        <f t="shared" si="10"/>
        <v xml:space="preserve"> </v>
      </c>
      <c r="D190" s="33"/>
      <c r="E190" s="33"/>
      <c r="J190" s="14">
        <f t="shared" si="13"/>
        <v>0</v>
      </c>
      <c r="K190" s="2" t="str">
        <f t="shared" si="14"/>
        <v xml:space="preserve"> </v>
      </c>
      <c r="L190" s="2" t="str">
        <f t="shared" si="11"/>
        <v xml:space="preserve"> </v>
      </c>
      <c r="M190" s="2" t="str">
        <f t="shared" si="12"/>
        <v xml:space="preserve"> </v>
      </c>
    </row>
    <row r="191" spans="1:13" x14ac:dyDescent="0.25">
      <c r="A191" s="34" t="str">
        <f t="shared" si="10"/>
        <v xml:space="preserve"> </v>
      </c>
      <c r="D191" s="33"/>
      <c r="E191" s="33"/>
      <c r="J191" s="14">
        <f t="shared" si="13"/>
        <v>0</v>
      </c>
      <c r="K191" s="2" t="str">
        <f t="shared" si="14"/>
        <v xml:space="preserve"> </v>
      </c>
      <c r="L191" s="2" t="str">
        <f t="shared" si="11"/>
        <v xml:space="preserve"> </v>
      </c>
      <c r="M191" s="2" t="str">
        <f t="shared" si="12"/>
        <v xml:space="preserve"> </v>
      </c>
    </row>
    <row r="192" spans="1:13" x14ac:dyDescent="0.25">
      <c r="A192" s="34" t="str">
        <f t="shared" si="10"/>
        <v xml:space="preserve"> </v>
      </c>
      <c r="D192" s="33"/>
      <c r="E192" s="33"/>
      <c r="J192" s="14">
        <f t="shared" si="13"/>
        <v>0</v>
      </c>
      <c r="K192" s="2" t="str">
        <f t="shared" si="14"/>
        <v xml:space="preserve"> </v>
      </c>
      <c r="L192" s="2" t="str">
        <f t="shared" si="11"/>
        <v xml:space="preserve"> </v>
      </c>
      <c r="M192" s="2" t="str">
        <f t="shared" si="12"/>
        <v xml:space="preserve"> </v>
      </c>
    </row>
    <row r="193" spans="1:13" x14ac:dyDescent="0.25">
      <c r="A193" s="34" t="str">
        <f t="shared" si="10"/>
        <v xml:space="preserve"> </v>
      </c>
      <c r="D193" s="33"/>
      <c r="E193" s="33"/>
      <c r="J193" s="14">
        <f t="shared" si="13"/>
        <v>0</v>
      </c>
      <c r="K193" s="2" t="str">
        <f t="shared" si="14"/>
        <v xml:space="preserve"> </v>
      </c>
      <c r="L193" s="2" t="str">
        <f t="shared" si="11"/>
        <v xml:space="preserve"> </v>
      </c>
      <c r="M193" s="2" t="str">
        <f t="shared" si="12"/>
        <v xml:space="preserve"> </v>
      </c>
    </row>
    <row r="194" spans="1:13" x14ac:dyDescent="0.25">
      <c r="A194" s="34" t="str">
        <f t="shared" si="10"/>
        <v xml:space="preserve"> </v>
      </c>
      <c r="D194" s="33"/>
      <c r="E194" s="33"/>
      <c r="J194" s="14">
        <f t="shared" si="13"/>
        <v>0</v>
      </c>
      <c r="K194" s="2" t="str">
        <f t="shared" si="14"/>
        <v xml:space="preserve"> </v>
      </c>
      <c r="L194" s="2" t="str">
        <f t="shared" si="11"/>
        <v xml:space="preserve"> </v>
      </c>
      <c r="M194" s="2" t="str">
        <f t="shared" si="12"/>
        <v xml:space="preserve"> </v>
      </c>
    </row>
    <row r="195" spans="1:13" x14ac:dyDescent="0.25">
      <c r="A195" s="34" t="str">
        <f t="shared" si="10"/>
        <v xml:space="preserve"> </v>
      </c>
      <c r="D195" s="33"/>
      <c r="E195" s="33"/>
      <c r="J195" s="14">
        <f t="shared" si="13"/>
        <v>0</v>
      </c>
      <c r="K195" s="2" t="str">
        <f t="shared" si="14"/>
        <v xml:space="preserve"> </v>
      </c>
      <c r="L195" s="2" t="str">
        <f t="shared" si="11"/>
        <v xml:space="preserve"> </v>
      </c>
      <c r="M195" s="2" t="str">
        <f t="shared" si="12"/>
        <v xml:space="preserve"> </v>
      </c>
    </row>
    <row r="196" spans="1:13" x14ac:dyDescent="0.25">
      <c r="A196" s="34" t="str">
        <f t="shared" si="10"/>
        <v xml:space="preserve"> </v>
      </c>
      <c r="D196" s="33"/>
      <c r="E196" s="33"/>
      <c r="J196" s="14">
        <f t="shared" si="13"/>
        <v>0</v>
      </c>
      <c r="K196" s="2" t="str">
        <f t="shared" si="14"/>
        <v xml:space="preserve"> </v>
      </c>
      <c r="L196" s="2" t="str">
        <f t="shared" si="11"/>
        <v xml:space="preserve"> </v>
      </c>
      <c r="M196" s="2" t="str">
        <f t="shared" si="12"/>
        <v xml:space="preserve"> </v>
      </c>
    </row>
    <row r="197" spans="1:13" x14ac:dyDescent="0.25">
      <c r="A197" s="34" t="str">
        <f t="shared" si="10"/>
        <v xml:space="preserve"> </v>
      </c>
      <c r="D197" s="33"/>
      <c r="E197" s="33"/>
      <c r="J197" s="14">
        <f t="shared" si="13"/>
        <v>0</v>
      </c>
      <c r="K197" s="2" t="str">
        <f t="shared" si="14"/>
        <v xml:space="preserve"> </v>
      </c>
      <c r="L197" s="2" t="str">
        <f t="shared" si="11"/>
        <v xml:space="preserve"> </v>
      </c>
      <c r="M197" s="2" t="str">
        <f t="shared" si="12"/>
        <v xml:space="preserve"> </v>
      </c>
    </row>
    <row r="198" spans="1:13" x14ac:dyDescent="0.25">
      <c r="A198" s="34" t="str">
        <f t="shared" si="10"/>
        <v xml:space="preserve"> </v>
      </c>
      <c r="D198" s="33"/>
      <c r="E198" s="33"/>
      <c r="J198" s="14">
        <f t="shared" si="13"/>
        <v>0</v>
      </c>
      <c r="K198" s="2" t="str">
        <f t="shared" si="14"/>
        <v xml:space="preserve"> </v>
      </c>
      <c r="L198" s="2" t="str">
        <f t="shared" si="11"/>
        <v xml:space="preserve"> </v>
      </c>
      <c r="M198" s="2" t="str">
        <f t="shared" si="12"/>
        <v xml:space="preserve"> </v>
      </c>
    </row>
    <row r="199" spans="1:13" x14ac:dyDescent="0.25">
      <c r="A199" s="34" t="str">
        <f t="shared" si="10"/>
        <v xml:space="preserve"> </v>
      </c>
      <c r="D199" s="33"/>
      <c r="E199" s="33"/>
      <c r="J199" s="14">
        <f t="shared" si="13"/>
        <v>0</v>
      </c>
      <c r="K199" s="2" t="str">
        <f t="shared" si="14"/>
        <v xml:space="preserve"> </v>
      </c>
      <c r="L199" s="2" t="str">
        <f t="shared" si="11"/>
        <v xml:space="preserve"> </v>
      </c>
      <c r="M199" s="2" t="str">
        <f t="shared" si="12"/>
        <v xml:space="preserve"> </v>
      </c>
    </row>
    <row r="200" spans="1:13" x14ac:dyDescent="0.25">
      <c r="A200" s="34" t="str">
        <f t="shared" si="10"/>
        <v xml:space="preserve"> </v>
      </c>
      <c r="D200" s="33"/>
      <c r="E200" s="33"/>
      <c r="J200" s="14">
        <f t="shared" si="13"/>
        <v>0</v>
      </c>
      <c r="K200" s="2" t="str">
        <f t="shared" si="14"/>
        <v xml:space="preserve"> </v>
      </c>
      <c r="L200" s="2" t="str">
        <f t="shared" si="11"/>
        <v xml:space="preserve"> </v>
      </c>
      <c r="M200" s="2" t="str">
        <f t="shared" si="12"/>
        <v xml:space="preserve"> </v>
      </c>
    </row>
    <row r="201" spans="1:13" x14ac:dyDescent="0.25">
      <c r="A201" s="34" t="str">
        <f t="shared" si="10"/>
        <v xml:space="preserve"> </v>
      </c>
      <c r="D201" s="33"/>
      <c r="E201" s="33"/>
      <c r="J201" s="14">
        <f t="shared" si="13"/>
        <v>0</v>
      </c>
      <c r="K201" s="2" t="str">
        <f t="shared" si="14"/>
        <v xml:space="preserve"> </v>
      </c>
      <c r="L201" s="2" t="str">
        <f t="shared" si="11"/>
        <v xml:space="preserve"> </v>
      </c>
      <c r="M201" s="2" t="str">
        <f t="shared" si="12"/>
        <v xml:space="preserve"> </v>
      </c>
    </row>
    <row r="202" spans="1:13" x14ac:dyDescent="0.25">
      <c r="A202" s="34" t="str">
        <f t="shared" si="10"/>
        <v xml:space="preserve"> </v>
      </c>
      <c r="D202" s="33"/>
      <c r="E202" s="33"/>
      <c r="J202" s="14">
        <f t="shared" si="13"/>
        <v>0</v>
      </c>
      <c r="K202" s="2" t="str">
        <f t="shared" si="14"/>
        <v xml:space="preserve"> </v>
      </c>
      <c r="L202" s="2" t="str">
        <f t="shared" si="11"/>
        <v xml:space="preserve"> </v>
      </c>
      <c r="M202" s="2" t="str">
        <f t="shared" si="12"/>
        <v xml:space="preserve"> </v>
      </c>
    </row>
    <row r="203" spans="1:13" x14ac:dyDescent="0.25">
      <c r="A203" s="34" t="str">
        <f t="shared" si="10"/>
        <v xml:space="preserve"> </v>
      </c>
      <c r="D203" s="33"/>
      <c r="E203" s="33"/>
      <c r="J203" s="14">
        <f t="shared" si="13"/>
        <v>0</v>
      </c>
      <c r="K203" s="2" t="str">
        <f t="shared" si="14"/>
        <v xml:space="preserve"> </v>
      </c>
      <c r="L203" s="2" t="str">
        <f t="shared" si="11"/>
        <v xml:space="preserve"> </v>
      </c>
      <c r="M203" s="2" t="str">
        <f t="shared" si="12"/>
        <v xml:space="preserve"> </v>
      </c>
    </row>
    <row r="204" spans="1:13" x14ac:dyDescent="0.25">
      <c r="A204" s="34" t="str">
        <f t="shared" si="10"/>
        <v xml:space="preserve"> </v>
      </c>
      <c r="D204" s="33"/>
      <c r="E204" s="33"/>
      <c r="J204" s="14">
        <f t="shared" si="13"/>
        <v>0</v>
      </c>
      <c r="K204" s="2" t="str">
        <f t="shared" si="14"/>
        <v xml:space="preserve"> </v>
      </c>
      <c r="L204" s="2" t="str">
        <f t="shared" si="11"/>
        <v xml:space="preserve"> </v>
      </c>
      <c r="M204" s="2" t="str">
        <f t="shared" si="12"/>
        <v xml:space="preserve"> </v>
      </c>
    </row>
    <row r="205" spans="1:13" x14ac:dyDescent="0.25">
      <c r="A205" s="34" t="str">
        <f t="shared" si="10"/>
        <v xml:space="preserve"> </v>
      </c>
      <c r="D205" s="33"/>
      <c r="E205" s="33"/>
      <c r="J205" s="14">
        <f t="shared" si="13"/>
        <v>0</v>
      </c>
      <c r="K205" s="2" t="str">
        <f t="shared" si="14"/>
        <v xml:space="preserve"> </v>
      </c>
      <c r="L205" s="2" t="str">
        <f t="shared" si="11"/>
        <v xml:space="preserve"> </v>
      </c>
      <c r="M205" s="2" t="str">
        <f t="shared" si="12"/>
        <v xml:space="preserve"> </v>
      </c>
    </row>
    <row r="206" spans="1:13" x14ac:dyDescent="0.25">
      <c r="A206" s="34" t="str">
        <f t="shared" si="10"/>
        <v xml:space="preserve"> </v>
      </c>
      <c r="D206" s="33"/>
      <c r="E206" s="33"/>
      <c r="J206" s="14">
        <f t="shared" si="13"/>
        <v>0</v>
      </c>
      <c r="K206" s="2" t="str">
        <f t="shared" si="14"/>
        <v xml:space="preserve"> </v>
      </c>
      <c r="L206" s="2" t="str">
        <f t="shared" si="11"/>
        <v xml:space="preserve"> </v>
      </c>
      <c r="M206" s="2" t="str">
        <f t="shared" si="12"/>
        <v xml:space="preserve"> </v>
      </c>
    </row>
    <row r="207" spans="1:13" x14ac:dyDescent="0.25">
      <c r="A207" s="34" t="str">
        <f t="shared" ref="A207:A270" si="15">IF(COUNTIF(K207:M207,"ERROR")&gt;0,"ERROR"," ")</f>
        <v xml:space="preserve"> </v>
      </c>
      <c r="D207" s="33"/>
      <c r="E207" s="33"/>
      <c r="J207" s="14">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x14ac:dyDescent="0.25">
      <c r="A208" s="34" t="str">
        <f t="shared" si="15"/>
        <v xml:space="preserve"> </v>
      </c>
      <c r="D208" s="33"/>
      <c r="E208" s="33"/>
      <c r="J208" s="14">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4" t="str">
        <f t="shared" si="15"/>
        <v xml:space="preserve"> </v>
      </c>
      <c r="D209" s="33"/>
      <c r="E209" s="33"/>
      <c r="J209" s="14">
        <f t="shared" si="18"/>
        <v>0</v>
      </c>
      <c r="K209" s="2" t="str">
        <f t="shared" si="19"/>
        <v xml:space="preserve"> </v>
      </c>
      <c r="L209" s="2" t="str">
        <f t="shared" si="16"/>
        <v xml:space="preserve"> </v>
      </c>
      <c r="M209" s="2" t="str">
        <f t="shared" si="17"/>
        <v xml:space="preserve"> </v>
      </c>
    </row>
    <row r="210" spans="1:13" x14ac:dyDescent="0.25">
      <c r="A210" s="34" t="str">
        <f t="shared" si="15"/>
        <v xml:space="preserve"> </v>
      </c>
      <c r="D210" s="33"/>
      <c r="E210" s="33"/>
      <c r="J210" s="14">
        <f t="shared" si="18"/>
        <v>0</v>
      </c>
      <c r="K210" s="2" t="str">
        <f t="shared" si="19"/>
        <v xml:space="preserve"> </v>
      </c>
      <c r="L210" s="2" t="str">
        <f t="shared" si="16"/>
        <v xml:space="preserve"> </v>
      </c>
      <c r="M210" s="2" t="str">
        <f t="shared" si="17"/>
        <v xml:space="preserve"> </v>
      </c>
    </row>
    <row r="211" spans="1:13" x14ac:dyDescent="0.25">
      <c r="A211" s="34" t="str">
        <f t="shared" si="15"/>
        <v xml:space="preserve"> </v>
      </c>
      <c r="D211" s="33"/>
      <c r="E211" s="33"/>
      <c r="J211" s="14">
        <f t="shared" si="18"/>
        <v>0</v>
      </c>
      <c r="K211" s="2" t="str">
        <f t="shared" si="19"/>
        <v xml:space="preserve"> </v>
      </c>
      <c r="L211" s="2" t="str">
        <f t="shared" si="16"/>
        <v xml:space="preserve"> </v>
      </c>
      <c r="M211" s="2" t="str">
        <f t="shared" si="17"/>
        <v xml:space="preserve"> </v>
      </c>
    </row>
    <row r="212" spans="1:13" x14ac:dyDescent="0.25">
      <c r="A212" s="34" t="str">
        <f t="shared" si="15"/>
        <v xml:space="preserve"> </v>
      </c>
      <c r="D212" s="33"/>
      <c r="E212" s="33"/>
      <c r="J212" s="14">
        <f t="shared" si="18"/>
        <v>0</v>
      </c>
      <c r="K212" s="2" t="str">
        <f t="shared" si="19"/>
        <v xml:space="preserve"> </v>
      </c>
      <c r="L212" s="2" t="str">
        <f t="shared" si="16"/>
        <v xml:space="preserve"> </v>
      </c>
      <c r="M212" s="2" t="str">
        <f t="shared" si="17"/>
        <v xml:space="preserve"> </v>
      </c>
    </row>
    <row r="213" spans="1:13" x14ac:dyDescent="0.25">
      <c r="A213" s="34" t="str">
        <f t="shared" si="15"/>
        <v xml:space="preserve"> </v>
      </c>
      <c r="D213" s="33"/>
      <c r="E213" s="33"/>
      <c r="J213" s="14">
        <f t="shared" si="18"/>
        <v>0</v>
      </c>
      <c r="K213" s="2" t="str">
        <f t="shared" si="19"/>
        <v xml:space="preserve"> </v>
      </c>
      <c r="L213" s="2" t="str">
        <f t="shared" si="16"/>
        <v xml:space="preserve"> </v>
      </c>
      <c r="M213" s="2" t="str">
        <f t="shared" si="17"/>
        <v xml:space="preserve"> </v>
      </c>
    </row>
    <row r="214" spans="1:13" x14ac:dyDescent="0.25">
      <c r="A214" s="34" t="str">
        <f t="shared" si="15"/>
        <v xml:space="preserve"> </v>
      </c>
      <c r="D214" s="33"/>
      <c r="E214" s="33"/>
      <c r="J214" s="14">
        <f t="shared" si="18"/>
        <v>0</v>
      </c>
      <c r="K214" s="2" t="str">
        <f t="shared" si="19"/>
        <v xml:space="preserve"> </v>
      </c>
      <c r="L214" s="2" t="str">
        <f t="shared" si="16"/>
        <v xml:space="preserve"> </v>
      </c>
      <c r="M214" s="2" t="str">
        <f t="shared" si="17"/>
        <v xml:space="preserve"> </v>
      </c>
    </row>
    <row r="215" spans="1:13" x14ac:dyDescent="0.25">
      <c r="A215" s="34" t="str">
        <f t="shared" si="15"/>
        <v xml:space="preserve"> </v>
      </c>
      <c r="D215" s="33"/>
      <c r="E215" s="33"/>
      <c r="J215" s="14">
        <f t="shared" si="18"/>
        <v>0</v>
      </c>
      <c r="K215" s="2" t="str">
        <f t="shared" si="19"/>
        <v xml:space="preserve"> </v>
      </c>
      <c r="L215" s="2" t="str">
        <f t="shared" si="16"/>
        <v xml:space="preserve"> </v>
      </c>
      <c r="M215" s="2" t="str">
        <f t="shared" si="17"/>
        <v xml:space="preserve"> </v>
      </c>
    </row>
    <row r="216" spans="1:13" x14ac:dyDescent="0.25">
      <c r="A216" s="34" t="str">
        <f t="shared" si="15"/>
        <v xml:space="preserve"> </v>
      </c>
      <c r="D216" s="33"/>
      <c r="E216" s="33"/>
      <c r="J216" s="14">
        <f t="shared" si="18"/>
        <v>0</v>
      </c>
      <c r="K216" s="2" t="str">
        <f t="shared" si="19"/>
        <v xml:space="preserve"> </v>
      </c>
      <c r="L216" s="2" t="str">
        <f t="shared" si="16"/>
        <v xml:space="preserve"> </v>
      </c>
      <c r="M216" s="2" t="str">
        <f t="shared" si="17"/>
        <v xml:space="preserve"> </v>
      </c>
    </row>
    <row r="217" spans="1:13" x14ac:dyDescent="0.25">
      <c r="A217" s="34" t="str">
        <f t="shared" si="15"/>
        <v xml:space="preserve"> </v>
      </c>
      <c r="D217" s="33"/>
      <c r="E217" s="33"/>
      <c r="J217" s="14">
        <f t="shared" si="18"/>
        <v>0</v>
      </c>
      <c r="K217" s="2" t="str">
        <f t="shared" si="19"/>
        <v xml:space="preserve"> </v>
      </c>
      <c r="L217" s="2" t="str">
        <f t="shared" si="16"/>
        <v xml:space="preserve"> </v>
      </c>
      <c r="M217" s="2" t="str">
        <f t="shared" si="17"/>
        <v xml:space="preserve"> </v>
      </c>
    </row>
    <row r="218" spans="1:13" x14ac:dyDescent="0.25">
      <c r="A218" s="34" t="str">
        <f t="shared" si="15"/>
        <v xml:space="preserve"> </v>
      </c>
      <c r="D218" s="33"/>
      <c r="E218" s="33"/>
      <c r="J218" s="14">
        <f t="shared" si="18"/>
        <v>0</v>
      </c>
      <c r="K218" s="2" t="str">
        <f t="shared" si="19"/>
        <v xml:space="preserve"> </v>
      </c>
      <c r="L218" s="2" t="str">
        <f t="shared" si="16"/>
        <v xml:space="preserve"> </v>
      </c>
      <c r="M218" s="2" t="str">
        <f t="shared" si="17"/>
        <v xml:space="preserve"> </v>
      </c>
    </row>
    <row r="219" spans="1:13" x14ac:dyDescent="0.25">
      <c r="A219" s="34" t="str">
        <f t="shared" si="15"/>
        <v xml:space="preserve"> </v>
      </c>
      <c r="D219" s="33"/>
      <c r="E219" s="33"/>
      <c r="J219" s="14">
        <f t="shared" si="18"/>
        <v>0</v>
      </c>
      <c r="K219" s="2" t="str">
        <f t="shared" si="19"/>
        <v xml:space="preserve"> </v>
      </c>
      <c r="L219" s="2" t="str">
        <f t="shared" si="16"/>
        <v xml:space="preserve"> </v>
      </c>
      <c r="M219" s="2" t="str">
        <f t="shared" si="17"/>
        <v xml:space="preserve"> </v>
      </c>
    </row>
    <row r="220" spans="1:13" x14ac:dyDescent="0.25">
      <c r="A220" s="34" t="str">
        <f t="shared" si="15"/>
        <v xml:space="preserve"> </v>
      </c>
      <c r="D220" s="33"/>
      <c r="E220" s="33"/>
      <c r="J220" s="14">
        <f t="shared" si="18"/>
        <v>0</v>
      </c>
      <c r="K220" s="2" t="str">
        <f t="shared" si="19"/>
        <v xml:space="preserve"> </v>
      </c>
      <c r="L220" s="2" t="str">
        <f t="shared" si="16"/>
        <v xml:space="preserve"> </v>
      </c>
      <c r="M220" s="2" t="str">
        <f t="shared" si="17"/>
        <v xml:space="preserve"> </v>
      </c>
    </row>
    <row r="221" spans="1:13" x14ac:dyDescent="0.25">
      <c r="A221" s="34" t="str">
        <f t="shared" si="15"/>
        <v xml:space="preserve"> </v>
      </c>
      <c r="D221" s="33"/>
      <c r="E221" s="33"/>
      <c r="J221" s="14">
        <f t="shared" si="18"/>
        <v>0</v>
      </c>
      <c r="K221" s="2" t="str">
        <f t="shared" si="19"/>
        <v xml:space="preserve"> </v>
      </c>
      <c r="L221" s="2" t="str">
        <f t="shared" si="16"/>
        <v xml:space="preserve"> </v>
      </c>
      <c r="M221" s="2" t="str">
        <f t="shared" si="17"/>
        <v xml:space="preserve"> </v>
      </c>
    </row>
    <row r="222" spans="1:13" x14ac:dyDescent="0.25">
      <c r="A222" s="34" t="str">
        <f t="shared" si="15"/>
        <v xml:space="preserve"> </v>
      </c>
      <c r="D222" s="33"/>
      <c r="E222" s="33"/>
      <c r="J222" s="14">
        <f t="shared" si="18"/>
        <v>0</v>
      </c>
      <c r="K222" s="2" t="str">
        <f t="shared" si="19"/>
        <v xml:space="preserve"> </v>
      </c>
      <c r="L222" s="2" t="str">
        <f t="shared" si="16"/>
        <v xml:space="preserve"> </v>
      </c>
      <c r="M222" s="2" t="str">
        <f t="shared" si="17"/>
        <v xml:space="preserve"> </v>
      </c>
    </row>
    <row r="223" spans="1:13" x14ac:dyDescent="0.25">
      <c r="A223" s="34" t="str">
        <f t="shared" si="15"/>
        <v xml:space="preserve"> </v>
      </c>
      <c r="D223" s="33"/>
      <c r="E223" s="33"/>
      <c r="J223" s="14">
        <f t="shared" si="18"/>
        <v>0</v>
      </c>
      <c r="K223" s="2" t="str">
        <f t="shared" si="19"/>
        <v xml:space="preserve"> </v>
      </c>
      <c r="L223" s="2" t="str">
        <f t="shared" si="16"/>
        <v xml:space="preserve"> </v>
      </c>
      <c r="M223" s="2" t="str">
        <f t="shared" si="17"/>
        <v xml:space="preserve"> </v>
      </c>
    </row>
    <row r="224" spans="1:13" x14ac:dyDescent="0.25">
      <c r="A224" s="34" t="str">
        <f t="shared" si="15"/>
        <v xml:space="preserve"> </v>
      </c>
      <c r="D224" s="33"/>
      <c r="E224" s="33"/>
      <c r="J224" s="14">
        <f t="shared" si="18"/>
        <v>0</v>
      </c>
      <c r="K224" s="2" t="str">
        <f t="shared" si="19"/>
        <v xml:space="preserve"> </v>
      </c>
      <c r="L224" s="2" t="str">
        <f t="shared" si="16"/>
        <v xml:space="preserve"> </v>
      </c>
      <c r="M224" s="2" t="str">
        <f t="shared" si="17"/>
        <v xml:space="preserve"> </v>
      </c>
    </row>
    <row r="225" spans="1:13" x14ac:dyDescent="0.25">
      <c r="A225" s="34" t="str">
        <f t="shared" si="15"/>
        <v xml:space="preserve"> </v>
      </c>
      <c r="D225" s="33"/>
      <c r="E225" s="33"/>
      <c r="J225" s="14">
        <f t="shared" si="18"/>
        <v>0</v>
      </c>
      <c r="K225" s="2" t="str">
        <f t="shared" si="19"/>
        <v xml:space="preserve"> </v>
      </c>
      <c r="L225" s="2" t="str">
        <f t="shared" si="16"/>
        <v xml:space="preserve"> </v>
      </c>
      <c r="M225" s="2" t="str">
        <f t="shared" si="17"/>
        <v xml:space="preserve"> </v>
      </c>
    </row>
    <row r="226" spans="1:13" x14ac:dyDescent="0.25">
      <c r="A226" s="34" t="str">
        <f t="shared" si="15"/>
        <v xml:space="preserve"> </v>
      </c>
      <c r="D226" s="33"/>
      <c r="E226" s="33"/>
      <c r="J226" s="14">
        <f t="shared" si="18"/>
        <v>0</v>
      </c>
      <c r="K226" s="2" t="str">
        <f t="shared" si="19"/>
        <v xml:space="preserve"> </v>
      </c>
      <c r="L226" s="2" t="str">
        <f t="shared" si="16"/>
        <v xml:space="preserve"> </v>
      </c>
      <c r="M226" s="2" t="str">
        <f t="shared" si="17"/>
        <v xml:space="preserve"> </v>
      </c>
    </row>
    <row r="227" spans="1:13" x14ac:dyDescent="0.25">
      <c r="A227" s="34" t="str">
        <f t="shared" si="15"/>
        <v xml:space="preserve"> </v>
      </c>
      <c r="D227" s="33"/>
      <c r="E227" s="33"/>
      <c r="J227" s="14">
        <f t="shared" si="18"/>
        <v>0</v>
      </c>
      <c r="K227" s="2" t="str">
        <f t="shared" si="19"/>
        <v xml:space="preserve"> </v>
      </c>
      <c r="L227" s="2" t="str">
        <f t="shared" si="16"/>
        <v xml:space="preserve"> </v>
      </c>
      <c r="M227" s="2" t="str">
        <f t="shared" si="17"/>
        <v xml:space="preserve"> </v>
      </c>
    </row>
    <row r="228" spans="1:13" x14ac:dyDescent="0.25">
      <c r="A228" s="34" t="str">
        <f t="shared" si="15"/>
        <v xml:space="preserve"> </v>
      </c>
      <c r="D228" s="33"/>
      <c r="E228" s="33"/>
      <c r="J228" s="14">
        <f t="shared" si="18"/>
        <v>0</v>
      </c>
      <c r="K228" s="2" t="str">
        <f t="shared" si="19"/>
        <v xml:space="preserve"> </v>
      </c>
      <c r="L228" s="2" t="str">
        <f t="shared" si="16"/>
        <v xml:space="preserve"> </v>
      </c>
      <c r="M228" s="2" t="str">
        <f t="shared" si="17"/>
        <v xml:space="preserve"> </v>
      </c>
    </row>
    <row r="229" spans="1:13" x14ac:dyDescent="0.25">
      <c r="A229" s="34" t="str">
        <f t="shared" si="15"/>
        <v xml:space="preserve"> </v>
      </c>
      <c r="D229" s="33"/>
      <c r="E229" s="33"/>
      <c r="J229" s="14">
        <f t="shared" si="18"/>
        <v>0</v>
      </c>
      <c r="K229" s="2" t="str">
        <f t="shared" si="19"/>
        <v xml:space="preserve"> </v>
      </c>
      <c r="L229" s="2" t="str">
        <f t="shared" si="16"/>
        <v xml:space="preserve"> </v>
      </c>
      <c r="M229" s="2" t="str">
        <f t="shared" si="17"/>
        <v xml:space="preserve"> </v>
      </c>
    </row>
    <row r="230" spans="1:13" x14ac:dyDescent="0.25">
      <c r="A230" s="34" t="str">
        <f t="shared" si="15"/>
        <v xml:space="preserve"> </v>
      </c>
      <c r="D230" s="33"/>
      <c r="E230" s="33"/>
      <c r="J230" s="14">
        <f t="shared" si="18"/>
        <v>0</v>
      </c>
      <c r="K230" s="2" t="str">
        <f t="shared" si="19"/>
        <v xml:space="preserve"> </v>
      </c>
      <c r="L230" s="2" t="str">
        <f t="shared" si="16"/>
        <v xml:space="preserve"> </v>
      </c>
      <c r="M230" s="2" t="str">
        <f t="shared" si="17"/>
        <v xml:space="preserve"> </v>
      </c>
    </row>
    <row r="231" spans="1:13" x14ac:dyDescent="0.25">
      <c r="A231" s="34" t="str">
        <f t="shared" si="15"/>
        <v xml:space="preserve"> </v>
      </c>
      <c r="D231" s="33"/>
      <c r="E231" s="33"/>
      <c r="J231" s="14">
        <f t="shared" si="18"/>
        <v>0</v>
      </c>
      <c r="K231" s="2" t="str">
        <f t="shared" si="19"/>
        <v xml:space="preserve"> </v>
      </c>
      <c r="L231" s="2" t="str">
        <f t="shared" si="16"/>
        <v xml:space="preserve"> </v>
      </c>
      <c r="M231" s="2" t="str">
        <f t="shared" si="17"/>
        <v xml:space="preserve"> </v>
      </c>
    </row>
    <row r="232" spans="1:13" x14ac:dyDescent="0.25">
      <c r="A232" s="34" t="str">
        <f t="shared" si="15"/>
        <v xml:space="preserve"> </v>
      </c>
      <c r="D232" s="33"/>
      <c r="E232" s="33"/>
      <c r="J232" s="14">
        <f t="shared" si="18"/>
        <v>0</v>
      </c>
      <c r="K232" s="2" t="str">
        <f t="shared" si="19"/>
        <v xml:space="preserve"> </v>
      </c>
      <c r="L232" s="2" t="str">
        <f t="shared" si="16"/>
        <v xml:space="preserve"> </v>
      </c>
      <c r="M232" s="2" t="str">
        <f t="shared" si="17"/>
        <v xml:space="preserve"> </v>
      </c>
    </row>
    <row r="233" spans="1:13" x14ac:dyDescent="0.25">
      <c r="A233" s="34" t="str">
        <f t="shared" si="15"/>
        <v xml:space="preserve"> </v>
      </c>
      <c r="D233" s="33"/>
      <c r="E233" s="33"/>
      <c r="J233" s="14">
        <f t="shared" si="18"/>
        <v>0</v>
      </c>
      <c r="K233" s="2" t="str">
        <f t="shared" si="19"/>
        <v xml:space="preserve"> </v>
      </c>
      <c r="L233" s="2" t="str">
        <f t="shared" si="16"/>
        <v xml:space="preserve"> </v>
      </c>
      <c r="M233" s="2" t="str">
        <f t="shared" si="17"/>
        <v xml:space="preserve"> </v>
      </c>
    </row>
    <row r="234" spans="1:13" x14ac:dyDescent="0.25">
      <c r="A234" s="34" t="str">
        <f t="shared" si="15"/>
        <v xml:space="preserve"> </v>
      </c>
      <c r="D234" s="33"/>
      <c r="E234" s="33"/>
      <c r="J234" s="14">
        <f t="shared" si="18"/>
        <v>0</v>
      </c>
      <c r="K234" s="2" t="str">
        <f t="shared" si="19"/>
        <v xml:space="preserve"> </v>
      </c>
      <c r="L234" s="2" t="str">
        <f t="shared" si="16"/>
        <v xml:space="preserve"> </v>
      </c>
      <c r="M234" s="2" t="str">
        <f t="shared" si="17"/>
        <v xml:space="preserve"> </v>
      </c>
    </row>
    <row r="235" spans="1:13" x14ac:dyDescent="0.25">
      <c r="A235" s="34" t="str">
        <f t="shared" si="15"/>
        <v xml:space="preserve"> </v>
      </c>
      <c r="D235" s="33"/>
      <c r="E235" s="33"/>
      <c r="J235" s="14">
        <f t="shared" si="18"/>
        <v>0</v>
      </c>
      <c r="K235" s="2" t="str">
        <f t="shared" si="19"/>
        <v xml:space="preserve"> </v>
      </c>
      <c r="L235" s="2" t="str">
        <f t="shared" si="16"/>
        <v xml:space="preserve"> </v>
      </c>
      <c r="M235" s="2" t="str">
        <f t="shared" si="17"/>
        <v xml:space="preserve"> </v>
      </c>
    </row>
    <row r="236" spans="1:13" x14ac:dyDescent="0.25">
      <c r="A236" s="34" t="str">
        <f t="shared" si="15"/>
        <v xml:space="preserve"> </v>
      </c>
      <c r="D236" s="33"/>
      <c r="E236" s="33"/>
      <c r="J236" s="14">
        <f t="shared" si="18"/>
        <v>0</v>
      </c>
      <c r="K236" s="2" t="str">
        <f t="shared" si="19"/>
        <v xml:space="preserve"> </v>
      </c>
      <c r="L236" s="2" t="str">
        <f t="shared" si="16"/>
        <v xml:space="preserve"> </v>
      </c>
      <c r="M236" s="2" t="str">
        <f t="shared" si="17"/>
        <v xml:space="preserve"> </v>
      </c>
    </row>
    <row r="237" spans="1:13" x14ac:dyDescent="0.25">
      <c r="A237" s="34" t="str">
        <f t="shared" si="15"/>
        <v xml:space="preserve"> </v>
      </c>
      <c r="D237" s="33"/>
      <c r="E237" s="33"/>
      <c r="J237" s="14">
        <f t="shared" si="18"/>
        <v>0</v>
      </c>
      <c r="K237" s="2" t="str">
        <f t="shared" si="19"/>
        <v xml:space="preserve"> </v>
      </c>
      <c r="L237" s="2" t="str">
        <f t="shared" si="16"/>
        <v xml:space="preserve"> </v>
      </c>
      <c r="M237" s="2" t="str">
        <f t="shared" si="17"/>
        <v xml:space="preserve"> </v>
      </c>
    </row>
    <row r="238" spans="1:13" x14ac:dyDescent="0.25">
      <c r="A238" s="34" t="str">
        <f t="shared" si="15"/>
        <v xml:space="preserve"> </v>
      </c>
      <c r="D238" s="33"/>
      <c r="E238" s="33"/>
      <c r="J238" s="14">
        <f t="shared" si="18"/>
        <v>0</v>
      </c>
      <c r="K238" s="2" t="str">
        <f t="shared" si="19"/>
        <v xml:space="preserve"> </v>
      </c>
      <c r="L238" s="2" t="str">
        <f t="shared" si="16"/>
        <v xml:space="preserve"> </v>
      </c>
      <c r="M238" s="2" t="str">
        <f t="shared" si="17"/>
        <v xml:space="preserve"> </v>
      </c>
    </row>
    <row r="239" spans="1:13" x14ac:dyDescent="0.25">
      <c r="A239" s="34" t="str">
        <f t="shared" si="15"/>
        <v xml:space="preserve"> </v>
      </c>
      <c r="D239" s="33"/>
      <c r="E239" s="33"/>
      <c r="J239" s="14">
        <f t="shared" si="18"/>
        <v>0</v>
      </c>
      <c r="K239" s="2" t="str">
        <f t="shared" si="19"/>
        <v xml:space="preserve"> </v>
      </c>
      <c r="L239" s="2" t="str">
        <f t="shared" si="16"/>
        <v xml:space="preserve"> </v>
      </c>
      <c r="M239" s="2" t="str">
        <f t="shared" si="17"/>
        <v xml:space="preserve"> </v>
      </c>
    </row>
    <row r="240" spans="1:13" x14ac:dyDescent="0.25">
      <c r="A240" s="34" t="str">
        <f t="shared" si="15"/>
        <v xml:space="preserve"> </v>
      </c>
      <c r="D240" s="33"/>
      <c r="E240" s="33"/>
      <c r="J240" s="14">
        <f t="shared" si="18"/>
        <v>0</v>
      </c>
      <c r="K240" s="2" t="str">
        <f t="shared" si="19"/>
        <v xml:space="preserve"> </v>
      </c>
      <c r="L240" s="2" t="str">
        <f t="shared" si="16"/>
        <v xml:space="preserve"> </v>
      </c>
      <c r="M240" s="2" t="str">
        <f t="shared" si="17"/>
        <v xml:space="preserve"> </v>
      </c>
    </row>
    <row r="241" spans="1:13" x14ac:dyDescent="0.25">
      <c r="A241" s="34" t="str">
        <f t="shared" si="15"/>
        <v xml:space="preserve"> </v>
      </c>
      <c r="D241" s="33"/>
      <c r="E241" s="33"/>
      <c r="J241" s="14">
        <f t="shared" si="18"/>
        <v>0</v>
      </c>
      <c r="K241" s="2" t="str">
        <f t="shared" si="19"/>
        <v xml:space="preserve"> </v>
      </c>
      <c r="L241" s="2" t="str">
        <f t="shared" si="16"/>
        <v xml:space="preserve"> </v>
      </c>
      <c r="M241" s="2" t="str">
        <f t="shared" si="17"/>
        <v xml:space="preserve"> </v>
      </c>
    </row>
    <row r="242" spans="1:13" x14ac:dyDescent="0.25">
      <c r="A242" s="34" t="str">
        <f t="shared" si="15"/>
        <v xml:space="preserve"> </v>
      </c>
      <c r="D242" s="33"/>
      <c r="E242" s="33"/>
      <c r="J242" s="14">
        <f t="shared" si="18"/>
        <v>0</v>
      </c>
      <c r="K242" s="2" t="str">
        <f t="shared" si="19"/>
        <v xml:space="preserve"> </v>
      </c>
      <c r="L242" s="2" t="str">
        <f t="shared" si="16"/>
        <v xml:space="preserve"> </v>
      </c>
      <c r="M242" s="2" t="str">
        <f t="shared" si="17"/>
        <v xml:space="preserve"> </v>
      </c>
    </row>
    <row r="243" spans="1:13" x14ac:dyDescent="0.25">
      <c r="A243" s="34" t="str">
        <f t="shared" si="15"/>
        <v xml:space="preserve"> </v>
      </c>
      <c r="D243" s="33"/>
      <c r="E243" s="33"/>
      <c r="J243" s="14">
        <f t="shared" si="18"/>
        <v>0</v>
      </c>
      <c r="K243" s="2" t="str">
        <f t="shared" si="19"/>
        <v xml:space="preserve"> </v>
      </c>
      <c r="L243" s="2" t="str">
        <f t="shared" si="16"/>
        <v xml:space="preserve"> </v>
      </c>
      <c r="M243" s="2" t="str">
        <f t="shared" si="17"/>
        <v xml:space="preserve"> </v>
      </c>
    </row>
    <row r="244" spans="1:13" x14ac:dyDescent="0.25">
      <c r="A244" s="34" t="str">
        <f t="shared" si="15"/>
        <v xml:space="preserve"> </v>
      </c>
      <c r="D244" s="33"/>
      <c r="E244" s="33"/>
      <c r="J244" s="14">
        <f t="shared" si="18"/>
        <v>0</v>
      </c>
      <c r="K244" s="2" t="str">
        <f t="shared" si="19"/>
        <v xml:space="preserve"> </v>
      </c>
      <c r="L244" s="2" t="str">
        <f t="shared" si="16"/>
        <v xml:space="preserve"> </v>
      </c>
      <c r="M244" s="2" t="str">
        <f t="shared" si="17"/>
        <v xml:space="preserve"> </v>
      </c>
    </row>
    <row r="245" spans="1:13" x14ac:dyDescent="0.25">
      <c r="A245" s="34" t="str">
        <f t="shared" si="15"/>
        <v xml:space="preserve"> </v>
      </c>
      <c r="D245" s="33"/>
      <c r="E245" s="33"/>
      <c r="J245" s="14">
        <f t="shared" si="18"/>
        <v>0</v>
      </c>
      <c r="K245" s="2" t="str">
        <f t="shared" si="19"/>
        <v xml:space="preserve"> </v>
      </c>
      <c r="L245" s="2" t="str">
        <f t="shared" si="16"/>
        <v xml:space="preserve"> </v>
      </c>
      <c r="M245" s="2" t="str">
        <f t="shared" si="17"/>
        <v xml:space="preserve"> </v>
      </c>
    </row>
    <row r="246" spans="1:13" x14ac:dyDescent="0.25">
      <c r="A246" s="34" t="str">
        <f t="shared" si="15"/>
        <v xml:space="preserve"> </v>
      </c>
      <c r="D246" s="33"/>
      <c r="E246" s="33"/>
      <c r="J246" s="14">
        <f t="shared" si="18"/>
        <v>0</v>
      </c>
      <c r="K246" s="2" t="str">
        <f t="shared" si="19"/>
        <v xml:space="preserve"> </v>
      </c>
      <c r="L246" s="2" t="str">
        <f t="shared" si="16"/>
        <v xml:space="preserve"> </v>
      </c>
      <c r="M246" s="2" t="str">
        <f t="shared" si="17"/>
        <v xml:space="preserve"> </v>
      </c>
    </row>
    <row r="247" spans="1:13" x14ac:dyDescent="0.25">
      <c r="A247" s="34" t="str">
        <f t="shared" si="15"/>
        <v xml:space="preserve"> </v>
      </c>
      <c r="D247" s="33"/>
      <c r="E247" s="33"/>
      <c r="J247" s="14">
        <f t="shared" si="18"/>
        <v>0</v>
      </c>
      <c r="K247" s="2" t="str">
        <f t="shared" si="19"/>
        <v xml:space="preserve"> </v>
      </c>
      <c r="L247" s="2" t="str">
        <f t="shared" si="16"/>
        <v xml:space="preserve"> </v>
      </c>
      <c r="M247" s="2" t="str">
        <f t="shared" si="17"/>
        <v xml:space="preserve"> </v>
      </c>
    </row>
    <row r="248" spans="1:13" x14ac:dyDescent="0.25">
      <c r="A248" s="34" t="str">
        <f t="shared" si="15"/>
        <v xml:space="preserve"> </v>
      </c>
      <c r="D248" s="33"/>
      <c r="E248" s="33"/>
      <c r="J248" s="14">
        <f t="shared" si="18"/>
        <v>0</v>
      </c>
      <c r="K248" s="2" t="str">
        <f t="shared" si="19"/>
        <v xml:space="preserve"> </v>
      </c>
      <c r="L248" s="2" t="str">
        <f t="shared" si="16"/>
        <v xml:space="preserve"> </v>
      </c>
      <c r="M248" s="2" t="str">
        <f t="shared" si="17"/>
        <v xml:space="preserve"> </v>
      </c>
    </row>
    <row r="249" spans="1:13" x14ac:dyDescent="0.25">
      <c r="A249" s="34" t="str">
        <f t="shared" si="15"/>
        <v xml:space="preserve"> </v>
      </c>
      <c r="D249" s="33"/>
      <c r="E249" s="33"/>
      <c r="J249" s="14">
        <f t="shared" si="18"/>
        <v>0</v>
      </c>
      <c r="K249" s="2" t="str">
        <f t="shared" si="19"/>
        <v xml:space="preserve"> </v>
      </c>
      <c r="L249" s="2" t="str">
        <f t="shared" si="16"/>
        <v xml:space="preserve"> </v>
      </c>
      <c r="M249" s="2" t="str">
        <f t="shared" si="17"/>
        <v xml:space="preserve"> </v>
      </c>
    </row>
    <row r="250" spans="1:13" x14ac:dyDescent="0.25">
      <c r="A250" s="34" t="str">
        <f t="shared" si="15"/>
        <v xml:space="preserve"> </v>
      </c>
      <c r="D250" s="33"/>
      <c r="E250" s="33"/>
      <c r="J250" s="14">
        <f t="shared" si="18"/>
        <v>0</v>
      </c>
      <c r="K250" s="2" t="str">
        <f t="shared" si="19"/>
        <v xml:space="preserve"> </v>
      </c>
      <c r="L250" s="2" t="str">
        <f t="shared" si="16"/>
        <v xml:space="preserve"> </v>
      </c>
      <c r="M250" s="2" t="str">
        <f t="shared" si="17"/>
        <v xml:space="preserve"> </v>
      </c>
    </row>
    <row r="251" spans="1:13" x14ac:dyDescent="0.25">
      <c r="A251" s="34" t="str">
        <f t="shared" si="15"/>
        <v xml:space="preserve"> </v>
      </c>
      <c r="D251" s="33"/>
      <c r="E251" s="33"/>
      <c r="J251" s="14">
        <f t="shared" si="18"/>
        <v>0</v>
      </c>
      <c r="K251" s="2" t="str">
        <f t="shared" si="19"/>
        <v xml:space="preserve"> </v>
      </c>
      <c r="L251" s="2" t="str">
        <f t="shared" si="16"/>
        <v xml:space="preserve"> </v>
      </c>
      <c r="M251" s="2" t="str">
        <f t="shared" si="17"/>
        <v xml:space="preserve"> </v>
      </c>
    </row>
    <row r="252" spans="1:13" x14ac:dyDescent="0.25">
      <c r="A252" s="34" t="str">
        <f t="shared" si="15"/>
        <v xml:space="preserve"> </v>
      </c>
      <c r="D252" s="33"/>
      <c r="E252" s="33"/>
      <c r="J252" s="14">
        <f t="shared" si="18"/>
        <v>0</v>
      </c>
      <c r="K252" s="2" t="str">
        <f t="shared" si="19"/>
        <v xml:space="preserve"> </v>
      </c>
      <c r="L252" s="2" t="str">
        <f t="shared" si="16"/>
        <v xml:space="preserve"> </v>
      </c>
      <c r="M252" s="2" t="str">
        <f t="shared" si="17"/>
        <v xml:space="preserve"> </v>
      </c>
    </row>
    <row r="253" spans="1:13" x14ac:dyDescent="0.25">
      <c r="A253" s="34" t="str">
        <f t="shared" si="15"/>
        <v xml:space="preserve"> </v>
      </c>
      <c r="D253" s="33"/>
      <c r="E253" s="33"/>
      <c r="J253" s="14">
        <f t="shared" si="18"/>
        <v>0</v>
      </c>
      <c r="K253" s="2" t="str">
        <f t="shared" si="19"/>
        <v xml:space="preserve"> </v>
      </c>
      <c r="L253" s="2" t="str">
        <f t="shared" si="16"/>
        <v xml:space="preserve"> </v>
      </c>
      <c r="M253" s="2" t="str">
        <f t="shared" si="17"/>
        <v xml:space="preserve"> </v>
      </c>
    </row>
    <row r="254" spans="1:13" x14ac:dyDescent="0.25">
      <c r="A254" s="34" t="str">
        <f t="shared" si="15"/>
        <v xml:space="preserve"> </v>
      </c>
      <c r="D254" s="33"/>
      <c r="E254" s="33"/>
      <c r="J254" s="14">
        <f t="shared" si="18"/>
        <v>0</v>
      </c>
      <c r="K254" s="2" t="str">
        <f t="shared" si="19"/>
        <v xml:space="preserve"> </v>
      </c>
      <c r="L254" s="2" t="str">
        <f t="shared" si="16"/>
        <v xml:space="preserve"> </v>
      </c>
      <c r="M254" s="2" t="str">
        <f t="shared" si="17"/>
        <v xml:space="preserve"> </v>
      </c>
    </row>
    <row r="255" spans="1:13" x14ac:dyDescent="0.25">
      <c r="A255" s="34" t="str">
        <f t="shared" si="15"/>
        <v xml:space="preserve"> </v>
      </c>
      <c r="D255" s="33"/>
      <c r="E255" s="33"/>
      <c r="J255" s="14">
        <f t="shared" si="18"/>
        <v>0</v>
      </c>
      <c r="K255" s="2" t="str">
        <f t="shared" si="19"/>
        <v xml:space="preserve"> </v>
      </c>
      <c r="L255" s="2" t="str">
        <f t="shared" si="16"/>
        <v xml:space="preserve"> </v>
      </c>
      <c r="M255" s="2" t="str">
        <f t="shared" si="17"/>
        <v xml:space="preserve"> </v>
      </c>
    </row>
    <row r="256" spans="1:13" x14ac:dyDescent="0.25">
      <c r="A256" s="34" t="str">
        <f t="shared" si="15"/>
        <v xml:space="preserve"> </v>
      </c>
      <c r="D256" s="33"/>
      <c r="E256" s="33"/>
      <c r="J256" s="14">
        <f t="shared" si="18"/>
        <v>0</v>
      </c>
      <c r="K256" s="2" t="str">
        <f t="shared" si="19"/>
        <v xml:space="preserve"> </v>
      </c>
      <c r="L256" s="2" t="str">
        <f t="shared" si="16"/>
        <v xml:space="preserve"> </v>
      </c>
      <c r="M256" s="2" t="str">
        <f t="shared" si="17"/>
        <v xml:space="preserve"> </v>
      </c>
    </row>
    <row r="257" spans="1:13" x14ac:dyDescent="0.25">
      <c r="A257" s="34" t="str">
        <f t="shared" si="15"/>
        <v xml:space="preserve"> </v>
      </c>
      <c r="D257" s="33"/>
      <c r="E257" s="33"/>
      <c r="J257" s="14">
        <f t="shared" si="18"/>
        <v>0</v>
      </c>
      <c r="K257" s="2" t="str">
        <f t="shared" si="19"/>
        <v xml:space="preserve"> </v>
      </c>
      <c r="L257" s="2" t="str">
        <f t="shared" si="16"/>
        <v xml:space="preserve"> </v>
      </c>
      <c r="M257" s="2" t="str">
        <f t="shared" si="17"/>
        <v xml:space="preserve"> </v>
      </c>
    </row>
    <row r="258" spans="1:13" x14ac:dyDescent="0.25">
      <c r="A258" s="34" t="str">
        <f t="shared" si="15"/>
        <v xml:space="preserve"> </v>
      </c>
      <c r="D258" s="33"/>
      <c r="E258" s="33"/>
      <c r="J258" s="14">
        <f t="shared" si="18"/>
        <v>0</v>
      </c>
      <c r="K258" s="2" t="str">
        <f t="shared" si="19"/>
        <v xml:space="preserve"> </v>
      </c>
      <c r="L258" s="2" t="str">
        <f t="shared" si="16"/>
        <v xml:space="preserve"> </v>
      </c>
      <c r="M258" s="2" t="str">
        <f t="shared" si="17"/>
        <v xml:space="preserve"> </v>
      </c>
    </row>
    <row r="259" spans="1:13" x14ac:dyDescent="0.25">
      <c r="A259" s="34" t="str">
        <f t="shared" si="15"/>
        <v xml:space="preserve"> </v>
      </c>
      <c r="D259" s="33"/>
      <c r="E259" s="33"/>
      <c r="J259" s="14">
        <f t="shared" si="18"/>
        <v>0</v>
      </c>
      <c r="K259" s="2" t="str">
        <f t="shared" si="19"/>
        <v xml:space="preserve"> </v>
      </c>
      <c r="L259" s="2" t="str">
        <f t="shared" si="16"/>
        <v xml:space="preserve"> </v>
      </c>
      <c r="M259" s="2" t="str">
        <f t="shared" si="17"/>
        <v xml:space="preserve"> </v>
      </c>
    </row>
    <row r="260" spans="1:13" x14ac:dyDescent="0.25">
      <c r="A260" s="34" t="str">
        <f t="shared" si="15"/>
        <v xml:space="preserve"> </v>
      </c>
      <c r="D260" s="33"/>
      <c r="E260" s="33"/>
      <c r="J260" s="14">
        <f t="shared" si="18"/>
        <v>0</v>
      </c>
      <c r="K260" s="2" t="str">
        <f t="shared" si="19"/>
        <v xml:space="preserve"> </v>
      </c>
      <c r="L260" s="2" t="str">
        <f t="shared" si="16"/>
        <v xml:space="preserve"> </v>
      </c>
      <c r="M260" s="2" t="str">
        <f t="shared" si="17"/>
        <v xml:space="preserve"> </v>
      </c>
    </row>
    <row r="261" spans="1:13" x14ac:dyDescent="0.25">
      <c r="A261" s="34" t="str">
        <f t="shared" si="15"/>
        <v xml:space="preserve"> </v>
      </c>
      <c r="D261" s="33"/>
      <c r="E261" s="33"/>
      <c r="J261" s="14">
        <f t="shared" si="18"/>
        <v>0</v>
      </c>
      <c r="K261" s="2" t="str">
        <f t="shared" si="19"/>
        <v xml:space="preserve"> </v>
      </c>
      <c r="L261" s="2" t="str">
        <f t="shared" si="16"/>
        <v xml:space="preserve"> </v>
      </c>
      <c r="M261" s="2" t="str">
        <f t="shared" si="17"/>
        <v xml:space="preserve"> </v>
      </c>
    </row>
    <row r="262" spans="1:13" x14ac:dyDescent="0.25">
      <c r="A262" s="34" t="str">
        <f t="shared" si="15"/>
        <v xml:space="preserve"> </v>
      </c>
      <c r="D262" s="33"/>
      <c r="E262" s="33"/>
      <c r="J262" s="14">
        <f t="shared" si="18"/>
        <v>0</v>
      </c>
      <c r="K262" s="2" t="str">
        <f t="shared" si="19"/>
        <v xml:space="preserve"> </v>
      </c>
      <c r="L262" s="2" t="str">
        <f t="shared" si="16"/>
        <v xml:space="preserve"> </v>
      </c>
      <c r="M262" s="2" t="str">
        <f t="shared" si="17"/>
        <v xml:space="preserve"> </v>
      </c>
    </row>
    <row r="263" spans="1:13" x14ac:dyDescent="0.25">
      <c r="A263" s="34" t="str">
        <f t="shared" si="15"/>
        <v xml:space="preserve"> </v>
      </c>
      <c r="D263" s="33"/>
      <c r="E263" s="33"/>
      <c r="J263" s="14">
        <f t="shared" si="18"/>
        <v>0</v>
      </c>
      <c r="K263" s="2" t="str">
        <f t="shared" si="19"/>
        <v xml:space="preserve"> </v>
      </c>
      <c r="L263" s="2" t="str">
        <f t="shared" si="16"/>
        <v xml:space="preserve"> </v>
      </c>
      <c r="M263" s="2" t="str">
        <f t="shared" si="17"/>
        <v xml:space="preserve"> </v>
      </c>
    </row>
    <row r="264" spans="1:13" x14ac:dyDescent="0.25">
      <c r="A264" s="34" t="str">
        <f t="shared" si="15"/>
        <v xml:space="preserve"> </v>
      </c>
      <c r="D264" s="33"/>
      <c r="E264" s="33"/>
      <c r="J264" s="14">
        <f t="shared" si="18"/>
        <v>0</v>
      </c>
      <c r="K264" s="2" t="str">
        <f t="shared" si="19"/>
        <v xml:space="preserve"> </v>
      </c>
      <c r="L264" s="2" t="str">
        <f t="shared" si="16"/>
        <v xml:space="preserve"> </v>
      </c>
      <c r="M264" s="2" t="str">
        <f t="shared" si="17"/>
        <v xml:space="preserve"> </v>
      </c>
    </row>
    <row r="265" spans="1:13" x14ac:dyDescent="0.25">
      <c r="A265" s="34" t="str">
        <f t="shared" si="15"/>
        <v xml:space="preserve"> </v>
      </c>
      <c r="D265" s="33"/>
      <c r="E265" s="33"/>
      <c r="J265" s="14">
        <f t="shared" si="18"/>
        <v>0</v>
      </c>
      <c r="K265" s="2" t="str">
        <f t="shared" si="19"/>
        <v xml:space="preserve"> </v>
      </c>
      <c r="L265" s="2" t="str">
        <f t="shared" si="16"/>
        <v xml:space="preserve"> </v>
      </c>
      <c r="M265" s="2" t="str">
        <f t="shared" si="17"/>
        <v xml:space="preserve"> </v>
      </c>
    </row>
    <row r="266" spans="1:13" x14ac:dyDescent="0.25">
      <c r="A266" s="34" t="str">
        <f t="shared" si="15"/>
        <v xml:space="preserve"> </v>
      </c>
      <c r="D266" s="33"/>
      <c r="E266" s="33"/>
      <c r="J266" s="14">
        <f t="shared" si="18"/>
        <v>0</v>
      </c>
      <c r="K266" s="2" t="str">
        <f t="shared" si="19"/>
        <v xml:space="preserve"> </v>
      </c>
      <c r="L266" s="2" t="str">
        <f t="shared" si="16"/>
        <v xml:space="preserve"> </v>
      </c>
      <c r="M266" s="2" t="str">
        <f t="shared" si="17"/>
        <v xml:space="preserve"> </v>
      </c>
    </row>
    <row r="267" spans="1:13" x14ac:dyDescent="0.25">
      <c r="A267" s="34" t="str">
        <f t="shared" si="15"/>
        <v xml:space="preserve"> </v>
      </c>
      <c r="D267" s="33"/>
      <c r="E267" s="33"/>
      <c r="J267" s="14">
        <f t="shared" si="18"/>
        <v>0</v>
      </c>
      <c r="K267" s="2" t="str">
        <f t="shared" si="19"/>
        <v xml:space="preserve"> </v>
      </c>
      <c r="L267" s="2" t="str">
        <f t="shared" si="16"/>
        <v xml:space="preserve"> </v>
      </c>
      <c r="M267" s="2" t="str">
        <f t="shared" si="17"/>
        <v xml:space="preserve"> </v>
      </c>
    </row>
    <row r="268" spans="1:13" x14ac:dyDescent="0.25">
      <c r="A268" s="34" t="str">
        <f t="shared" si="15"/>
        <v xml:space="preserve"> </v>
      </c>
      <c r="D268" s="33"/>
      <c r="E268" s="33"/>
      <c r="J268" s="14">
        <f t="shared" si="18"/>
        <v>0</v>
      </c>
      <c r="K268" s="2" t="str">
        <f t="shared" si="19"/>
        <v xml:space="preserve"> </v>
      </c>
      <c r="L268" s="2" t="str">
        <f t="shared" si="16"/>
        <v xml:space="preserve"> </v>
      </c>
      <c r="M268" s="2" t="str">
        <f t="shared" si="17"/>
        <v xml:space="preserve"> </v>
      </c>
    </row>
    <row r="269" spans="1:13" x14ac:dyDescent="0.25">
      <c r="A269" s="34" t="str">
        <f t="shared" si="15"/>
        <v xml:space="preserve"> </v>
      </c>
      <c r="D269" s="33"/>
      <c r="E269" s="33"/>
      <c r="J269" s="14">
        <f t="shared" si="18"/>
        <v>0</v>
      </c>
      <c r="K269" s="2" t="str">
        <f t="shared" si="19"/>
        <v xml:space="preserve"> </v>
      </c>
      <c r="L269" s="2" t="str">
        <f t="shared" si="16"/>
        <v xml:space="preserve"> </v>
      </c>
      <c r="M269" s="2" t="str">
        <f t="shared" si="17"/>
        <v xml:space="preserve"> </v>
      </c>
    </row>
    <row r="270" spans="1:13" x14ac:dyDescent="0.25">
      <c r="A270" s="34" t="str">
        <f t="shared" si="15"/>
        <v xml:space="preserve"> </v>
      </c>
      <c r="D270" s="33"/>
      <c r="E270" s="33"/>
      <c r="J270" s="14">
        <f t="shared" si="18"/>
        <v>0</v>
      </c>
      <c r="K270" s="2" t="str">
        <f t="shared" si="19"/>
        <v xml:space="preserve"> </v>
      </c>
      <c r="L270" s="2" t="str">
        <f t="shared" si="16"/>
        <v xml:space="preserve"> </v>
      </c>
      <c r="M270" s="2" t="str">
        <f t="shared" si="17"/>
        <v xml:space="preserve"> </v>
      </c>
    </row>
    <row r="271" spans="1:13" x14ac:dyDescent="0.25">
      <c r="A271" s="34" t="str">
        <f t="shared" ref="A271:A334" si="20">IF(COUNTIF(K271:M271,"ERROR")&gt;0,"ERROR"," ")</f>
        <v xml:space="preserve"> </v>
      </c>
      <c r="D271" s="33"/>
      <c r="E271" s="33"/>
      <c r="J271" s="14">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x14ac:dyDescent="0.25">
      <c r="A272" s="34" t="str">
        <f t="shared" si="20"/>
        <v xml:space="preserve"> </v>
      </c>
      <c r="D272" s="33"/>
      <c r="E272" s="33"/>
      <c r="J272" s="14">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4" t="str">
        <f t="shared" si="20"/>
        <v xml:space="preserve"> </v>
      </c>
      <c r="D273" s="33"/>
      <c r="E273" s="33"/>
      <c r="J273" s="14">
        <f t="shared" si="23"/>
        <v>0</v>
      </c>
      <c r="K273" s="2" t="str">
        <f t="shared" si="24"/>
        <v xml:space="preserve"> </v>
      </c>
      <c r="L273" s="2" t="str">
        <f t="shared" si="21"/>
        <v xml:space="preserve"> </v>
      </c>
      <c r="M273" s="2" t="str">
        <f t="shared" si="22"/>
        <v xml:space="preserve"> </v>
      </c>
    </row>
    <row r="274" spans="1:13" x14ac:dyDescent="0.25">
      <c r="A274" s="34" t="str">
        <f t="shared" si="20"/>
        <v xml:space="preserve"> </v>
      </c>
      <c r="D274" s="33"/>
      <c r="E274" s="33"/>
      <c r="J274" s="14">
        <f t="shared" si="23"/>
        <v>0</v>
      </c>
      <c r="K274" s="2" t="str">
        <f t="shared" si="24"/>
        <v xml:space="preserve"> </v>
      </c>
      <c r="L274" s="2" t="str">
        <f t="shared" si="21"/>
        <v xml:space="preserve"> </v>
      </c>
      <c r="M274" s="2" t="str">
        <f t="shared" si="22"/>
        <v xml:space="preserve"> </v>
      </c>
    </row>
    <row r="275" spans="1:13" x14ac:dyDescent="0.25">
      <c r="A275" s="34" t="str">
        <f t="shared" si="20"/>
        <v xml:space="preserve"> </v>
      </c>
      <c r="D275" s="33"/>
      <c r="E275" s="33"/>
      <c r="J275" s="14">
        <f t="shared" si="23"/>
        <v>0</v>
      </c>
      <c r="K275" s="2" t="str">
        <f t="shared" si="24"/>
        <v xml:space="preserve"> </v>
      </c>
      <c r="L275" s="2" t="str">
        <f t="shared" si="21"/>
        <v xml:space="preserve"> </v>
      </c>
      <c r="M275" s="2" t="str">
        <f t="shared" si="22"/>
        <v xml:space="preserve"> </v>
      </c>
    </row>
    <row r="276" spans="1:13" x14ac:dyDescent="0.25">
      <c r="A276" s="34" t="str">
        <f t="shared" si="20"/>
        <v xml:space="preserve"> </v>
      </c>
      <c r="D276" s="33"/>
      <c r="E276" s="33"/>
      <c r="J276" s="14">
        <f t="shared" si="23"/>
        <v>0</v>
      </c>
      <c r="K276" s="2" t="str">
        <f t="shared" si="24"/>
        <v xml:space="preserve"> </v>
      </c>
      <c r="L276" s="2" t="str">
        <f t="shared" si="21"/>
        <v xml:space="preserve"> </v>
      </c>
      <c r="M276" s="2" t="str">
        <f t="shared" si="22"/>
        <v xml:space="preserve"> </v>
      </c>
    </row>
    <row r="277" spans="1:13" x14ac:dyDescent="0.25">
      <c r="A277" s="34" t="str">
        <f t="shared" si="20"/>
        <v xml:space="preserve"> </v>
      </c>
      <c r="D277" s="33"/>
      <c r="E277" s="33"/>
      <c r="J277" s="14">
        <f t="shared" si="23"/>
        <v>0</v>
      </c>
      <c r="K277" s="2" t="str">
        <f t="shared" si="24"/>
        <v xml:space="preserve"> </v>
      </c>
      <c r="L277" s="2" t="str">
        <f t="shared" si="21"/>
        <v xml:space="preserve"> </v>
      </c>
      <c r="M277" s="2" t="str">
        <f t="shared" si="22"/>
        <v xml:space="preserve"> </v>
      </c>
    </row>
    <row r="278" spans="1:13" x14ac:dyDescent="0.25">
      <c r="A278" s="34" t="str">
        <f t="shared" si="20"/>
        <v xml:space="preserve"> </v>
      </c>
      <c r="D278" s="33"/>
      <c r="E278" s="33"/>
      <c r="J278" s="14">
        <f t="shared" si="23"/>
        <v>0</v>
      </c>
      <c r="K278" s="2" t="str">
        <f t="shared" si="24"/>
        <v xml:space="preserve"> </v>
      </c>
      <c r="L278" s="2" t="str">
        <f t="shared" si="21"/>
        <v xml:space="preserve"> </v>
      </c>
      <c r="M278" s="2" t="str">
        <f t="shared" si="22"/>
        <v xml:space="preserve"> </v>
      </c>
    </row>
    <row r="279" spans="1:13" x14ac:dyDescent="0.25">
      <c r="A279" s="34" t="str">
        <f t="shared" si="20"/>
        <v xml:space="preserve"> </v>
      </c>
      <c r="D279" s="33"/>
      <c r="E279" s="33"/>
      <c r="J279" s="14">
        <f t="shared" si="23"/>
        <v>0</v>
      </c>
      <c r="K279" s="2" t="str">
        <f t="shared" si="24"/>
        <v xml:space="preserve"> </v>
      </c>
      <c r="L279" s="2" t="str">
        <f t="shared" si="21"/>
        <v xml:space="preserve"> </v>
      </c>
      <c r="M279" s="2" t="str">
        <f t="shared" si="22"/>
        <v xml:space="preserve"> </v>
      </c>
    </row>
    <row r="280" spans="1:13" x14ac:dyDescent="0.25">
      <c r="A280" s="34" t="str">
        <f t="shared" si="20"/>
        <v xml:space="preserve"> </v>
      </c>
      <c r="D280" s="33"/>
      <c r="E280" s="33"/>
      <c r="J280" s="14">
        <f t="shared" si="23"/>
        <v>0</v>
      </c>
      <c r="K280" s="2" t="str">
        <f t="shared" si="24"/>
        <v xml:space="preserve"> </v>
      </c>
      <c r="L280" s="2" t="str">
        <f t="shared" si="21"/>
        <v xml:space="preserve"> </v>
      </c>
      <c r="M280" s="2" t="str">
        <f t="shared" si="22"/>
        <v xml:space="preserve"> </v>
      </c>
    </row>
    <row r="281" spans="1:13" x14ac:dyDescent="0.25">
      <c r="A281" s="34" t="str">
        <f t="shared" si="20"/>
        <v xml:space="preserve"> </v>
      </c>
      <c r="D281" s="33"/>
      <c r="E281" s="33"/>
      <c r="J281" s="14">
        <f t="shared" si="23"/>
        <v>0</v>
      </c>
      <c r="K281" s="2" t="str">
        <f t="shared" si="24"/>
        <v xml:space="preserve"> </v>
      </c>
      <c r="L281" s="2" t="str">
        <f t="shared" si="21"/>
        <v xml:space="preserve"> </v>
      </c>
      <c r="M281" s="2" t="str">
        <f t="shared" si="22"/>
        <v xml:space="preserve"> </v>
      </c>
    </row>
    <row r="282" spans="1:13" x14ac:dyDescent="0.25">
      <c r="A282" s="34" t="str">
        <f t="shared" si="20"/>
        <v xml:space="preserve"> </v>
      </c>
      <c r="D282" s="33"/>
      <c r="E282" s="33"/>
      <c r="J282" s="14">
        <f t="shared" si="23"/>
        <v>0</v>
      </c>
      <c r="K282" s="2" t="str">
        <f t="shared" si="24"/>
        <v xml:space="preserve"> </v>
      </c>
      <c r="L282" s="2" t="str">
        <f t="shared" si="21"/>
        <v xml:space="preserve"> </v>
      </c>
      <c r="M282" s="2" t="str">
        <f t="shared" si="22"/>
        <v xml:space="preserve"> </v>
      </c>
    </row>
    <row r="283" spans="1:13" x14ac:dyDescent="0.25">
      <c r="A283" s="34" t="str">
        <f t="shared" si="20"/>
        <v xml:space="preserve"> </v>
      </c>
      <c r="D283" s="33"/>
      <c r="E283" s="33"/>
      <c r="J283" s="14">
        <f t="shared" si="23"/>
        <v>0</v>
      </c>
      <c r="K283" s="2" t="str">
        <f t="shared" si="24"/>
        <v xml:space="preserve"> </v>
      </c>
      <c r="L283" s="2" t="str">
        <f t="shared" si="21"/>
        <v xml:space="preserve"> </v>
      </c>
      <c r="M283" s="2" t="str">
        <f t="shared" si="22"/>
        <v xml:space="preserve"> </v>
      </c>
    </row>
    <row r="284" spans="1:13" x14ac:dyDescent="0.25">
      <c r="A284" s="34" t="str">
        <f t="shared" si="20"/>
        <v xml:space="preserve"> </v>
      </c>
      <c r="D284" s="33"/>
      <c r="E284" s="33"/>
      <c r="J284" s="14">
        <f t="shared" si="23"/>
        <v>0</v>
      </c>
      <c r="K284" s="2" t="str">
        <f t="shared" si="24"/>
        <v xml:space="preserve"> </v>
      </c>
      <c r="L284" s="2" t="str">
        <f t="shared" si="21"/>
        <v xml:space="preserve"> </v>
      </c>
      <c r="M284" s="2" t="str">
        <f t="shared" si="22"/>
        <v xml:space="preserve"> </v>
      </c>
    </row>
    <row r="285" spans="1:13" x14ac:dyDescent="0.25">
      <c r="A285" s="34" t="str">
        <f t="shared" si="20"/>
        <v xml:space="preserve"> </v>
      </c>
      <c r="D285" s="33"/>
      <c r="E285" s="33"/>
      <c r="J285" s="14">
        <f t="shared" si="23"/>
        <v>0</v>
      </c>
      <c r="K285" s="2" t="str">
        <f t="shared" si="24"/>
        <v xml:space="preserve"> </v>
      </c>
      <c r="L285" s="2" t="str">
        <f t="shared" si="21"/>
        <v xml:space="preserve"> </v>
      </c>
      <c r="M285" s="2" t="str">
        <f t="shared" si="22"/>
        <v xml:space="preserve"> </v>
      </c>
    </row>
    <row r="286" spans="1:13" x14ac:dyDescent="0.25">
      <c r="A286" s="34" t="str">
        <f t="shared" si="20"/>
        <v xml:space="preserve"> </v>
      </c>
      <c r="D286" s="33"/>
      <c r="E286" s="33"/>
      <c r="J286" s="14">
        <f t="shared" si="23"/>
        <v>0</v>
      </c>
      <c r="K286" s="2" t="str">
        <f t="shared" si="24"/>
        <v xml:space="preserve"> </v>
      </c>
      <c r="L286" s="2" t="str">
        <f t="shared" si="21"/>
        <v xml:space="preserve"> </v>
      </c>
      <c r="M286" s="2" t="str">
        <f t="shared" si="22"/>
        <v xml:space="preserve"> </v>
      </c>
    </row>
    <row r="287" spans="1:13" x14ac:dyDescent="0.25">
      <c r="A287" s="34" t="str">
        <f t="shared" si="20"/>
        <v xml:space="preserve"> </v>
      </c>
      <c r="D287" s="33"/>
      <c r="E287" s="33"/>
      <c r="J287" s="14">
        <f t="shared" si="23"/>
        <v>0</v>
      </c>
      <c r="K287" s="2" t="str">
        <f t="shared" si="24"/>
        <v xml:space="preserve"> </v>
      </c>
      <c r="L287" s="2" t="str">
        <f t="shared" si="21"/>
        <v xml:space="preserve"> </v>
      </c>
      <c r="M287" s="2" t="str">
        <f t="shared" si="22"/>
        <v xml:space="preserve"> </v>
      </c>
    </row>
    <row r="288" spans="1:13" x14ac:dyDescent="0.25">
      <c r="A288" s="34" t="str">
        <f t="shared" si="20"/>
        <v xml:space="preserve"> </v>
      </c>
      <c r="D288" s="33"/>
      <c r="E288" s="33"/>
      <c r="J288" s="14">
        <f t="shared" si="23"/>
        <v>0</v>
      </c>
      <c r="K288" s="2" t="str">
        <f t="shared" si="24"/>
        <v xml:space="preserve"> </v>
      </c>
      <c r="L288" s="2" t="str">
        <f t="shared" si="21"/>
        <v xml:space="preserve"> </v>
      </c>
      <c r="M288" s="2" t="str">
        <f t="shared" si="22"/>
        <v xml:space="preserve"> </v>
      </c>
    </row>
    <row r="289" spans="1:13" x14ac:dyDescent="0.25">
      <c r="A289" s="34" t="str">
        <f t="shared" si="20"/>
        <v xml:space="preserve"> </v>
      </c>
      <c r="D289" s="33"/>
      <c r="E289" s="33"/>
      <c r="J289" s="14">
        <f t="shared" si="23"/>
        <v>0</v>
      </c>
      <c r="K289" s="2" t="str">
        <f t="shared" si="24"/>
        <v xml:space="preserve"> </v>
      </c>
      <c r="L289" s="2" t="str">
        <f t="shared" si="21"/>
        <v xml:space="preserve"> </v>
      </c>
      <c r="M289" s="2" t="str">
        <f t="shared" si="22"/>
        <v xml:space="preserve"> </v>
      </c>
    </row>
    <row r="290" spans="1:13" x14ac:dyDescent="0.25">
      <c r="A290" s="34" t="str">
        <f t="shared" si="20"/>
        <v xml:space="preserve"> </v>
      </c>
      <c r="D290" s="33"/>
      <c r="E290" s="33"/>
      <c r="J290" s="14">
        <f t="shared" si="23"/>
        <v>0</v>
      </c>
      <c r="K290" s="2" t="str">
        <f t="shared" si="24"/>
        <v xml:space="preserve"> </v>
      </c>
      <c r="L290" s="2" t="str">
        <f t="shared" si="21"/>
        <v xml:space="preserve"> </v>
      </c>
      <c r="M290" s="2" t="str">
        <f t="shared" si="22"/>
        <v xml:space="preserve"> </v>
      </c>
    </row>
    <row r="291" spans="1:13" x14ac:dyDescent="0.25">
      <c r="A291" s="34" t="str">
        <f t="shared" si="20"/>
        <v xml:space="preserve"> </v>
      </c>
      <c r="D291" s="33"/>
      <c r="E291" s="33"/>
      <c r="J291" s="14">
        <f t="shared" si="23"/>
        <v>0</v>
      </c>
      <c r="K291" s="2" t="str">
        <f t="shared" si="24"/>
        <v xml:space="preserve"> </v>
      </c>
      <c r="L291" s="2" t="str">
        <f t="shared" si="21"/>
        <v xml:space="preserve"> </v>
      </c>
      <c r="M291" s="2" t="str">
        <f t="shared" si="22"/>
        <v xml:space="preserve"> </v>
      </c>
    </row>
    <row r="292" spans="1:13" x14ac:dyDescent="0.25">
      <c r="A292" s="34" t="str">
        <f t="shared" si="20"/>
        <v xml:space="preserve"> </v>
      </c>
      <c r="D292" s="33"/>
      <c r="E292" s="33"/>
      <c r="J292" s="14">
        <f t="shared" si="23"/>
        <v>0</v>
      </c>
      <c r="K292" s="2" t="str">
        <f t="shared" si="24"/>
        <v xml:space="preserve"> </v>
      </c>
      <c r="L292" s="2" t="str">
        <f t="shared" si="21"/>
        <v xml:space="preserve"> </v>
      </c>
      <c r="M292" s="2" t="str">
        <f t="shared" si="22"/>
        <v xml:space="preserve"> </v>
      </c>
    </row>
    <row r="293" spans="1:13" x14ac:dyDescent="0.25">
      <c r="A293" s="34" t="str">
        <f t="shared" si="20"/>
        <v xml:space="preserve"> </v>
      </c>
      <c r="D293" s="33"/>
      <c r="E293" s="33"/>
      <c r="J293" s="14">
        <f t="shared" si="23"/>
        <v>0</v>
      </c>
      <c r="K293" s="2" t="str">
        <f t="shared" si="24"/>
        <v xml:space="preserve"> </v>
      </c>
      <c r="L293" s="2" t="str">
        <f t="shared" si="21"/>
        <v xml:space="preserve"> </v>
      </c>
      <c r="M293" s="2" t="str">
        <f t="shared" si="22"/>
        <v xml:space="preserve"> </v>
      </c>
    </row>
    <row r="294" spans="1:13" x14ac:dyDescent="0.25">
      <c r="A294" s="34" t="str">
        <f t="shared" si="20"/>
        <v xml:space="preserve"> </v>
      </c>
      <c r="D294" s="33"/>
      <c r="E294" s="33"/>
      <c r="J294" s="14">
        <f t="shared" si="23"/>
        <v>0</v>
      </c>
      <c r="K294" s="2" t="str">
        <f t="shared" si="24"/>
        <v xml:space="preserve"> </v>
      </c>
      <c r="L294" s="2" t="str">
        <f t="shared" si="21"/>
        <v xml:space="preserve"> </v>
      </c>
      <c r="M294" s="2" t="str">
        <f t="shared" si="22"/>
        <v xml:space="preserve"> </v>
      </c>
    </row>
    <row r="295" spans="1:13" x14ac:dyDescent="0.25">
      <c r="A295" s="34" t="str">
        <f t="shared" si="20"/>
        <v xml:space="preserve"> </v>
      </c>
      <c r="D295" s="33"/>
      <c r="E295" s="33"/>
      <c r="J295" s="14">
        <f t="shared" si="23"/>
        <v>0</v>
      </c>
      <c r="K295" s="2" t="str">
        <f t="shared" si="24"/>
        <v xml:space="preserve"> </v>
      </c>
      <c r="L295" s="2" t="str">
        <f t="shared" si="21"/>
        <v xml:space="preserve"> </v>
      </c>
      <c r="M295" s="2" t="str">
        <f t="shared" si="22"/>
        <v xml:space="preserve"> </v>
      </c>
    </row>
    <row r="296" spans="1:13" x14ac:dyDescent="0.25">
      <c r="A296" s="34" t="str">
        <f t="shared" si="20"/>
        <v xml:space="preserve"> </v>
      </c>
      <c r="D296" s="33"/>
      <c r="E296" s="33"/>
      <c r="J296" s="14">
        <f t="shared" si="23"/>
        <v>0</v>
      </c>
      <c r="K296" s="2" t="str">
        <f t="shared" si="24"/>
        <v xml:space="preserve"> </v>
      </c>
      <c r="L296" s="2" t="str">
        <f t="shared" si="21"/>
        <v xml:space="preserve"> </v>
      </c>
      <c r="M296" s="2" t="str">
        <f t="shared" si="22"/>
        <v xml:space="preserve"> </v>
      </c>
    </row>
    <row r="297" spans="1:13" x14ac:dyDescent="0.25">
      <c r="A297" s="34" t="str">
        <f t="shared" si="20"/>
        <v xml:space="preserve"> </v>
      </c>
      <c r="D297" s="33"/>
      <c r="E297" s="33"/>
      <c r="J297" s="14">
        <f t="shared" si="23"/>
        <v>0</v>
      </c>
      <c r="K297" s="2" t="str">
        <f t="shared" si="24"/>
        <v xml:space="preserve"> </v>
      </c>
      <c r="L297" s="2" t="str">
        <f t="shared" si="21"/>
        <v xml:space="preserve"> </v>
      </c>
      <c r="M297" s="2" t="str">
        <f t="shared" si="22"/>
        <v xml:space="preserve"> </v>
      </c>
    </row>
    <row r="298" spans="1:13" x14ac:dyDescent="0.25">
      <c r="A298" s="34" t="str">
        <f t="shared" si="20"/>
        <v xml:space="preserve"> </v>
      </c>
      <c r="D298" s="33"/>
      <c r="E298" s="33"/>
      <c r="J298" s="14">
        <f t="shared" si="23"/>
        <v>0</v>
      </c>
      <c r="K298" s="2" t="str">
        <f t="shared" si="24"/>
        <v xml:space="preserve"> </v>
      </c>
      <c r="L298" s="2" t="str">
        <f t="shared" si="21"/>
        <v xml:space="preserve"> </v>
      </c>
      <c r="M298" s="2" t="str">
        <f t="shared" si="22"/>
        <v xml:space="preserve"> </v>
      </c>
    </row>
    <row r="299" spans="1:13" x14ac:dyDescent="0.25">
      <c r="A299" s="34" t="str">
        <f t="shared" si="20"/>
        <v xml:space="preserve"> </v>
      </c>
      <c r="D299" s="33"/>
      <c r="E299" s="33"/>
      <c r="J299" s="14">
        <f t="shared" si="23"/>
        <v>0</v>
      </c>
      <c r="K299" s="2" t="str">
        <f t="shared" si="24"/>
        <v xml:space="preserve"> </v>
      </c>
      <c r="L299" s="2" t="str">
        <f t="shared" si="21"/>
        <v xml:space="preserve"> </v>
      </c>
      <c r="M299" s="2" t="str">
        <f t="shared" si="22"/>
        <v xml:space="preserve"> </v>
      </c>
    </row>
    <row r="300" spans="1:13" x14ac:dyDescent="0.25">
      <c r="A300" s="34" t="str">
        <f t="shared" si="20"/>
        <v xml:space="preserve"> </v>
      </c>
      <c r="D300" s="33"/>
      <c r="E300" s="33"/>
      <c r="J300" s="14">
        <f t="shared" si="23"/>
        <v>0</v>
      </c>
      <c r="K300" s="2" t="str">
        <f t="shared" si="24"/>
        <v xml:space="preserve"> </v>
      </c>
      <c r="L300" s="2" t="str">
        <f t="shared" si="21"/>
        <v xml:space="preserve"> </v>
      </c>
      <c r="M300" s="2" t="str">
        <f t="shared" si="22"/>
        <v xml:space="preserve"> </v>
      </c>
    </row>
    <row r="301" spans="1:13" x14ac:dyDescent="0.25">
      <c r="A301" s="34" t="str">
        <f t="shared" si="20"/>
        <v xml:space="preserve"> </v>
      </c>
      <c r="D301" s="33"/>
      <c r="E301" s="33"/>
      <c r="J301" s="14">
        <f t="shared" si="23"/>
        <v>0</v>
      </c>
      <c r="K301" s="2" t="str">
        <f t="shared" si="24"/>
        <v xml:space="preserve"> </v>
      </c>
      <c r="L301" s="2" t="str">
        <f t="shared" si="21"/>
        <v xml:space="preserve"> </v>
      </c>
      <c r="M301" s="2" t="str">
        <f t="shared" si="22"/>
        <v xml:space="preserve"> </v>
      </c>
    </row>
    <row r="302" spans="1:13" x14ac:dyDescent="0.25">
      <c r="A302" s="34" t="str">
        <f t="shared" si="20"/>
        <v xml:space="preserve"> </v>
      </c>
      <c r="D302" s="33"/>
      <c r="E302" s="33"/>
      <c r="J302" s="14">
        <f t="shared" si="23"/>
        <v>0</v>
      </c>
      <c r="K302" s="2" t="str">
        <f t="shared" si="24"/>
        <v xml:space="preserve"> </v>
      </c>
      <c r="L302" s="2" t="str">
        <f t="shared" si="21"/>
        <v xml:space="preserve"> </v>
      </c>
      <c r="M302" s="2" t="str">
        <f t="shared" si="22"/>
        <v xml:space="preserve"> </v>
      </c>
    </row>
    <row r="303" spans="1:13" x14ac:dyDescent="0.25">
      <c r="A303" s="34" t="str">
        <f t="shared" si="20"/>
        <v xml:space="preserve"> </v>
      </c>
      <c r="D303" s="33"/>
      <c r="E303" s="33"/>
      <c r="J303" s="14">
        <f t="shared" si="23"/>
        <v>0</v>
      </c>
      <c r="K303" s="2" t="str">
        <f t="shared" si="24"/>
        <v xml:space="preserve"> </v>
      </c>
      <c r="L303" s="2" t="str">
        <f t="shared" si="21"/>
        <v xml:space="preserve"> </v>
      </c>
      <c r="M303" s="2" t="str">
        <f t="shared" si="22"/>
        <v xml:space="preserve"> </v>
      </c>
    </row>
    <row r="304" spans="1:13" x14ac:dyDescent="0.25">
      <c r="A304" s="34" t="str">
        <f t="shared" si="20"/>
        <v xml:space="preserve"> </v>
      </c>
      <c r="D304" s="33"/>
      <c r="E304" s="33"/>
      <c r="J304" s="14">
        <f t="shared" si="23"/>
        <v>0</v>
      </c>
      <c r="K304" s="2" t="str">
        <f t="shared" si="24"/>
        <v xml:space="preserve"> </v>
      </c>
      <c r="L304" s="2" t="str">
        <f t="shared" si="21"/>
        <v xml:space="preserve"> </v>
      </c>
      <c r="M304" s="2" t="str">
        <f t="shared" si="22"/>
        <v xml:space="preserve"> </v>
      </c>
    </row>
    <row r="305" spans="1:13" x14ac:dyDescent="0.25">
      <c r="A305" s="34" t="str">
        <f t="shared" si="20"/>
        <v xml:space="preserve"> </v>
      </c>
      <c r="D305" s="33"/>
      <c r="E305" s="33"/>
      <c r="J305" s="14">
        <f t="shared" si="23"/>
        <v>0</v>
      </c>
      <c r="K305" s="2" t="str">
        <f t="shared" si="24"/>
        <v xml:space="preserve"> </v>
      </c>
      <c r="L305" s="2" t="str">
        <f t="shared" si="21"/>
        <v xml:space="preserve"> </v>
      </c>
      <c r="M305" s="2" t="str">
        <f t="shared" si="22"/>
        <v xml:space="preserve"> </v>
      </c>
    </row>
    <row r="306" spans="1:13" x14ac:dyDescent="0.25">
      <c r="A306" s="34" t="str">
        <f t="shared" si="20"/>
        <v xml:space="preserve"> </v>
      </c>
      <c r="D306" s="33"/>
      <c r="E306" s="33"/>
      <c r="J306" s="14">
        <f t="shared" si="23"/>
        <v>0</v>
      </c>
      <c r="K306" s="2" t="str">
        <f t="shared" si="24"/>
        <v xml:space="preserve"> </v>
      </c>
      <c r="L306" s="2" t="str">
        <f t="shared" si="21"/>
        <v xml:space="preserve"> </v>
      </c>
      <c r="M306" s="2" t="str">
        <f t="shared" si="22"/>
        <v xml:space="preserve"> </v>
      </c>
    </row>
    <row r="307" spans="1:13" x14ac:dyDescent="0.25">
      <c r="A307" s="34" t="str">
        <f t="shared" si="20"/>
        <v xml:space="preserve"> </v>
      </c>
      <c r="D307" s="33"/>
      <c r="E307" s="33"/>
      <c r="J307" s="14">
        <f t="shared" si="23"/>
        <v>0</v>
      </c>
      <c r="K307" s="2" t="str">
        <f t="shared" si="24"/>
        <v xml:space="preserve"> </v>
      </c>
      <c r="L307" s="2" t="str">
        <f t="shared" si="21"/>
        <v xml:space="preserve"> </v>
      </c>
      <c r="M307" s="2" t="str">
        <f t="shared" si="22"/>
        <v xml:space="preserve"> </v>
      </c>
    </row>
    <row r="308" spans="1:13" x14ac:dyDescent="0.25">
      <c r="A308" s="34" t="str">
        <f t="shared" si="20"/>
        <v xml:space="preserve"> </v>
      </c>
      <c r="D308" s="33"/>
      <c r="E308" s="33"/>
      <c r="J308" s="14">
        <f t="shared" si="23"/>
        <v>0</v>
      </c>
      <c r="K308" s="2" t="str">
        <f t="shared" si="24"/>
        <v xml:space="preserve"> </v>
      </c>
      <c r="L308" s="2" t="str">
        <f t="shared" si="21"/>
        <v xml:space="preserve"> </v>
      </c>
      <c r="M308" s="2" t="str">
        <f t="shared" si="22"/>
        <v xml:space="preserve"> </v>
      </c>
    </row>
    <row r="309" spans="1:13" x14ac:dyDescent="0.25">
      <c r="A309" s="34" t="str">
        <f t="shared" si="20"/>
        <v xml:space="preserve"> </v>
      </c>
      <c r="D309" s="33"/>
      <c r="E309" s="33"/>
      <c r="J309" s="14">
        <f t="shared" si="23"/>
        <v>0</v>
      </c>
      <c r="K309" s="2" t="str">
        <f t="shared" si="24"/>
        <v xml:space="preserve"> </v>
      </c>
      <c r="L309" s="2" t="str">
        <f t="shared" si="21"/>
        <v xml:space="preserve"> </v>
      </c>
      <c r="M309" s="2" t="str">
        <f t="shared" si="22"/>
        <v xml:space="preserve"> </v>
      </c>
    </row>
    <row r="310" spans="1:13" x14ac:dyDescent="0.25">
      <c r="A310" s="34" t="str">
        <f t="shared" si="20"/>
        <v xml:space="preserve"> </v>
      </c>
      <c r="D310" s="33"/>
      <c r="E310" s="33"/>
      <c r="J310" s="14">
        <f t="shared" si="23"/>
        <v>0</v>
      </c>
      <c r="K310" s="2" t="str">
        <f t="shared" si="24"/>
        <v xml:space="preserve"> </v>
      </c>
      <c r="L310" s="2" t="str">
        <f t="shared" si="21"/>
        <v xml:space="preserve"> </v>
      </c>
      <c r="M310" s="2" t="str">
        <f t="shared" si="22"/>
        <v xml:space="preserve"> </v>
      </c>
    </row>
    <row r="311" spans="1:13" x14ac:dyDescent="0.25">
      <c r="A311" s="34" t="str">
        <f t="shared" si="20"/>
        <v xml:space="preserve"> </v>
      </c>
      <c r="D311" s="33"/>
      <c r="E311" s="33"/>
      <c r="J311" s="14">
        <f t="shared" si="23"/>
        <v>0</v>
      </c>
      <c r="K311" s="2" t="str">
        <f t="shared" si="24"/>
        <v xml:space="preserve"> </v>
      </c>
      <c r="L311" s="2" t="str">
        <f t="shared" si="21"/>
        <v xml:space="preserve"> </v>
      </c>
      <c r="M311" s="2" t="str">
        <f t="shared" si="22"/>
        <v xml:space="preserve"> </v>
      </c>
    </row>
    <row r="312" spans="1:13" x14ac:dyDescent="0.25">
      <c r="A312" s="34" t="str">
        <f t="shared" si="20"/>
        <v xml:space="preserve"> </v>
      </c>
      <c r="D312" s="33"/>
      <c r="E312" s="33"/>
      <c r="J312" s="14">
        <f t="shared" si="23"/>
        <v>0</v>
      </c>
      <c r="K312" s="2" t="str">
        <f t="shared" si="24"/>
        <v xml:space="preserve"> </v>
      </c>
      <c r="L312" s="2" t="str">
        <f t="shared" si="21"/>
        <v xml:space="preserve"> </v>
      </c>
      <c r="M312" s="2" t="str">
        <f t="shared" si="22"/>
        <v xml:space="preserve"> </v>
      </c>
    </row>
    <row r="313" spans="1:13" x14ac:dyDescent="0.25">
      <c r="A313" s="34" t="str">
        <f t="shared" si="20"/>
        <v xml:space="preserve"> </v>
      </c>
      <c r="D313" s="33"/>
      <c r="E313" s="33"/>
      <c r="J313" s="14">
        <f t="shared" si="23"/>
        <v>0</v>
      </c>
      <c r="K313" s="2" t="str">
        <f t="shared" si="24"/>
        <v xml:space="preserve"> </v>
      </c>
      <c r="L313" s="2" t="str">
        <f t="shared" si="21"/>
        <v xml:space="preserve"> </v>
      </c>
      <c r="M313" s="2" t="str">
        <f t="shared" si="22"/>
        <v xml:space="preserve"> </v>
      </c>
    </row>
    <row r="314" spans="1:13" x14ac:dyDescent="0.25">
      <c r="A314" s="34" t="str">
        <f t="shared" si="20"/>
        <v xml:space="preserve"> </v>
      </c>
      <c r="D314" s="33"/>
      <c r="E314" s="33"/>
      <c r="J314" s="14">
        <f t="shared" si="23"/>
        <v>0</v>
      </c>
      <c r="K314" s="2" t="str">
        <f t="shared" si="24"/>
        <v xml:space="preserve"> </v>
      </c>
      <c r="L314" s="2" t="str">
        <f t="shared" si="21"/>
        <v xml:space="preserve"> </v>
      </c>
      <c r="M314" s="2" t="str">
        <f t="shared" si="22"/>
        <v xml:space="preserve"> </v>
      </c>
    </row>
    <row r="315" spans="1:13" x14ac:dyDescent="0.25">
      <c r="A315" s="34" t="str">
        <f t="shared" si="20"/>
        <v xml:space="preserve"> </v>
      </c>
      <c r="D315" s="33"/>
      <c r="E315" s="33"/>
      <c r="J315" s="14">
        <f t="shared" si="23"/>
        <v>0</v>
      </c>
      <c r="K315" s="2" t="str">
        <f t="shared" si="24"/>
        <v xml:space="preserve"> </v>
      </c>
      <c r="L315" s="2" t="str">
        <f t="shared" si="21"/>
        <v xml:space="preserve"> </v>
      </c>
      <c r="M315" s="2" t="str">
        <f t="shared" si="22"/>
        <v xml:space="preserve"> </v>
      </c>
    </row>
    <row r="316" spans="1:13" x14ac:dyDescent="0.25">
      <c r="A316" s="34" t="str">
        <f t="shared" si="20"/>
        <v xml:space="preserve"> </v>
      </c>
      <c r="D316" s="33"/>
      <c r="E316" s="33"/>
      <c r="J316" s="14">
        <f t="shared" si="23"/>
        <v>0</v>
      </c>
      <c r="K316" s="2" t="str">
        <f t="shared" si="24"/>
        <v xml:space="preserve"> </v>
      </c>
      <c r="L316" s="2" t="str">
        <f t="shared" si="21"/>
        <v xml:space="preserve"> </v>
      </c>
      <c r="M316" s="2" t="str">
        <f t="shared" si="22"/>
        <v xml:space="preserve"> </v>
      </c>
    </row>
    <row r="317" spans="1:13" x14ac:dyDescent="0.25">
      <c r="A317" s="34" t="str">
        <f t="shared" si="20"/>
        <v xml:space="preserve"> </v>
      </c>
      <c r="D317" s="33"/>
      <c r="E317" s="33"/>
      <c r="J317" s="14">
        <f t="shared" si="23"/>
        <v>0</v>
      </c>
      <c r="K317" s="2" t="str">
        <f t="shared" si="24"/>
        <v xml:space="preserve"> </v>
      </c>
      <c r="L317" s="2" t="str">
        <f t="shared" si="21"/>
        <v xml:space="preserve"> </v>
      </c>
      <c r="M317" s="2" t="str">
        <f t="shared" si="22"/>
        <v xml:space="preserve"> </v>
      </c>
    </row>
    <row r="318" spans="1:13" x14ac:dyDescent="0.25">
      <c r="A318" s="34" t="str">
        <f t="shared" si="20"/>
        <v xml:space="preserve"> </v>
      </c>
      <c r="D318" s="33"/>
      <c r="E318" s="33"/>
      <c r="J318" s="14">
        <f t="shared" si="23"/>
        <v>0</v>
      </c>
      <c r="K318" s="2" t="str">
        <f t="shared" si="24"/>
        <v xml:space="preserve"> </v>
      </c>
      <c r="L318" s="2" t="str">
        <f t="shared" si="21"/>
        <v xml:space="preserve"> </v>
      </c>
      <c r="M318" s="2" t="str">
        <f t="shared" si="22"/>
        <v xml:space="preserve"> </v>
      </c>
    </row>
    <row r="319" spans="1:13" x14ac:dyDescent="0.25">
      <c r="A319" s="34" t="str">
        <f t="shared" si="20"/>
        <v xml:space="preserve"> </v>
      </c>
      <c r="D319" s="33"/>
      <c r="E319" s="33"/>
      <c r="J319" s="14">
        <f t="shared" si="23"/>
        <v>0</v>
      </c>
      <c r="K319" s="2" t="str">
        <f t="shared" si="24"/>
        <v xml:space="preserve"> </v>
      </c>
      <c r="L319" s="2" t="str">
        <f t="shared" si="21"/>
        <v xml:space="preserve"> </v>
      </c>
      <c r="M319" s="2" t="str">
        <f t="shared" si="22"/>
        <v xml:space="preserve"> </v>
      </c>
    </row>
    <row r="320" spans="1:13" x14ac:dyDescent="0.25">
      <c r="A320" s="34" t="str">
        <f t="shared" si="20"/>
        <v xml:space="preserve"> </v>
      </c>
      <c r="D320" s="33"/>
      <c r="E320" s="33"/>
      <c r="J320" s="14">
        <f t="shared" si="23"/>
        <v>0</v>
      </c>
      <c r="K320" s="2" t="str">
        <f t="shared" si="24"/>
        <v xml:space="preserve"> </v>
      </c>
      <c r="L320" s="2" t="str">
        <f t="shared" si="21"/>
        <v xml:space="preserve"> </v>
      </c>
      <c r="M320" s="2" t="str">
        <f t="shared" si="22"/>
        <v xml:space="preserve"> </v>
      </c>
    </row>
    <row r="321" spans="1:13" x14ac:dyDescent="0.25">
      <c r="A321" s="34" t="str">
        <f t="shared" si="20"/>
        <v xml:space="preserve"> </v>
      </c>
      <c r="D321" s="33"/>
      <c r="E321" s="33"/>
      <c r="J321" s="14">
        <f t="shared" si="23"/>
        <v>0</v>
      </c>
      <c r="K321" s="2" t="str">
        <f t="shared" si="24"/>
        <v xml:space="preserve"> </v>
      </c>
      <c r="L321" s="2" t="str">
        <f t="shared" si="21"/>
        <v xml:space="preserve"> </v>
      </c>
      <c r="M321" s="2" t="str">
        <f t="shared" si="22"/>
        <v xml:space="preserve"> </v>
      </c>
    </row>
    <row r="322" spans="1:13" x14ac:dyDescent="0.25">
      <c r="A322" s="34" t="str">
        <f t="shared" si="20"/>
        <v xml:space="preserve"> </v>
      </c>
      <c r="D322" s="33"/>
      <c r="E322" s="33"/>
      <c r="J322" s="14">
        <f t="shared" si="23"/>
        <v>0</v>
      </c>
      <c r="K322" s="2" t="str">
        <f t="shared" si="24"/>
        <v xml:space="preserve"> </v>
      </c>
      <c r="L322" s="2" t="str">
        <f t="shared" si="21"/>
        <v xml:space="preserve"> </v>
      </c>
      <c r="M322" s="2" t="str">
        <f t="shared" si="22"/>
        <v xml:space="preserve"> </v>
      </c>
    </row>
    <row r="323" spans="1:13" x14ac:dyDescent="0.25">
      <c r="A323" s="34" t="str">
        <f t="shared" si="20"/>
        <v xml:space="preserve"> </v>
      </c>
      <c r="D323" s="33"/>
      <c r="E323" s="33"/>
      <c r="J323" s="14">
        <f t="shared" si="23"/>
        <v>0</v>
      </c>
      <c r="K323" s="2" t="str">
        <f t="shared" si="24"/>
        <v xml:space="preserve"> </v>
      </c>
      <c r="L323" s="2" t="str">
        <f t="shared" si="21"/>
        <v xml:space="preserve"> </v>
      </c>
      <c r="M323" s="2" t="str">
        <f t="shared" si="22"/>
        <v xml:space="preserve"> </v>
      </c>
    </row>
    <row r="324" spans="1:13" x14ac:dyDescent="0.25">
      <c r="A324" s="34" t="str">
        <f t="shared" si="20"/>
        <v xml:space="preserve"> </v>
      </c>
      <c r="D324" s="33"/>
      <c r="E324" s="33"/>
      <c r="J324" s="14">
        <f t="shared" si="23"/>
        <v>0</v>
      </c>
      <c r="K324" s="2" t="str">
        <f t="shared" si="24"/>
        <v xml:space="preserve"> </v>
      </c>
      <c r="L324" s="2" t="str">
        <f t="shared" si="21"/>
        <v xml:space="preserve"> </v>
      </c>
      <c r="M324" s="2" t="str">
        <f t="shared" si="22"/>
        <v xml:space="preserve"> </v>
      </c>
    </row>
    <row r="325" spans="1:13" x14ac:dyDescent="0.25">
      <c r="A325" s="34" t="str">
        <f t="shared" si="20"/>
        <v xml:space="preserve"> </v>
      </c>
      <c r="D325" s="33"/>
      <c r="E325" s="33"/>
      <c r="J325" s="14">
        <f t="shared" si="23"/>
        <v>0</v>
      </c>
      <c r="K325" s="2" t="str">
        <f t="shared" si="24"/>
        <v xml:space="preserve"> </v>
      </c>
      <c r="L325" s="2" t="str">
        <f t="shared" si="21"/>
        <v xml:space="preserve"> </v>
      </c>
      <c r="M325" s="2" t="str">
        <f t="shared" si="22"/>
        <v xml:space="preserve"> </v>
      </c>
    </row>
    <row r="326" spans="1:13" x14ac:dyDescent="0.25">
      <c r="A326" s="34" t="str">
        <f t="shared" si="20"/>
        <v xml:space="preserve"> </v>
      </c>
      <c r="D326" s="33"/>
      <c r="E326" s="33"/>
      <c r="J326" s="14">
        <f t="shared" si="23"/>
        <v>0</v>
      </c>
      <c r="K326" s="2" t="str">
        <f t="shared" si="24"/>
        <v xml:space="preserve"> </v>
      </c>
      <c r="L326" s="2" t="str">
        <f t="shared" si="21"/>
        <v xml:space="preserve"> </v>
      </c>
      <c r="M326" s="2" t="str">
        <f t="shared" si="22"/>
        <v xml:space="preserve"> </v>
      </c>
    </row>
    <row r="327" spans="1:13" x14ac:dyDescent="0.25">
      <c r="A327" s="34" t="str">
        <f t="shared" si="20"/>
        <v xml:space="preserve"> </v>
      </c>
      <c r="D327" s="33"/>
      <c r="E327" s="33"/>
      <c r="J327" s="14">
        <f t="shared" si="23"/>
        <v>0</v>
      </c>
      <c r="K327" s="2" t="str">
        <f t="shared" si="24"/>
        <v xml:space="preserve"> </v>
      </c>
      <c r="L327" s="2" t="str">
        <f t="shared" si="21"/>
        <v xml:space="preserve"> </v>
      </c>
      <c r="M327" s="2" t="str">
        <f t="shared" si="22"/>
        <v xml:space="preserve"> </v>
      </c>
    </row>
    <row r="328" spans="1:13" x14ac:dyDescent="0.25">
      <c r="A328" s="34" t="str">
        <f t="shared" si="20"/>
        <v xml:space="preserve"> </v>
      </c>
      <c r="D328" s="33"/>
      <c r="E328" s="33"/>
      <c r="J328" s="14">
        <f t="shared" si="23"/>
        <v>0</v>
      </c>
      <c r="K328" s="2" t="str">
        <f t="shared" si="24"/>
        <v xml:space="preserve"> </v>
      </c>
      <c r="L328" s="2" t="str">
        <f t="shared" si="21"/>
        <v xml:space="preserve"> </v>
      </c>
      <c r="M328" s="2" t="str">
        <f t="shared" si="22"/>
        <v xml:space="preserve"> </v>
      </c>
    </row>
    <row r="329" spans="1:13" x14ac:dyDescent="0.25">
      <c r="A329" s="34" t="str">
        <f t="shared" si="20"/>
        <v xml:space="preserve"> </v>
      </c>
      <c r="D329" s="33"/>
      <c r="E329" s="33"/>
      <c r="J329" s="14">
        <f t="shared" si="23"/>
        <v>0</v>
      </c>
      <c r="K329" s="2" t="str">
        <f t="shared" si="24"/>
        <v xml:space="preserve"> </v>
      </c>
      <c r="L329" s="2" t="str">
        <f t="shared" si="21"/>
        <v xml:space="preserve"> </v>
      </c>
      <c r="M329" s="2" t="str">
        <f t="shared" si="22"/>
        <v xml:space="preserve"> </v>
      </c>
    </row>
    <row r="330" spans="1:13" x14ac:dyDescent="0.25">
      <c r="A330" s="34" t="str">
        <f t="shared" si="20"/>
        <v xml:space="preserve"> </v>
      </c>
      <c r="D330" s="33"/>
      <c r="E330" s="33"/>
      <c r="J330" s="14">
        <f t="shared" si="23"/>
        <v>0</v>
      </c>
      <c r="K330" s="2" t="str">
        <f t="shared" si="24"/>
        <v xml:space="preserve"> </v>
      </c>
      <c r="L330" s="2" t="str">
        <f t="shared" si="21"/>
        <v xml:space="preserve"> </v>
      </c>
      <c r="M330" s="2" t="str">
        <f t="shared" si="22"/>
        <v xml:space="preserve"> </v>
      </c>
    </row>
    <row r="331" spans="1:13" x14ac:dyDescent="0.25">
      <c r="A331" s="34" t="str">
        <f t="shared" si="20"/>
        <v xml:space="preserve"> </v>
      </c>
      <c r="D331" s="33"/>
      <c r="E331" s="33"/>
      <c r="J331" s="14">
        <f t="shared" si="23"/>
        <v>0</v>
      </c>
      <c r="K331" s="2" t="str">
        <f t="shared" si="24"/>
        <v xml:space="preserve"> </v>
      </c>
      <c r="L331" s="2" t="str">
        <f t="shared" si="21"/>
        <v xml:space="preserve"> </v>
      </c>
      <c r="M331" s="2" t="str">
        <f t="shared" si="22"/>
        <v xml:space="preserve"> </v>
      </c>
    </row>
    <row r="332" spans="1:13" x14ac:dyDescent="0.25">
      <c r="A332" s="34" t="str">
        <f t="shared" si="20"/>
        <v xml:space="preserve"> </v>
      </c>
      <c r="D332" s="33"/>
      <c r="E332" s="33"/>
      <c r="J332" s="14">
        <f t="shared" si="23"/>
        <v>0</v>
      </c>
      <c r="K332" s="2" t="str">
        <f t="shared" si="24"/>
        <v xml:space="preserve"> </v>
      </c>
      <c r="L332" s="2" t="str">
        <f t="shared" si="21"/>
        <v xml:space="preserve"> </v>
      </c>
      <c r="M332" s="2" t="str">
        <f t="shared" si="22"/>
        <v xml:space="preserve"> </v>
      </c>
    </row>
    <row r="333" spans="1:13" x14ac:dyDescent="0.25">
      <c r="A333" s="34" t="str">
        <f t="shared" si="20"/>
        <v xml:space="preserve"> </v>
      </c>
      <c r="D333" s="33"/>
      <c r="E333" s="33"/>
      <c r="J333" s="14">
        <f t="shared" si="23"/>
        <v>0</v>
      </c>
      <c r="K333" s="2" t="str">
        <f t="shared" si="24"/>
        <v xml:space="preserve"> </v>
      </c>
      <c r="L333" s="2" t="str">
        <f t="shared" si="21"/>
        <v xml:space="preserve"> </v>
      </c>
      <c r="M333" s="2" t="str">
        <f t="shared" si="22"/>
        <v xml:space="preserve"> </v>
      </c>
    </row>
    <row r="334" spans="1:13" x14ac:dyDescent="0.25">
      <c r="A334" s="34" t="str">
        <f t="shared" si="20"/>
        <v xml:space="preserve"> </v>
      </c>
      <c r="D334" s="33"/>
      <c r="E334" s="33"/>
      <c r="J334" s="14">
        <f t="shared" si="23"/>
        <v>0</v>
      </c>
      <c r="K334" s="2" t="str">
        <f t="shared" si="24"/>
        <v xml:space="preserve"> </v>
      </c>
      <c r="L334" s="2" t="str">
        <f t="shared" si="21"/>
        <v xml:space="preserve"> </v>
      </c>
      <c r="M334" s="2" t="str">
        <f t="shared" si="22"/>
        <v xml:space="preserve"> </v>
      </c>
    </row>
    <row r="335" spans="1:13" x14ac:dyDescent="0.25">
      <c r="A335" s="34" t="str">
        <f t="shared" ref="A335:A398" si="25">IF(COUNTIF(K335:M335,"ERROR")&gt;0,"ERROR"," ")</f>
        <v xml:space="preserve"> </v>
      </c>
      <c r="D335" s="33"/>
      <c r="E335" s="33"/>
      <c r="J335" s="14">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x14ac:dyDescent="0.25">
      <c r="A336" s="34" t="str">
        <f t="shared" si="25"/>
        <v xml:space="preserve"> </v>
      </c>
      <c r="D336" s="33"/>
      <c r="E336" s="33"/>
      <c r="J336" s="14">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4" t="str">
        <f t="shared" si="25"/>
        <v xml:space="preserve"> </v>
      </c>
      <c r="D337" s="33"/>
      <c r="E337" s="33"/>
      <c r="J337" s="14">
        <f t="shared" si="28"/>
        <v>0</v>
      </c>
      <c r="K337" s="2" t="str">
        <f t="shared" si="29"/>
        <v xml:space="preserve"> </v>
      </c>
      <c r="L337" s="2" t="str">
        <f t="shared" si="26"/>
        <v xml:space="preserve"> </v>
      </c>
      <c r="M337" s="2" t="str">
        <f t="shared" si="27"/>
        <v xml:space="preserve"> </v>
      </c>
    </row>
    <row r="338" spans="1:13" x14ac:dyDescent="0.25">
      <c r="A338" s="34" t="str">
        <f t="shared" si="25"/>
        <v xml:space="preserve"> </v>
      </c>
      <c r="D338" s="33"/>
      <c r="E338" s="33"/>
      <c r="J338" s="14">
        <f t="shared" si="28"/>
        <v>0</v>
      </c>
      <c r="K338" s="2" t="str">
        <f t="shared" si="29"/>
        <v xml:space="preserve"> </v>
      </c>
      <c r="L338" s="2" t="str">
        <f t="shared" si="26"/>
        <v xml:space="preserve"> </v>
      </c>
      <c r="M338" s="2" t="str">
        <f t="shared" si="27"/>
        <v xml:space="preserve"> </v>
      </c>
    </row>
    <row r="339" spans="1:13" x14ac:dyDescent="0.25">
      <c r="A339" s="34" t="str">
        <f t="shared" si="25"/>
        <v xml:space="preserve"> </v>
      </c>
      <c r="D339" s="33"/>
      <c r="E339" s="33"/>
      <c r="J339" s="14">
        <f t="shared" si="28"/>
        <v>0</v>
      </c>
      <c r="K339" s="2" t="str">
        <f t="shared" si="29"/>
        <v xml:space="preserve"> </v>
      </c>
      <c r="L339" s="2" t="str">
        <f t="shared" si="26"/>
        <v xml:space="preserve"> </v>
      </c>
      <c r="M339" s="2" t="str">
        <f t="shared" si="27"/>
        <v xml:space="preserve"> </v>
      </c>
    </row>
    <row r="340" spans="1:13" x14ac:dyDescent="0.25">
      <c r="A340" s="34" t="str">
        <f t="shared" si="25"/>
        <v xml:space="preserve"> </v>
      </c>
      <c r="D340" s="33"/>
      <c r="E340" s="33"/>
      <c r="J340" s="14">
        <f t="shared" si="28"/>
        <v>0</v>
      </c>
      <c r="K340" s="2" t="str">
        <f t="shared" si="29"/>
        <v xml:space="preserve"> </v>
      </c>
      <c r="L340" s="2" t="str">
        <f t="shared" si="26"/>
        <v xml:space="preserve"> </v>
      </c>
      <c r="M340" s="2" t="str">
        <f t="shared" si="27"/>
        <v xml:space="preserve"> </v>
      </c>
    </row>
    <row r="341" spans="1:13" x14ac:dyDescent="0.25">
      <c r="A341" s="34" t="str">
        <f t="shared" si="25"/>
        <v xml:space="preserve"> </v>
      </c>
      <c r="D341" s="33"/>
      <c r="E341" s="33"/>
      <c r="J341" s="14">
        <f t="shared" si="28"/>
        <v>0</v>
      </c>
      <c r="K341" s="2" t="str">
        <f t="shared" si="29"/>
        <v xml:space="preserve"> </v>
      </c>
      <c r="L341" s="2" t="str">
        <f t="shared" si="26"/>
        <v xml:space="preserve"> </v>
      </c>
      <c r="M341" s="2" t="str">
        <f t="shared" si="27"/>
        <v xml:space="preserve"> </v>
      </c>
    </row>
    <row r="342" spans="1:13" x14ac:dyDescent="0.25">
      <c r="A342" s="34" t="str">
        <f t="shared" si="25"/>
        <v xml:space="preserve"> </v>
      </c>
      <c r="D342" s="33"/>
      <c r="E342" s="33"/>
      <c r="J342" s="14">
        <f t="shared" si="28"/>
        <v>0</v>
      </c>
      <c r="K342" s="2" t="str">
        <f t="shared" si="29"/>
        <v xml:space="preserve"> </v>
      </c>
      <c r="L342" s="2" t="str">
        <f t="shared" si="26"/>
        <v xml:space="preserve"> </v>
      </c>
      <c r="M342" s="2" t="str">
        <f t="shared" si="27"/>
        <v xml:space="preserve"> </v>
      </c>
    </row>
    <row r="343" spans="1:13" x14ac:dyDescent="0.25">
      <c r="A343" s="34" t="str">
        <f t="shared" si="25"/>
        <v xml:space="preserve"> </v>
      </c>
      <c r="D343" s="33"/>
      <c r="E343" s="33"/>
      <c r="J343" s="14">
        <f t="shared" si="28"/>
        <v>0</v>
      </c>
      <c r="K343" s="2" t="str">
        <f t="shared" si="29"/>
        <v xml:space="preserve"> </v>
      </c>
      <c r="L343" s="2" t="str">
        <f t="shared" si="26"/>
        <v xml:space="preserve"> </v>
      </c>
      <c r="M343" s="2" t="str">
        <f t="shared" si="27"/>
        <v xml:space="preserve"> </v>
      </c>
    </row>
    <row r="344" spans="1:13" x14ac:dyDescent="0.25">
      <c r="A344" s="34" t="str">
        <f t="shared" si="25"/>
        <v xml:space="preserve"> </v>
      </c>
      <c r="D344" s="33"/>
      <c r="E344" s="33"/>
      <c r="J344" s="14">
        <f t="shared" si="28"/>
        <v>0</v>
      </c>
      <c r="K344" s="2" t="str">
        <f t="shared" si="29"/>
        <v xml:space="preserve"> </v>
      </c>
      <c r="L344" s="2" t="str">
        <f t="shared" si="26"/>
        <v xml:space="preserve"> </v>
      </c>
      <c r="M344" s="2" t="str">
        <f t="shared" si="27"/>
        <v xml:space="preserve"> </v>
      </c>
    </row>
    <row r="345" spans="1:13" x14ac:dyDescent="0.25">
      <c r="A345" s="34" t="str">
        <f t="shared" si="25"/>
        <v xml:space="preserve"> </v>
      </c>
      <c r="D345" s="33"/>
      <c r="E345" s="33"/>
      <c r="J345" s="14">
        <f t="shared" si="28"/>
        <v>0</v>
      </c>
      <c r="K345" s="2" t="str">
        <f t="shared" si="29"/>
        <v xml:space="preserve"> </v>
      </c>
      <c r="L345" s="2" t="str">
        <f t="shared" si="26"/>
        <v xml:space="preserve"> </v>
      </c>
      <c r="M345" s="2" t="str">
        <f t="shared" si="27"/>
        <v xml:space="preserve"> </v>
      </c>
    </row>
    <row r="346" spans="1:13" x14ac:dyDescent="0.25">
      <c r="A346" s="34" t="str">
        <f t="shared" si="25"/>
        <v xml:space="preserve"> </v>
      </c>
      <c r="D346" s="33"/>
      <c r="E346" s="33"/>
      <c r="J346" s="14">
        <f t="shared" si="28"/>
        <v>0</v>
      </c>
      <c r="K346" s="2" t="str">
        <f t="shared" si="29"/>
        <v xml:space="preserve"> </v>
      </c>
      <c r="L346" s="2" t="str">
        <f t="shared" si="26"/>
        <v xml:space="preserve"> </v>
      </c>
      <c r="M346" s="2" t="str">
        <f t="shared" si="27"/>
        <v xml:space="preserve"> </v>
      </c>
    </row>
    <row r="347" spans="1:13" x14ac:dyDescent="0.25">
      <c r="A347" s="34" t="str">
        <f t="shared" si="25"/>
        <v xml:space="preserve"> </v>
      </c>
      <c r="D347" s="33"/>
      <c r="E347" s="33"/>
      <c r="J347" s="14">
        <f t="shared" si="28"/>
        <v>0</v>
      </c>
      <c r="K347" s="2" t="str">
        <f t="shared" si="29"/>
        <v xml:space="preserve"> </v>
      </c>
      <c r="L347" s="2" t="str">
        <f t="shared" si="26"/>
        <v xml:space="preserve"> </v>
      </c>
      <c r="M347" s="2" t="str">
        <f t="shared" si="27"/>
        <v xml:space="preserve"> </v>
      </c>
    </row>
    <row r="348" spans="1:13" x14ac:dyDescent="0.25">
      <c r="A348" s="34" t="str">
        <f t="shared" si="25"/>
        <v xml:space="preserve"> </v>
      </c>
      <c r="D348" s="33"/>
      <c r="E348" s="33"/>
      <c r="J348" s="14">
        <f t="shared" si="28"/>
        <v>0</v>
      </c>
      <c r="K348" s="2" t="str">
        <f t="shared" si="29"/>
        <v xml:space="preserve"> </v>
      </c>
      <c r="L348" s="2" t="str">
        <f t="shared" si="26"/>
        <v xml:space="preserve"> </v>
      </c>
      <c r="M348" s="2" t="str">
        <f t="shared" si="27"/>
        <v xml:space="preserve"> </v>
      </c>
    </row>
    <row r="349" spans="1:13" x14ac:dyDescent="0.25">
      <c r="A349" s="34" t="str">
        <f t="shared" si="25"/>
        <v xml:space="preserve"> </v>
      </c>
      <c r="D349" s="33"/>
      <c r="E349" s="33"/>
      <c r="J349" s="14">
        <f t="shared" si="28"/>
        <v>0</v>
      </c>
      <c r="K349" s="2" t="str">
        <f t="shared" si="29"/>
        <v xml:space="preserve"> </v>
      </c>
      <c r="L349" s="2" t="str">
        <f t="shared" si="26"/>
        <v xml:space="preserve"> </v>
      </c>
      <c r="M349" s="2" t="str">
        <f t="shared" si="27"/>
        <v xml:space="preserve"> </v>
      </c>
    </row>
    <row r="350" spans="1:13" x14ac:dyDescent="0.25">
      <c r="A350" s="34" t="str">
        <f t="shared" si="25"/>
        <v xml:space="preserve"> </v>
      </c>
      <c r="D350" s="33"/>
      <c r="E350" s="33"/>
      <c r="J350" s="14">
        <f t="shared" si="28"/>
        <v>0</v>
      </c>
      <c r="K350" s="2" t="str">
        <f t="shared" si="29"/>
        <v xml:space="preserve"> </v>
      </c>
      <c r="L350" s="2" t="str">
        <f t="shared" si="26"/>
        <v xml:space="preserve"> </v>
      </c>
      <c r="M350" s="2" t="str">
        <f t="shared" si="27"/>
        <v xml:space="preserve"> </v>
      </c>
    </row>
    <row r="351" spans="1:13" x14ac:dyDescent="0.25">
      <c r="A351" s="34" t="str">
        <f t="shared" si="25"/>
        <v xml:space="preserve"> </v>
      </c>
      <c r="D351" s="33"/>
      <c r="E351" s="33"/>
      <c r="J351" s="14">
        <f t="shared" si="28"/>
        <v>0</v>
      </c>
      <c r="K351" s="2" t="str">
        <f t="shared" si="29"/>
        <v xml:space="preserve"> </v>
      </c>
      <c r="L351" s="2" t="str">
        <f t="shared" si="26"/>
        <v xml:space="preserve"> </v>
      </c>
      <c r="M351" s="2" t="str">
        <f t="shared" si="27"/>
        <v xml:space="preserve"> </v>
      </c>
    </row>
    <row r="352" spans="1:13" x14ac:dyDescent="0.25">
      <c r="A352" s="34" t="str">
        <f t="shared" si="25"/>
        <v xml:space="preserve"> </v>
      </c>
      <c r="D352" s="33"/>
      <c r="E352" s="33"/>
      <c r="J352" s="14">
        <f t="shared" si="28"/>
        <v>0</v>
      </c>
      <c r="K352" s="2" t="str">
        <f t="shared" si="29"/>
        <v xml:space="preserve"> </v>
      </c>
      <c r="L352" s="2" t="str">
        <f t="shared" si="26"/>
        <v xml:space="preserve"> </v>
      </c>
      <c r="M352" s="2" t="str">
        <f t="shared" si="27"/>
        <v xml:space="preserve"> </v>
      </c>
    </row>
    <row r="353" spans="1:13" x14ac:dyDescent="0.25">
      <c r="A353" s="34" t="str">
        <f t="shared" si="25"/>
        <v xml:space="preserve"> </v>
      </c>
      <c r="D353" s="33"/>
      <c r="E353" s="33"/>
      <c r="J353" s="14">
        <f t="shared" si="28"/>
        <v>0</v>
      </c>
      <c r="K353" s="2" t="str">
        <f t="shared" si="29"/>
        <v xml:space="preserve"> </v>
      </c>
      <c r="L353" s="2" t="str">
        <f t="shared" si="26"/>
        <v xml:space="preserve"> </v>
      </c>
      <c r="M353" s="2" t="str">
        <f t="shared" si="27"/>
        <v xml:space="preserve"> </v>
      </c>
    </row>
    <row r="354" spans="1:13" x14ac:dyDescent="0.25">
      <c r="A354" s="34" t="str">
        <f t="shared" si="25"/>
        <v xml:space="preserve"> </v>
      </c>
      <c r="D354" s="33"/>
      <c r="E354" s="33"/>
      <c r="J354" s="14">
        <f t="shared" si="28"/>
        <v>0</v>
      </c>
      <c r="K354" s="2" t="str">
        <f t="shared" si="29"/>
        <v xml:space="preserve"> </v>
      </c>
      <c r="L354" s="2" t="str">
        <f t="shared" si="26"/>
        <v xml:space="preserve"> </v>
      </c>
      <c r="M354" s="2" t="str">
        <f t="shared" si="27"/>
        <v xml:space="preserve"> </v>
      </c>
    </row>
    <row r="355" spans="1:13" x14ac:dyDescent="0.25">
      <c r="A355" s="34" t="str">
        <f t="shared" si="25"/>
        <v xml:space="preserve"> </v>
      </c>
      <c r="D355" s="33"/>
      <c r="E355" s="33"/>
      <c r="J355" s="14">
        <f t="shared" si="28"/>
        <v>0</v>
      </c>
      <c r="K355" s="2" t="str">
        <f t="shared" si="29"/>
        <v xml:space="preserve"> </v>
      </c>
      <c r="L355" s="2" t="str">
        <f t="shared" si="26"/>
        <v xml:space="preserve"> </v>
      </c>
      <c r="M355" s="2" t="str">
        <f t="shared" si="27"/>
        <v xml:space="preserve"> </v>
      </c>
    </row>
    <row r="356" spans="1:13" x14ac:dyDescent="0.25">
      <c r="A356" s="34" t="str">
        <f t="shared" si="25"/>
        <v xml:space="preserve"> </v>
      </c>
      <c r="D356" s="33"/>
      <c r="E356" s="33"/>
      <c r="J356" s="14">
        <f t="shared" si="28"/>
        <v>0</v>
      </c>
      <c r="K356" s="2" t="str">
        <f t="shared" si="29"/>
        <v xml:space="preserve"> </v>
      </c>
      <c r="L356" s="2" t="str">
        <f t="shared" si="26"/>
        <v xml:space="preserve"> </v>
      </c>
      <c r="M356" s="2" t="str">
        <f t="shared" si="27"/>
        <v xml:space="preserve"> </v>
      </c>
    </row>
    <row r="357" spans="1:13" x14ac:dyDescent="0.25">
      <c r="A357" s="34" t="str">
        <f t="shared" si="25"/>
        <v xml:space="preserve"> </v>
      </c>
      <c r="D357" s="33"/>
      <c r="E357" s="33"/>
      <c r="J357" s="14">
        <f t="shared" si="28"/>
        <v>0</v>
      </c>
      <c r="K357" s="2" t="str">
        <f t="shared" si="29"/>
        <v xml:space="preserve"> </v>
      </c>
      <c r="L357" s="2" t="str">
        <f t="shared" si="26"/>
        <v xml:space="preserve"> </v>
      </c>
      <c r="M357" s="2" t="str">
        <f t="shared" si="27"/>
        <v xml:space="preserve"> </v>
      </c>
    </row>
    <row r="358" spans="1:13" x14ac:dyDescent="0.25">
      <c r="A358" s="34" t="str">
        <f t="shared" si="25"/>
        <v xml:space="preserve"> </v>
      </c>
      <c r="D358" s="33"/>
      <c r="E358" s="33"/>
      <c r="J358" s="14">
        <f t="shared" si="28"/>
        <v>0</v>
      </c>
      <c r="K358" s="2" t="str">
        <f t="shared" si="29"/>
        <v xml:space="preserve"> </v>
      </c>
      <c r="L358" s="2" t="str">
        <f t="shared" si="26"/>
        <v xml:space="preserve"> </v>
      </c>
      <c r="M358" s="2" t="str">
        <f t="shared" si="27"/>
        <v xml:space="preserve"> </v>
      </c>
    </row>
    <row r="359" spans="1:13" x14ac:dyDescent="0.25">
      <c r="A359" s="34" t="str">
        <f t="shared" si="25"/>
        <v xml:space="preserve"> </v>
      </c>
      <c r="D359" s="33"/>
      <c r="E359" s="33"/>
      <c r="J359" s="14">
        <f t="shared" si="28"/>
        <v>0</v>
      </c>
      <c r="K359" s="2" t="str">
        <f t="shared" si="29"/>
        <v xml:space="preserve"> </v>
      </c>
      <c r="L359" s="2" t="str">
        <f t="shared" si="26"/>
        <v xml:space="preserve"> </v>
      </c>
      <c r="M359" s="2" t="str">
        <f t="shared" si="27"/>
        <v xml:space="preserve"> </v>
      </c>
    </row>
    <row r="360" spans="1:13" x14ac:dyDescent="0.25">
      <c r="A360" s="34" t="str">
        <f t="shared" si="25"/>
        <v xml:space="preserve"> </v>
      </c>
      <c r="D360" s="33"/>
      <c r="E360" s="33"/>
      <c r="J360" s="14">
        <f t="shared" si="28"/>
        <v>0</v>
      </c>
      <c r="K360" s="2" t="str">
        <f t="shared" si="29"/>
        <v xml:space="preserve"> </v>
      </c>
      <c r="L360" s="2" t="str">
        <f t="shared" si="26"/>
        <v xml:space="preserve"> </v>
      </c>
      <c r="M360" s="2" t="str">
        <f t="shared" si="27"/>
        <v xml:space="preserve"> </v>
      </c>
    </row>
    <row r="361" spans="1:13" x14ac:dyDescent="0.25">
      <c r="A361" s="34" t="str">
        <f t="shared" si="25"/>
        <v xml:space="preserve"> </v>
      </c>
      <c r="D361" s="33"/>
      <c r="E361" s="33"/>
      <c r="J361" s="14">
        <f t="shared" si="28"/>
        <v>0</v>
      </c>
      <c r="K361" s="2" t="str">
        <f t="shared" si="29"/>
        <v xml:space="preserve"> </v>
      </c>
      <c r="L361" s="2" t="str">
        <f t="shared" si="26"/>
        <v xml:space="preserve"> </v>
      </c>
      <c r="M361" s="2" t="str">
        <f t="shared" si="27"/>
        <v xml:space="preserve"> </v>
      </c>
    </row>
    <row r="362" spans="1:13" x14ac:dyDescent="0.25">
      <c r="A362" s="34" t="str">
        <f t="shared" si="25"/>
        <v xml:space="preserve"> </v>
      </c>
      <c r="D362" s="33"/>
      <c r="E362" s="33"/>
      <c r="J362" s="14">
        <f t="shared" si="28"/>
        <v>0</v>
      </c>
      <c r="K362" s="2" t="str">
        <f t="shared" si="29"/>
        <v xml:space="preserve"> </v>
      </c>
      <c r="L362" s="2" t="str">
        <f t="shared" si="26"/>
        <v xml:space="preserve"> </v>
      </c>
      <c r="M362" s="2" t="str">
        <f t="shared" si="27"/>
        <v xml:space="preserve"> </v>
      </c>
    </row>
    <row r="363" spans="1:13" x14ac:dyDescent="0.25">
      <c r="A363" s="34" t="str">
        <f t="shared" si="25"/>
        <v xml:space="preserve"> </v>
      </c>
      <c r="D363" s="33"/>
      <c r="E363" s="33"/>
      <c r="J363" s="14">
        <f t="shared" si="28"/>
        <v>0</v>
      </c>
      <c r="K363" s="2" t="str">
        <f t="shared" si="29"/>
        <v xml:space="preserve"> </v>
      </c>
      <c r="L363" s="2" t="str">
        <f t="shared" si="26"/>
        <v xml:space="preserve"> </v>
      </c>
      <c r="M363" s="2" t="str">
        <f t="shared" si="27"/>
        <v xml:space="preserve"> </v>
      </c>
    </row>
    <row r="364" spans="1:13" x14ac:dyDescent="0.25">
      <c r="A364" s="34" t="str">
        <f t="shared" si="25"/>
        <v xml:space="preserve"> </v>
      </c>
      <c r="D364" s="33"/>
      <c r="E364" s="33"/>
      <c r="J364" s="14">
        <f t="shared" si="28"/>
        <v>0</v>
      </c>
      <c r="K364" s="2" t="str">
        <f t="shared" si="29"/>
        <v xml:space="preserve"> </v>
      </c>
      <c r="L364" s="2" t="str">
        <f t="shared" si="26"/>
        <v xml:space="preserve"> </v>
      </c>
      <c r="M364" s="2" t="str">
        <f t="shared" si="27"/>
        <v xml:space="preserve"> </v>
      </c>
    </row>
    <row r="365" spans="1:13" x14ac:dyDescent="0.25">
      <c r="A365" s="34" t="str">
        <f t="shared" si="25"/>
        <v xml:space="preserve"> </v>
      </c>
      <c r="D365" s="33"/>
      <c r="E365" s="33"/>
      <c r="J365" s="14">
        <f t="shared" si="28"/>
        <v>0</v>
      </c>
      <c r="K365" s="2" t="str">
        <f t="shared" si="29"/>
        <v xml:space="preserve"> </v>
      </c>
      <c r="L365" s="2" t="str">
        <f t="shared" si="26"/>
        <v xml:space="preserve"> </v>
      </c>
      <c r="M365" s="2" t="str">
        <f t="shared" si="27"/>
        <v xml:space="preserve"> </v>
      </c>
    </row>
    <row r="366" spans="1:13" x14ac:dyDescent="0.25">
      <c r="A366" s="34" t="str">
        <f t="shared" si="25"/>
        <v xml:space="preserve"> </v>
      </c>
      <c r="D366" s="33"/>
      <c r="E366" s="33"/>
      <c r="J366" s="14">
        <f t="shared" si="28"/>
        <v>0</v>
      </c>
      <c r="K366" s="2" t="str">
        <f t="shared" si="29"/>
        <v xml:space="preserve"> </v>
      </c>
      <c r="L366" s="2" t="str">
        <f t="shared" si="26"/>
        <v xml:space="preserve"> </v>
      </c>
      <c r="M366" s="2" t="str">
        <f t="shared" si="27"/>
        <v xml:space="preserve"> </v>
      </c>
    </row>
    <row r="367" spans="1:13" x14ac:dyDescent="0.25">
      <c r="A367" s="34" t="str">
        <f t="shared" si="25"/>
        <v xml:space="preserve"> </v>
      </c>
      <c r="D367" s="33"/>
      <c r="E367" s="33"/>
      <c r="J367" s="14">
        <f t="shared" si="28"/>
        <v>0</v>
      </c>
      <c r="K367" s="2" t="str">
        <f t="shared" si="29"/>
        <v xml:space="preserve"> </v>
      </c>
      <c r="L367" s="2" t="str">
        <f t="shared" si="26"/>
        <v xml:space="preserve"> </v>
      </c>
      <c r="M367" s="2" t="str">
        <f t="shared" si="27"/>
        <v xml:space="preserve"> </v>
      </c>
    </row>
    <row r="368" spans="1:13" x14ac:dyDescent="0.25">
      <c r="A368" s="34" t="str">
        <f t="shared" si="25"/>
        <v xml:space="preserve"> </v>
      </c>
      <c r="D368" s="33"/>
      <c r="E368" s="33"/>
      <c r="J368" s="14">
        <f t="shared" si="28"/>
        <v>0</v>
      </c>
      <c r="K368" s="2" t="str">
        <f t="shared" si="29"/>
        <v xml:space="preserve"> </v>
      </c>
      <c r="L368" s="2" t="str">
        <f t="shared" si="26"/>
        <v xml:space="preserve"> </v>
      </c>
      <c r="M368" s="2" t="str">
        <f t="shared" si="27"/>
        <v xml:space="preserve"> </v>
      </c>
    </row>
    <row r="369" spans="1:13" x14ac:dyDescent="0.25">
      <c r="A369" s="34" t="str">
        <f t="shared" si="25"/>
        <v xml:space="preserve"> </v>
      </c>
      <c r="D369" s="33"/>
      <c r="E369" s="33"/>
      <c r="J369" s="14">
        <f t="shared" si="28"/>
        <v>0</v>
      </c>
      <c r="K369" s="2" t="str">
        <f t="shared" si="29"/>
        <v xml:space="preserve"> </v>
      </c>
      <c r="L369" s="2" t="str">
        <f t="shared" si="26"/>
        <v xml:space="preserve"> </v>
      </c>
      <c r="M369" s="2" t="str">
        <f t="shared" si="27"/>
        <v xml:space="preserve"> </v>
      </c>
    </row>
    <row r="370" spans="1:13" x14ac:dyDescent="0.25">
      <c r="A370" s="34" t="str">
        <f t="shared" si="25"/>
        <v xml:space="preserve"> </v>
      </c>
      <c r="D370" s="33"/>
      <c r="E370" s="33"/>
      <c r="J370" s="14">
        <f t="shared" si="28"/>
        <v>0</v>
      </c>
      <c r="K370" s="2" t="str">
        <f t="shared" si="29"/>
        <v xml:space="preserve"> </v>
      </c>
      <c r="L370" s="2" t="str">
        <f t="shared" si="26"/>
        <v xml:space="preserve"> </v>
      </c>
      <c r="M370" s="2" t="str">
        <f t="shared" si="27"/>
        <v xml:space="preserve"> </v>
      </c>
    </row>
    <row r="371" spans="1:13" x14ac:dyDescent="0.25">
      <c r="A371" s="34" t="str">
        <f t="shared" si="25"/>
        <v xml:space="preserve"> </v>
      </c>
      <c r="D371" s="33"/>
      <c r="E371" s="33"/>
      <c r="J371" s="14">
        <f t="shared" si="28"/>
        <v>0</v>
      </c>
      <c r="K371" s="2" t="str">
        <f t="shared" si="29"/>
        <v xml:space="preserve"> </v>
      </c>
      <c r="L371" s="2" t="str">
        <f t="shared" si="26"/>
        <v xml:space="preserve"> </v>
      </c>
      <c r="M371" s="2" t="str">
        <f t="shared" si="27"/>
        <v xml:space="preserve"> </v>
      </c>
    </row>
    <row r="372" spans="1:13" x14ac:dyDescent="0.25">
      <c r="A372" s="34" t="str">
        <f t="shared" si="25"/>
        <v xml:space="preserve"> </v>
      </c>
      <c r="D372" s="33"/>
      <c r="E372" s="33"/>
      <c r="J372" s="14">
        <f t="shared" si="28"/>
        <v>0</v>
      </c>
      <c r="K372" s="2" t="str">
        <f t="shared" si="29"/>
        <v xml:space="preserve"> </v>
      </c>
      <c r="L372" s="2" t="str">
        <f t="shared" si="26"/>
        <v xml:space="preserve"> </v>
      </c>
      <c r="M372" s="2" t="str">
        <f t="shared" si="27"/>
        <v xml:space="preserve"> </v>
      </c>
    </row>
    <row r="373" spans="1:13" x14ac:dyDescent="0.25">
      <c r="A373" s="34" t="str">
        <f t="shared" si="25"/>
        <v xml:space="preserve"> </v>
      </c>
      <c r="D373" s="33"/>
      <c r="E373" s="33"/>
      <c r="J373" s="14">
        <f t="shared" si="28"/>
        <v>0</v>
      </c>
      <c r="K373" s="2" t="str">
        <f t="shared" si="29"/>
        <v xml:space="preserve"> </v>
      </c>
      <c r="L373" s="2" t="str">
        <f t="shared" si="26"/>
        <v xml:space="preserve"> </v>
      </c>
      <c r="M373" s="2" t="str">
        <f t="shared" si="27"/>
        <v xml:space="preserve"> </v>
      </c>
    </row>
    <row r="374" spans="1:13" x14ac:dyDescent="0.25">
      <c r="A374" s="34" t="str">
        <f t="shared" si="25"/>
        <v xml:space="preserve"> </v>
      </c>
      <c r="D374" s="33"/>
      <c r="E374" s="33"/>
      <c r="J374" s="14">
        <f t="shared" si="28"/>
        <v>0</v>
      </c>
      <c r="K374" s="2" t="str">
        <f t="shared" si="29"/>
        <v xml:space="preserve"> </v>
      </c>
      <c r="L374" s="2" t="str">
        <f t="shared" si="26"/>
        <v xml:space="preserve"> </v>
      </c>
      <c r="M374" s="2" t="str">
        <f t="shared" si="27"/>
        <v xml:space="preserve"> </v>
      </c>
    </row>
    <row r="375" spans="1:13" x14ac:dyDescent="0.25">
      <c r="A375" s="34" t="str">
        <f t="shared" si="25"/>
        <v xml:space="preserve"> </v>
      </c>
      <c r="D375" s="33"/>
      <c r="E375" s="33"/>
      <c r="J375" s="14">
        <f t="shared" si="28"/>
        <v>0</v>
      </c>
      <c r="K375" s="2" t="str">
        <f t="shared" si="29"/>
        <v xml:space="preserve"> </v>
      </c>
      <c r="L375" s="2" t="str">
        <f t="shared" si="26"/>
        <v xml:space="preserve"> </v>
      </c>
      <c r="M375" s="2" t="str">
        <f t="shared" si="27"/>
        <v xml:space="preserve"> </v>
      </c>
    </row>
    <row r="376" spans="1:13" x14ac:dyDescent="0.25">
      <c r="A376" s="34" t="str">
        <f t="shared" si="25"/>
        <v xml:space="preserve"> </v>
      </c>
      <c r="D376" s="33"/>
      <c r="E376" s="33"/>
      <c r="J376" s="14">
        <f t="shared" si="28"/>
        <v>0</v>
      </c>
      <c r="K376" s="2" t="str">
        <f t="shared" si="29"/>
        <v xml:space="preserve"> </v>
      </c>
      <c r="L376" s="2" t="str">
        <f t="shared" si="26"/>
        <v xml:space="preserve"> </v>
      </c>
      <c r="M376" s="2" t="str">
        <f t="shared" si="27"/>
        <v xml:space="preserve"> </v>
      </c>
    </row>
    <row r="377" spans="1:13" x14ac:dyDescent="0.25">
      <c r="A377" s="34" t="str">
        <f t="shared" si="25"/>
        <v xml:space="preserve"> </v>
      </c>
      <c r="D377" s="33"/>
      <c r="E377" s="33"/>
      <c r="J377" s="14">
        <f t="shared" si="28"/>
        <v>0</v>
      </c>
      <c r="K377" s="2" t="str">
        <f t="shared" si="29"/>
        <v xml:space="preserve"> </v>
      </c>
      <c r="L377" s="2" t="str">
        <f t="shared" si="26"/>
        <v xml:space="preserve"> </v>
      </c>
      <c r="M377" s="2" t="str">
        <f t="shared" si="27"/>
        <v xml:space="preserve"> </v>
      </c>
    </row>
    <row r="378" spans="1:13" x14ac:dyDescent="0.25">
      <c r="A378" s="34" t="str">
        <f t="shared" si="25"/>
        <v xml:space="preserve"> </v>
      </c>
      <c r="D378" s="33"/>
      <c r="E378" s="33"/>
      <c r="J378" s="14">
        <f t="shared" si="28"/>
        <v>0</v>
      </c>
      <c r="K378" s="2" t="str">
        <f t="shared" si="29"/>
        <v xml:space="preserve"> </v>
      </c>
      <c r="L378" s="2" t="str">
        <f t="shared" si="26"/>
        <v xml:space="preserve"> </v>
      </c>
      <c r="M378" s="2" t="str">
        <f t="shared" si="27"/>
        <v xml:space="preserve"> </v>
      </c>
    </row>
    <row r="379" spans="1:13" x14ac:dyDescent="0.25">
      <c r="A379" s="34" t="str">
        <f t="shared" si="25"/>
        <v xml:space="preserve"> </v>
      </c>
      <c r="D379" s="33"/>
      <c r="E379" s="33"/>
      <c r="J379" s="14">
        <f t="shared" si="28"/>
        <v>0</v>
      </c>
      <c r="K379" s="2" t="str">
        <f t="shared" si="29"/>
        <v xml:space="preserve"> </v>
      </c>
      <c r="L379" s="2" t="str">
        <f t="shared" si="26"/>
        <v xml:space="preserve"> </v>
      </c>
      <c r="M379" s="2" t="str">
        <f t="shared" si="27"/>
        <v xml:space="preserve"> </v>
      </c>
    </row>
    <row r="380" spans="1:13" x14ac:dyDescent="0.25">
      <c r="A380" s="34" t="str">
        <f t="shared" si="25"/>
        <v xml:space="preserve"> </v>
      </c>
      <c r="D380" s="33"/>
      <c r="E380" s="33"/>
      <c r="J380" s="14">
        <f t="shared" si="28"/>
        <v>0</v>
      </c>
      <c r="K380" s="2" t="str">
        <f t="shared" si="29"/>
        <v xml:space="preserve"> </v>
      </c>
      <c r="L380" s="2" t="str">
        <f t="shared" si="26"/>
        <v xml:space="preserve"> </v>
      </c>
      <c r="M380" s="2" t="str">
        <f t="shared" si="27"/>
        <v xml:space="preserve"> </v>
      </c>
    </row>
    <row r="381" spans="1:13" x14ac:dyDescent="0.25">
      <c r="A381" s="34" t="str">
        <f t="shared" si="25"/>
        <v xml:space="preserve"> </v>
      </c>
      <c r="D381" s="33"/>
      <c r="E381" s="33"/>
      <c r="J381" s="14">
        <f t="shared" si="28"/>
        <v>0</v>
      </c>
      <c r="K381" s="2" t="str">
        <f t="shared" si="29"/>
        <v xml:space="preserve"> </v>
      </c>
      <c r="L381" s="2" t="str">
        <f t="shared" si="26"/>
        <v xml:space="preserve"> </v>
      </c>
      <c r="M381" s="2" t="str">
        <f t="shared" si="27"/>
        <v xml:space="preserve"> </v>
      </c>
    </row>
    <row r="382" spans="1:13" x14ac:dyDescent="0.25">
      <c r="A382" s="34" t="str">
        <f t="shared" si="25"/>
        <v xml:space="preserve"> </v>
      </c>
      <c r="D382" s="33"/>
      <c r="E382" s="33"/>
      <c r="J382" s="14">
        <f t="shared" si="28"/>
        <v>0</v>
      </c>
      <c r="K382" s="2" t="str">
        <f t="shared" si="29"/>
        <v xml:space="preserve"> </v>
      </c>
      <c r="L382" s="2" t="str">
        <f t="shared" si="26"/>
        <v xml:space="preserve"> </v>
      </c>
      <c r="M382" s="2" t="str">
        <f t="shared" si="27"/>
        <v xml:space="preserve"> </v>
      </c>
    </row>
    <row r="383" spans="1:13" x14ac:dyDescent="0.25">
      <c r="A383" s="34" t="str">
        <f t="shared" si="25"/>
        <v xml:space="preserve"> </v>
      </c>
      <c r="D383" s="33"/>
      <c r="E383" s="33"/>
      <c r="J383" s="14">
        <f t="shared" si="28"/>
        <v>0</v>
      </c>
      <c r="K383" s="2" t="str">
        <f t="shared" si="29"/>
        <v xml:space="preserve"> </v>
      </c>
      <c r="L383" s="2" t="str">
        <f t="shared" si="26"/>
        <v xml:space="preserve"> </v>
      </c>
      <c r="M383" s="2" t="str">
        <f t="shared" si="27"/>
        <v xml:space="preserve"> </v>
      </c>
    </row>
    <row r="384" spans="1:13" x14ac:dyDescent="0.25">
      <c r="A384" s="34" t="str">
        <f t="shared" si="25"/>
        <v xml:space="preserve"> </v>
      </c>
      <c r="D384" s="33"/>
      <c r="E384" s="33"/>
      <c r="J384" s="14">
        <f t="shared" si="28"/>
        <v>0</v>
      </c>
      <c r="K384" s="2" t="str">
        <f t="shared" si="29"/>
        <v xml:space="preserve"> </v>
      </c>
      <c r="L384" s="2" t="str">
        <f t="shared" si="26"/>
        <v xml:space="preserve"> </v>
      </c>
      <c r="M384" s="2" t="str">
        <f t="shared" si="27"/>
        <v xml:space="preserve"> </v>
      </c>
    </row>
    <row r="385" spans="1:13" x14ac:dyDescent="0.25">
      <c r="A385" s="34" t="str">
        <f t="shared" si="25"/>
        <v xml:space="preserve"> </v>
      </c>
      <c r="D385" s="33"/>
      <c r="E385" s="33"/>
      <c r="J385" s="14">
        <f t="shared" si="28"/>
        <v>0</v>
      </c>
      <c r="K385" s="2" t="str">
        <f t="shared" si="29"/>
        <v xml:space="preserve"> </v>
      </c>
      <c r="L385" s="2" t="str">
        <f t="shared" si="26"/>
        <v xml:space="preserve"> </v>
      </c>
      <c r="M385" s="2" t="str">
        <f t="shared" si="27"/>
        <v xml:space="preserve"> </v>
      </c>
    </row>
    <row r="386" spans="1:13" x14ac:dyDescent="0.25">
      <c r="A386" s="34" t="str">
        <f t="shared" si="25"/>
        <v xml:space="preserve"> </v>
      </c>
      <c r="D386" s="33"/>
      <c r="E386" s="33"/>
      <c r="J386" s="14">
        <f t="shared" si="28"/>
        <v>0</v>
      </c>
      <c r="K386" s="2" t="str">
        <f t="shared" si="29"/>
        <v xml:space="preserve"> </v>
      </c>
      <c r="L386" s="2" t="str">
        <f t="shared" si="26"/>
        <v xml:space="preserve"> </v>
      </c>
      <c r="M386" s="2" t="str">
        <f t="shared" si="27"/>
        <v xml:space="preserve"> </v>
      </c>
    </row>
    <row r="387" spans="1:13" x14ac:dyDescent="0.25">
      <c r="A387" s="34" t="str">
        <f t="shared" si="25"/>
        <v xml:space="preserve"> </v>
      </c>
      <c r="D387" s="33"/>
      <c r="E387" s="33"/>
      <c r="J387" s="14">
        <f t="shared" si="28"/>
        <v>0</v>
      </c>
      <c r="K387" s="2" t="str">
        <f t="shared" si="29"/>
        <v xml:space="preserve"> </v>
      </c>
      <c r="L387" s="2" t="str">
        <f t="shared" si="26"/>
        <v xml:space="preserve"> </v>
      </c>
      <c r="M387" s="2" t="str">
        <f t="shared" si="27"/>
        <v xml:space="preserve"> </v>
      </c>
    </row>
    <row r="388" spans="1:13" x14ac:dyDescent="0.25">
      <c r="A388" s="34" t="str">
        <f t="shared" si="25"/>
        <v xml:space="preserve"> </v>
      </c>
      <c r="D388" s="33"/>
      <c r="E388" s="33"/>
      <c r="J388" s="14">
        <f t="shared" si="28"/>
        <v>0</v>
      </c>
      <c r="K388" s="2" t="str">
        <f t="shared" si="29"/>
        <v xml:space="preserve"> </v>
      </c>
      <c r="L388" s="2" t="str">
        <f t="shared" si="26"/>
        <v xml:space="preserve"> </v>
      </c>
      <c r="M388" s="2" t="str">
        <f t="shared" si="27"/>
        <v xml:space="preserve"> </v>
      </c>
    </row>
    <row r="389" spans="1:13" x14ac:dyDescent="0.25">
      <c r="A389" s="34" t="str">
        <f t="shared" si="25"/>
        <v xml:space="preserve"> </v>
      </c>
      <c r="D389" s="33"/>
      <c r="E389" s="33"/>
      <c r="J389" s="14">
        <f t="shared" si="28"/>
        <v>0</v>
      </c>
      <c r="K389" s="2" t="str">
        <f t="shared" si="29"/>
        <v xml:space="preserve"> </v>
      </c>
      <c r="L389" s="2" t="str">
        <f t="shared" si="26"/>
        <v xml:space="preserve"> </v>
      </c>
      <c r="M389" s="2" t="str">
        <f t="shared" si="27"/>
        <v xml:space="preserve"> </v>
      </c>
    </row>
    <row r="390" spans="1:13" x14ac:dyDescent="0.25">
      <c r="A390" s="34" t="str">
        <f t="shared" si="25"/>
        <v xml:space="preserve"> </v>
      </c>
      <c r="D390" s="33"/>
      <c r="E390" s="33"/>
      <c r="J390" s="14">
        <f t="shared" si="28"/>
        <v>0</v>
      </c>
      <c r="K390" s="2" t="str">
        <f t="shared" si="29"/>
        <v xml:space="preserve"> </v>
      </c>
      <c r="L390" s="2" t="str">
        <f t="shared" si="26"/>
        <v xml:space="preserve"> </v>
      </c>
      <c r="M390" s="2" t="str">
        <f t="shared" si="27"/>
        <v xml:space="preserve"> </v>
      </c>
    </row>
    <row r="391" spans="1:13" x14ac:dyDescent="0.25">
      <c r="A391" s="34" t="str">
        <f t="shared" si="25"/>
        <v xml:space="preserve"> </v>
      </c>
      <c r="D391" s="33"/>
      <c r="E391" s="33"/>
      <c r="J391" s="14">
        <f t="shared" si="28"/>
        <v>0</v>
      </c>
      <c r="K391" s="2" t="str">
        <f t="shared" si="29"/>
        <v xml:space="preserve"> </v>
      </c>
      <c r="L391" s="2" t="str">
        <f t="shared" si="26"/>
        <v xml:space="preserve"> </v>
      </c>
      <c r="M391" s="2" t="str">
        <f t="shared" si="27"/>
        <v xml:space="preserve"> </v>
      </c>
    </row>
    <row r="392" spans="1:13" x14ac:dyDescent="0.25">
      <c r="A392" s="34" t="str">
        <f t="shared" si="25"/>
        <v xml:space="preserve"> </v>
      </c>
      <c r="D392" s="33"/>
      <c r="E392" s="33"/>
      <c r="J392" s="14">
        <f t="shared" si="28"/>
        <v>0</v>
      </c>
      <c r="K392" s="2" t="str">
        <f t="shared" si="29"/>
        <v xml:space="preserve"> </v>
      </c>
      <c r="L392" s="2" t="str">
        <f t="shared" si="26"/>
        <v xml:space="preserve"> </v>
      </c>
      <c r="M392" s="2" t="str">
        <f t="shared" si="27"/>
        <v xml:space="preserve"> </v>
      </c>
    </row>
    <row r="393" spans="1:13" x14ac:dyDescent="0.25">
      <c r="A393" s="34" t="str">
        <f t="shared" si="25"/>
        <v xml:space="preserve"> </v>
      </c>
      <c r="D393" s="33"/>
      <c r="E393" s="33"/>
      <c r="J393" s="14">
        <f t="shared" si="28"/>
        <v>0</v>
      </c>
      <c r="K393" s="2" t="str">
        <f t="shared" si="29"/>
        <v xml:space="preserve"> </v>
      </c>
      <c r="L393" s="2" t="str">
        <f t="shared" si="26"/>
        <v xml:space="preserve"> </v>
      </c>
      <c r="M393" s="2" t="str">
        <f t="shared" si="27"/>
        <v xml:space="preserve"> </v>
      </c>
    </row>
    <row r="394" spans="1:13" x14ac:dyDescent="0.25">
      <c r="A394" s="34" t="str">
        <f t="shared" si="25"/>
        <v xml:space="preserve"> </v>
      </c>
      <c r="D394" s="33"/>
      <c r="E394" s="33"/>
      <c r="J394" s="14">
        <f t="shared" si="28"/>
        <v>0</v>
      </c>
      <c r="K394" s="2" t="str">
        <f t="shared" si="29"/>
        <v xml:space="preserve"> </v>
      </c>
      <c r="L394" s="2" t="str">
        <f t="shared" si="26"/>
        <v xml:space="preserve"> </v>
      </c>
      <c r="M394" s="2" t="str">
        <f t="shared" si="27"/>
        <v xml:space="preserve"> </v>
      </c>
    </row>
    <row r="395" spans="1:13" x14ac:dyDescent="0.25">
      <c r="A395" s="34" t="str">
        <f t="shared" si="25"/>
        <v xml:space="preserve"> </v>
      </c>
      <c r="D395" s="33"/>
      <c r="E395" s="33"/>
      <c r="J395" s="14">
        <f t="shared" si="28"/>
        <v>0</v>
      </c>
      <c r="K395" s="2" t="str">
        <f t="shared" si="29"/>
        <v xml:space="preserve"> </v>
      </c>
      <c r="L395" s="2" t="str">
        <f t="shared" si="26"/>
        <v xml:space="preserve"> </v>
      </c>
      <c r="M395" s="2" t="str">
        <f t="shared" si="27"/>
        <v xml:space="preserve"> </v>
      </c>
    </row>
    <row r="396" spans="1:13" x14ac:dyDescent="0.25">
      <c r="A396" s="34" t="str">
        <f t="shared" si="25"/>
        <v xml:space="preserve"> </v>
      </c>
      <c r="D396" s="33"/>
      <c r="E396" s="33"/>
      <c r="J396" s="14">
        <f t="shared" si="28"/>
        <v>0</v>
      </c>
      <c r="K396" s="2" t="str">
        <f t="shared" si="29"/>
        <v xml:space="preserve"> </v>
      </c>
      <c r="L396" s="2" t="str">
        <f t="shared" si="26"/>
        <v xml:space="preserve"> </v>
      </c>
      <c r="M396" s="2" t="str">
        <f t="shared" si="27"/>
        <v xml:space="preserve"> </v>
      </c>
    </row>
    <row r="397" spans="1:13" x14ac:dyDescent="0.25">
      <c r="A397" s="34" t="str">
        <f t="shared" si="25"/>
        <v xml:space="preserve"> </v>
      </c>
      <c r="D397" s="33"/>
      <c r="E397" s="33"/>
      <c r="J397" s="14">
        <f t="shared" si="28"/>
        <v>0</v>
      </c>
      <c r="K397" s="2" t="str">
        <f t="shared" si="29"/>
        <v xml:space="preserve"> </v>
      </c>
      <c r="L397" s="2" t="str">
        <f t="shared" si="26"/>
        <v xml:space="preserve"> </v>
      </c>
      <c r="M397" s="2" t="str">
        <f t="shared" si="27"/>
        <v xml:space="preserve"> </v>
      </c>
    </row>
    <row r="398" spans="1:13" x14ac:dyDescent="0.25">
      <c r="A398" s="34" t="str">
        <f t="shared" si="25"/>
        <v xml:space="preserve"> </v>
      </c>
      <c r="D398" s="33"/>
      <c r="E398" s="33"/>
      <c r="J398" s="14">
        <f t="shared" si="28"/>
        <v>0</v>
      </c>
      <c r="K398" s="2" t="str">
        <f t="shared" si="29"/>
        <v xml:space="preserve"> </v>
      </c>
      <c r="L398" s="2" t="str">
        <f t="shared" si="26"/>
        <v xml:space="preserve"> </v>
      </c>
      <c r="M398" s="2" t="str">
        <f t="shared" si="27"/>
        <v xml:space="preserve"> </v>
      </c>
    </row>
    <row r="399" spans="1:13" x14ac:dyDescent="0.25">
      <c r="A399" s="34" t="str">
        <f t="shared" ref="A399:A462" si="30">IF(COUNTIF(K399:M399,"ERROR")&gt;0,"ERROR"," ")</f>
        <v xml:space="preserve"> </v>
      </c>
      <c r="D399" s="33"/>
      <c r="E399" s="33"/>
      <c r="J399" s="14">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x14ac:dyDescent="0.25">
      <c r="A400" s="34" t="str">
        <f t="shared" si="30"/>
        <v xml:space="preserve"> </v>
      </c>
      <c r="D400" s="33"/>
      <c r="E400" s="33"/>
      <c r="J400" s="14">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4" t="str">
        <f t="shared" si="30"/>
        <v xml:space="preserve"> </v>
      </c>
      <c r="D401" s="33"/>
      <c r="E401" s="33"/>
      <c r="J401" s="14">
        <f t="shared" si="33"/>
        <v>0</v>
      </c>
      <c r="K401" s="2" t="str">
        <f t="shared" si="34"/>
        <v xml:space="preserve"> </v>
      </c>
      <c r="L401" s="2" t="str">
        <f t="shared" si="31"/>
        <v xml:space="preserve"> </v>
      </c>
      <c r="M401" s="2" t="str">
        <f t="shared" si="32"/>
        <v xml:space="preserve"> </v>
      </c>
    </row>
    <row r="402" spans="1:13" x14ac:dyDescent="0.25">
      <c r="A402" s="34" t="str">
        <f t="shared" si="30"/>
        <v xml:space="preserve"> </v>
      </c>
      <c r="D402" s="33"/>
      <c r="E402" s="33"/>
      <c r="J402" s="14">
        <f t="shared" si="33"/>
        <v>0</v>
      </c>
      <c r="K402" s="2" t="str">
        <f t="shared" si="34"/>
        <v xml:space="preserve"> </v>
      </c>
      <c r="L402" s="2" t="str">
        <f t="shared" si="31"/>
        <v xml:space="preserve"> </v>
      </c>
      <c r="M402" s="2" t="str">
        <f t="shared" si="32"/>
        <v xml:space="preserve"> </v>
      </c>
    </row>
    <row r="403" spans="1:13" x14ac:dyDescent="0.25">
      <c r="A403" s="34" t="str">
        <f t="shared" si="30"/>
        <v xml:space="preserve"> </v>
      </c>
      <c r="D403" s="33"/>
      <c r="E403" s="33"/>
      <c r="J403" s="14">
        <f t="shared" si="33"/>
        <v>0</v>
      </c>
      <c r="K403" s="2" t="str">
        <f t="shared" si="34"/>
        <v xml:space="preserve"> </v>
      </c>
      <c r="L403" s="2" t="str">
        <f t="shared" si="31"/>
        <v xml:space="preserve"> </v>
      </c>
      <c r="M403" s="2" t="str">
        <f t="shared" si="32"/>
        <v xml:space="preserve"> </v>
      </c>
    </row>
    <row r="404" spans="1:13" x14ac:dyDescent="0.25">
      <c r="A404" s="34" t="str">
        <f t="shared" si="30"/>
        <v xml:space="preserve"> </v>
      </c>
      <c r="D404" s="33"/>
      <c r="E404" s="33"/>
      <c r="J404" s="14">
        <f t="shared" si="33"/>
        <v>0</v>
      </c>
      <c r="K404" s="2" t="str">
        <f t="shared" si="34"/>
        <v xml:space="preserve"> </v>
      </c>
      <c r="L404" s="2" t="str">
        <f t="shared" si="31"/>
        <v xml:space="preserve"> </v>
      </c>
      <c r="M404" s="2" t="str">
        <f t="shared" si="32"/>
        <v xml:space="preserve"> </v>
      </c>
    </row>
    <row r="405" spans="1:13" x14ac:dyDescent="0.25">
      <c r="A405" s="34" t="str">
        <f t="shared" si="30"/>
        <v xml:space="preserve"> </v>
      </c>
      <c r="D405" s="33"/>
      <c r="E405" s="33"/>
      <c r="J405" s="14">
        <f t="shared" si="33"/>
        <v>0</v>
      </c>
      <c r="K405" s="2" t="str">
        <f t="shared" si="34"/>
        <v xml:space="preserve"> </v>
      </c>
      <c r="L405" s="2" t="str">
        <f t="shared" si="31"/>
        <v xml:space="preserve"> </v>
      </c>
      <c r="M405" s="2" t="str">
        <f t="shared" si="32"/>
        <v xml:space="preserve"> </v>
      </c>
    </row>
    <row r="406" spans="1:13" x14ac:dyDescent="0.25">
      <c r="A406" s="34" t="str">
        <f t="shared" si="30"/>
        <v xml:space="preserve"> </v>
      </c>
      <c r="D406" s="33"/>
      <c r="E406" s="33"/>
      <c r="J406" s="14">
        <f t="shared" si="33"/>
        <v>0</v>
      </c>
      <c r="K406" s="2" t="str">
        <f t="shared" si="34"/>
        <v xml:space="preserve"> </v>
      </c>
      <c r="L406" s="2" t="str">
        <f t="shared" si="31"/>
        <v xml:space="preserve"> </v>
      </c>
      <c r="M406" s="2" t="str">
        <f t="shared" si="32"/>
        <v xml:space="preserve"> </v>
      </c>
    </row>
    <row r="407" spans="1:13" x14ac:dyDescent="0.25">
      <c r="A407" s="34" t="str">
        <f t="shared" si="30"/>
        <v xml:space="preserve"> </v>
      </c>
      <c r="D407" s="33"/>
      <c r="E407" s="33"/>
      <c r="J407" s="14">
        <f t="shared" si="33"/>
        <v>0</v>
      </c>
      <c r="K407" s="2" t="str">
        <f t="shared" si="34"/>
        <v xml:space="preserve"> </v>
      </c>
      <c r="L407" s="2" t="str">
        <f t="shared" si="31"/>
        <v xml:space="preserve"> </v>
      </c>
      <c r="M407" s="2" t="str">
        <f t="shared" si="32"/>
        <v xml:space="preserve"> </v>
      </c>
    </row>
    <row r="408" spans="1:13" x14ac:dyDescent="0.25">
      <c r="A408" s="34" t="str">
        <f t="shared" si="30"/>
        <v xml:space="preserve"> </v>
      </c>
      <c r="D408" s="33"/>
      <c r="E408" s="33"/>
      <c r="J408" s="14">
        <f t="shared" si="33"/>
        <v>0</v>
      </c>
      <c r="K408" s="2" t="str">
        <f t="shared" si="34"/>
        <v xml:space="preserve"> </v>
      </c>
      <c r="L408" s="2" t="str">
        <f t="shared" si="31"/>
        <v xml:space="preserve"> </v>
      </c>
      <c r="M408" s="2" t="str">
        <f t="shared" si="32"/>
        <v xml:space="preserve"> </v>
      </c>
    </row>
    <row r="409" spans="1:13" x14ac:dyDescent="0.25">
      <c r="A409" s="34" t="str">
        <f t="shared" si="30"/>
        <v xml:space="preserve"> </v>
      </c>
      <c r="D409" s="33"/>
      <c r="E409" s="33"/>
      <c r="J409" s="14">
        <f t="shared" si="33"/>
        <v>0</v>
      </c>
      <c r="K409" s="2" t="str">
        <f t="shared" si="34"/>
        <v xml:space="preserve"> </v>
      </c>
      <c r="L409" s="2" t="str">
        <f t="shared" si="31"/>
        <v xml:space="preserve"> </v>
      </c>
      <c r="M409" s="2" t="str">
        <f t="shared" si="32"/>
        <v xml:space="preserve"> </v>
      </c>
    </row>
    <row r="410" spans="1:13" x14ac:dyDescent="0.25">
      <c r="A410" s="34" t="str">
        <f t="shared" si="30"/>
        <v xml:space="preserve"> </v>
      </c>
      <c r="D410" s="33"/>
      <c r="E410" s="33"/>
      <c r="J410" s="14">
        <f t="shared" si="33"/>
        <v>0</v>
      </c>
      <c r="K410" s="2" t="str">
        <f t="shared" si="34"/>
        <v xml:space="preserve"> </v>
      </c>
      <c r="L410" s="2" t="str">
        <f t="shared" si="31"/>
        <v xml:space="preserve"> </v>
      </c>
      <c r="M410" s="2" t="str">
        <f t="shared" si="32"/>
        <v xml:space="preserve"> </v>
      </c>
    </row>
    <row r="411" spans="1:13" x14ac:dyDescent="0.25">
      <c r="A411" s="34" t="str">
        <f t="shared" si="30"/>
        <v xml:space="preserve"> </v>
      </c>
      <c r="D411" s="33"/>
      <c r="E411" s="33"/>
      <c r="J411" s="14">
        <f t="shared" si="33"/>
        <v>0</v>
      </c>
      <c r="K411" s="2" t="str">
        <f t="shared" si="34"/>
        <v xml:space="preserve"> </v>
      </c>
      <c r="L411" s="2" t="str">
        <f t="shared" si="31"/>
        <v xml:space="preserve"> </v>
      </c>
      <c r="M411" s="2" t="str">
        <f t="shared" si="32"/>
        <v xml:space="preserve"> </v>
      </c>
    </row>
    <row r="412" spans="1:13" x14ac:dyDescent="0.25">
      <c r="A412" s="34" t="str">
        <f t="shared" si="30"/>
        <v xml:space="preserve"> </v>
      </c>
      <c r="D412" s="33"/>
      <c r="E412" s="33"/>
      <c r="J412" s="14">
        <f t="shared" si="33"/>
        <v>0</v>
      </c>
      <c r="K412" s="2" t="str">
        <f t="shared" si="34"/>
        <v xml:space="preserve"> </v>
      </c>
      <c r="L412" s="2" t="str">
        <f t="shared" si="31"/>
        <v xml:space="preserve"> </v>
      </c>
      <c r="M412" s="2" t="str">
        <f t="shared" si="32"/>
        <v xml:space="preserve"> </v>
      </c>
    </row>
    <row r="413" spans="1:13" x14ac:dyDescent="0.25">
      <c r="A413" s="34" t="str">
        <f t="shared" si="30"/>
        <v xml:space="preserve"> </v>
      </c>
      <c r="D413" s="33"/>
      <c r="E413" s="33"/>
      <c r="J413" s="14">
        <f t="shared" si="33"/>
        <v>0</v>
      </c>
      <c r="K413" s="2" t="str">
        <f t="shared" si="34"/>
        <v xml:space="preserve"> </v>
      </c>
      <c r="L413" s="2" t="str">
        <f t="shared" si="31"/>
        <v xml:space="preserve"> </v>
      </c>
      <c r="M413" s="2" t="str">
        <f t="shared" si="32"/>
        <v xml:space="preserve"> </v>
      </c>
    </row>
    <row r="414" spans="1:13" x14ac:dyDescent="0.25">
      <c r="A414" s="34" t="str">
        <f t="shared" si="30"/>
        <v xml:space="preserve"> </v>
      </c>
      <c r="D414" s="33"/>
      <c r="E414" s="33"/>
      <c r="J414" s="14">
        <f t="shared" si="33"/>
        <v>0</v>
      </c>
      <c r="K414" s="2" t="str">
        <f t="shared" si="34"/>
        <v xml:space="preserve"> </v>
      </c>
      <c r="L414" s="2" t="str">
        <f t="shared" si="31"/>
        <v xml:space="preserve"> </v>
      </c>
      <c r="M414" s="2" t="str">
        <f t="shared" si="32"/>
        <v xml:space="preserve"> </v>
      </c>
    </row>
    <row r="415" spans="1:13" x14ac:dyDescent="0.25">
      <c r="A415" s="34" t="str">
        <f t="shared" si="30"/>
        <v xml:space="preserve"> </v>
      </c>
      <c r="D415" s="33"/>
      <c r="E415" s="33"/>
      <c r="J415" s="14">
        <f t="shared" si="33"/>
        <v>0</v>
      </c>
      <c r="K415" s="2" t="str">
        <f t="shared" si="34"/>
        <v xml:space="preserve"> </v>
      </c>
      <c r="L415" s="2" t="str">
        <f t="shared" si="31"/>
        <v xml:space="preserve"> </v>
      </c>
      <c r="M415" s="2" t="str">
        <f t="shared" si="32"/>
        <v xml:space="preserve"> </v>
      </c>
    </row>
    <row r="416" spans="1:13" x14ac:dyDescent="0.25">
      <c r="A416" s="34" t="str">
        <f t="shared" si="30"/>
        <v xml:space="preserve"> </v>
      </c>
      <c r="D416" s="33"/>
      <c r="E416" s="33"/>
      <c r="J416" s="14">
        <f t="shared" si="33"/>
        <v>0</v>
      </c>
      <c r="K416" s="2" t="str">
        <f t="shared" si="34"/>
        <v xml:space="preserve"> </v>
      </c>
      <c r="L416" s="2" t="str">
        <f t="shared" si="31"/>
        <v xml:space="preserve"> </v>
      </c>
      <c r="M416" s="2" t="str">
        <f t="shared" si="32"/>
        <v xml:space="preserve"> </v>
      </c>
    </row>
    <row r="417" spans="1:13" x14ac:dyDescent="0.25">
      <c r="A417" s="34" t="str">
        <f t="shared" si="30"/>
        <v xml:space="preserve"> </v>
      </c>
      <c r="D417" s="33"/>
      <c r="E417" s="33"/>
      <c r="J417" s="14">
        <f t="shared" si="33"/>
        <v>0</v>
      </c>
      <c r="K417" s="2" t="str">
        <f t="shared" si="34"/>
        <v xml:space="preserve"> </v>
      </c>
      <c r="L417" s="2" t="str">
        <f t="shared" si="31"/>
        <v xml:space="preserve"> </v>
      </c>
      <c r="M417" s="2" t="str">
        <f t="shared" si="32"/>
        <v xml:space="preserve"> </v>
      </c>
    </row>
    <row r="418" spans="1:13" x14ac:dyDescent="0.25">
      <c r="A418" s="34" t="str">
        <f t="shared" si="30"/>
        <v xml:space="preserve"> </v>
      </c>
      <c r="D418" s="33"/>
      <c r="E418" s="33"/>
      <c r="J418" s="14">
        <f t="shared" si="33"/>
        <v>0</v>
      </c>
      <c r="K418" s="2" t="str">
        <f t="shared" si="34"/>
        <v xml:space="preserve"> </v>
      </c>
      <c r="L418" s="2" t="str">
        <f t="shared" si="31"/>
        <v xml:space="preserve"> </v>
      </c>
      <c r="M418" s="2" t="str">
        <f t="shared" si="32"/>
        <v xml:space="preserve"> </v>
      </c>
    </row>
    <row r="419" spans="1:13" x14ac:dyDescent="0.25">
      <c r="A419" s="34" t="str">
        <f t="shared" si="30"/>
        <v xml:space="preserve"> </v>
      </c>
      <c r="D419" s="33"/>
      <c r="E419" s="33"/>
      <c r="J419" s="14">
        <f t="shared" si="33"/>
        <v>0</v>
      </c>
      <c r="K419" s="2" t="str">
        <f t="shared" si="34"/>
        <v xml:space="preserve"> </v>
      </c>
      <c r="L419" s="2" t="str">
        <f t="shared" si="31"/>
        <v xml:space="preserve"> </v>
      </c>
      <c r="M419" s="2" t="str">
        <f t="shared" si="32"/>
        <v xml:space="preserve"> </v>
      </c>
    </row>
    <row r="420" spans="1:13" x14ac:dyDescent="0.25">
      <c r="A420" s="34" t="str">
        <f t="shared" si="30"/>
        <v xml:space="preserve"> </v>
      </c>
      <c r="D420" s="33"/>
      <c r="E420" s="33"/>
      <c r="J420" s="14">
        <f t="shared" si="33"/>
        <v>0</v>
      </c>
      <c r="K420" s="2" t="str">
        <f t="shared" si="34"/>
        <v xml:space="preserve"> </v>
      </c>
      <c r="L420" s="2" t="str">
        <f t="shared" si="31"/>
        <v xml:space="preserve"> </v>
      </c>
      <c r="M420" s="2" t="str">
        <f t="shared" si="32"/>
        <v xml:space="preserve"> </v>
      </c>
    </row>
    <row r="421" spans="1:13" x14ac:dyDescent="0.25">
      <c r="A421" s="34" t="str">
        <f t="shared" si="30"/>
        <v xml:space="preserve"> </v>
      </c>
      <c r="D421" s="33"/>
      <c r="E421" s="33"/>
      <c r="J421" s="14">
        <f t="shared" si="33"/>
        <v>0</v>
      </c>
      <c r="K421" s="2" t="str">
        <f t="shared" si="34"/>
        <v xml:space="preserve"> </v>
      </c>
      <c r="L421" s="2" t="str">
        <f t="shared" si="31"/>
        <v xml:space="preserve"> </v>
      </c>
      <c r="M421" s="2" t="str">
        <f t="shared" si="32"/>
        <v xml:space="preserve"> </v>
      </c>
    </row>
    <row r="422" spans="1:13" x14ac:dyDescent="0.25">
      <c r="A422" s="34" t="str">
        <f t="shared" si="30"/>
        <v xml:space="preserve"> </v>
      </c>
      <c r="D422" s="33"/>
      <c r="E422" s="33"/>
      <c r="J422" s="14">
        <f t="shared" si="33"/>
        <v>0</v>
      </c>
      <c r="K422" s="2" t="str">
        <f t="shared" si="34"/>
        <v xml:space="preserve"> </v>
      </c>
      <c r="L422" s="2" t="str">
        <f t="shared" si="31"/>
        <v xml:space="preserve"> </v>
      </c>
      <c r="M422" s="2" t="str">
        <f t="shared" si="32"/>
        <v xml:space="preserve"> </v>
      </c>
    </row>
    <row r="423" spans="1:13" x14ac:dyDescent="0.25">
      <c r="A423" s="34" t="str">
        <f t="shared" si="30"/>
        <v xml:space="preserve"> </v>
      </c>
      <c r="D423" s="33"/>
      <c r="E423" s="33"/>
      <c r="J423" s="14">
        <f t="shared" si="33"/>
        <v>0</v>
      </c>
      <c r="K423" s="2" t="str">
        <f t="shared" si="34"/>
        <v xml:space="preserve"> </v>
      </c>
      <c r="L423" s="2" t="str">
        <f t="shared" si="31"/>
        <v xml:space="preserve"> </v>
      </c>
      <c r="M423" s="2" t="str">
        <f t="shared" si="32"/>
        <v xml:space="preserve"> </v>
      </c>
    </row>
    <row r="424" spans="1:13" x14ac:dyDescent="0.25">
      <c r="A424" s="34" t="str">
        <f t="shared" si="30"/>
        <v xml:space="preserve"> </v>
      </c>
      <c r="D424" s="33"/>
      <c r="E424" s="33"/>
      <c r="J424" s="14">
        <f t="shared" si="33"/>
        <v>0</v>
      </c>
      <c r="K424" s="2" t="str">
        <f t="shared" si="34"/>
        <v xml:space="preserve"> </v>
      </c>
      <c r="L424" s="2" t="str">
        <f t="shared" si="31"/>
        <v xml:space="preserve"> </v>
      </c>
      <c r="M424" s="2" t="str">
        <f t="shared" si="32"/>
        <v xml:space="preserve"> </v>
      </c>
    </row>
    <row r="425" spans="1:13" x14ac:dyDescent="0.25">
      <c r="A425" s="34" t="str">
        <f t="shared" si="30"/>
        <v xml:space="preserve"> </v>
      </c>
      <c r="D425" s="33"/>
      <c r="E425" s="33"/>
      <c r="J425" s="14">
        <f t="shared" si="33"/>
        <v>0</v>
      </c>
      <c r="K425" s="2" t="str">
        <f t="shared" si="34"/>
        <v xml:space="preserve"> </v>
      </c>
      <c r="L425" s="2" t="str">
        <f t="shared" si="31"/>
        <v xml:space="preserve"> </v>
      </c>
      <c r="M425" s="2" t="str">
        <f t="shared" si="32"/>
        <v xml:space="preserve"> </v>
      </c>
    </row>
    <row r="426" spans="1:13" x14ac:dyDescent="0.25">
      <c r="A426" s="34" t="str">
        <f t="shared" si="30"/>
        <v xml:space="preserve"> </v>
      </c>
      <c r="D426" s="33"/>
      <c r="E426" s="33"/>
      <c r="J426" s="14">
        <f t="shared" si="33"/>
        <v>0</v>
      </c>
      <c r="K426" s="2" t="str">
        <f t="shared" si="34"/>
        <v xml:space="preserve"> </v>
      </c>
      <c r="L426" s="2" t="str">
        <f t="shared" si="31"/>
        <v xml:space="preserve"> </v>
      </c>
      <c r="M426" s="2" t="str">
        <f t="shared" si="32"/>
        <v xml:space="preserve"> </v>
      </c>
    </row>
    <row r="427" spans="1:13" x14ac:dyDescent="0.25">
      <c r="A427" s="34" t="str">
        <f t="shared" si="30"/>
        <v xml:space="preserve"> </v>
      </c>
      <c r="D427" s="33"/>
      <c r="E427" s="33"/>
      <c r="J427" s="14">
        <f t="shared" si="33"/>
        <v>0</v>
      </c>
      <c r="K427" s="2" t="str">
        <f t="shared" si="34"/>
        <v xml:space="preserve"> </v>
      </c>
      <c r="L427" s="2" t="str">
        <f t="shared" si="31"/>
        <v xml:space="preserve"> </v>
      </c>
      <c r="M427" s="2" t="str">
        <f t="shared" si="32"/>
        <v xml:space="preserve"> </v>
      </c>
    </row>
    <row r="428" spans="1:13" x14ac:dyDescent="0.25">
      <c r="A428" s="34" t="str">
        <f t="shared" si="30"/>
        <v xml:space="preserve"> </v>
      </c>
      <c r="D428" s="33"/>
      <c r="E428" s="33"/>
      <c r="J428" s="14">
        <f t="shared" si="33"/>
        <v>0</v>
      </c>
      <c r="K428" s="2" t="str">
        <f t="shared" si="34"/>
        <v xml:space="preserve"> </v>
      </c>
      <c r="L428" s="2" t="str">
        <f t="shared" si="31"/>
        <v xml:space="preserve"> </v>
      </c>
      <c r="M428" s="2" t="str">
        <f t="shared" si="32"/>
        <v xml:space="preserve"> </v>
      </c>
    </row>
    <row r="429" spans="1:13" x14ac:dyDescent="0.25">
      <c r="A429" s="34" t="str">
        <f t="shared" si="30"/>
        <v xml:space="preserve"> </v>
      </c>
      <c r="D429" s="33"/>
      <c r="E429" s="33"/>
      <c r="J429" s="14">
        <f t="shared" si="33"/>
        <v>0</v>
      </c>
      <c r="K429" s="2" t="str">
        <f t="shared" si="34"/>
        <v xml:space="preserve"> </v>
      </c>
      <c r="L429" s="2" t="str">
        <f t="shared" si="31"/>
        <v xml:space="preserve"> </v>
      </c>
      <c r="M429" s="2" t="str">
        <f t="shared" si="32"/>
        <v xml:space="preserve"> </v>
      </c>
    </row>
    <row r="430" spans="1:13" x14ac:dyDescent="0.25">
      <c r="A430" s="34" t="str">
        <f t="shared" si="30"/>
        <v xml:space="preserve"> </v>
      </c>
      <c r="D430" s="33"/>
      <c r="E430" s="33"/>
      <c r="J430" s="14">
        <f t="shared" si="33"/>
        <v>0</v>
      </c>
      <c r="K430" s="2" t="str">
        <f t="shared" si="34"/>
        <v xml:space="preserve"> </v>
      </c>
      <c r="L430" s="2" t="str">
        <f t="shared" si="31"/>
        <v xml:space="preserve"> </v>
      </c>
      <c r="M430" s="2" t="str">
        <f t="shared" si="32"/>
        <v xml:space="preserve"> </v>
      </c>
    </row>
    <row r="431" spans="1:13" x14ac:dyDescent="0.25">
      <c r="A431" s="34" t="str">
        <f t="shared" si="30"/>
        <v xml:space="preserve"> </v>
      </c>
      <c r="D431" s="33"/>
      <c r="E431" s="33"/>
      <c r="J431" s="14">
        <f t="shared" si="33"/>
        <v>0</v>
      </c>
      <c r="K431" s="2" t="str">
        <f t="shared" si="34"/>
        <v xml:space="preserve"> </v>
      </c>
      <c r="L431" s="2" t="str">
        <f t="shared" si="31"/>
        <v xml:space="preserve"> </v>
      </c>
      <c r="M431" s="2" t="str">
        <f t="shared" si="32"/>
        <v xml:space="preserve"> </v>
      </c>
    </row>
    <row r="432" spans="1:13" x14ac:dyDescent="0.25">
      <c r="A432" s="34" t="str">
        <f t="shared" si="30"/>
        <v xml:space="preserve"> </v>
      </c>
      <c r="D432" s="33"/>
      <c r="E432" s="33"/>
      <c r="J432" s="14">
        <f t="shared" si="33"/>
        <v>0</v>
      </c>
      <c r="K432" s="2" t="str">
        <f t="shared" si="34"/>
        <v xml:space="preserve"> </v>
      </c>
      <c r="L432" s="2" t="str">
        <f t="shared" si="31"/>
        <v xml:space="preserve"> </v>
      </c>
      <c r="M432" s="2" t="str">
        <f t="shared" si="32"/>
        <v xml:space="preserve"> </v>
      </c>
    </row>
    <row r="433" spans="1:13" x14ac:dyDescent="0.25">
      <c r="A433" s="34" t="str">
        <f t="shared" si="30"/>
        <v xml:space="preserve"> </v>
      </c>
      <c r="D433" s="33"/>
      <c r="E433" s="33"/>
      <c r="J433" s="14">
        <f t="shared" si="33"/>
        <v>0</v>
      </c>
      <c r="K433" s="2" t="str">
        <f t="shared" si="34"/>
        <v xml:space="preserve"> </v>
      </c>
      <c r="L433" s="2" t="str">
        <f t="shared" si="31"/>
        <v xml:space="preserve"> </v>
      </c>
      <c r="M433" s="2" t="str">
        <f t="shared" si="32"/>
        <v xml:space="preserve"> </v>
      </c>
    </row>
    <row r="434" spans="1:13" x14ac:dyDescent="0.25">
      <c r="A434" s="34" t="str">
        <f t="shared" si="30"/>
        <v xml:space="preserve"> </v>
      </c>
      <c r="D434" s="33"/>
      <c r="E434" s="33"/>
      <c r="J434" s="14">
        <f t="shared" si="33"/>
        <v>0</v>
      </c>
      <c r="K434" s="2" t="str">
        <f t="shared" si="34"/>
        <v xml:space="preserve"> </v>
      </c>
      <c r="L434" s="2" t="str">
        <f t="shared" si="31"/>
        <v xml:space="preserve"> </v>
      </c>
      <c r="M434" s="2" t="str">
        <f t="shared" si="32"/>
        <v xml:space="preserve"> </v>
      </c>
    </row>
    <row r="435" spans="1:13" x14ac:dyDescent="0.25">
      <c r="A435" s="34" t="str">
        <f t="shared" si="30"/>
        <v xml:space="preserve"> </v>
      </c>
      <c r="D435" s="33"/>
      <c r="E435" s="33"/>
      <c r="J435" s="14">
        <f t="shared" si="33"/>
        <v>0</v>
      </c>
      <c r="K435" s="2" t="str">
        <f t="shared" si="34"/>
        <v xml:space="preserve"> </v>
      </c>
      <c r="L435" s="2" t="str">
        <f t="shared" si="31"/>
        <v xml:space="preserve"> </v>
      </c>
      <c r="M435" s="2" t="str">
        <f t="shared" si="32"/>
        <v xml:space="preserve"> </v>
      </c>
    </row>
    <row r="436" spans="1:13" x14ac:dyDescent="0.25">
      <c r="A436" s="34" t="str">
        <f t="shared" si="30"/>
        <v xml:space="preserve"> </v>
      </c>
      <c r="D436" s="33"/>
      <c r="E436" s="33"/>
      <c r="J436" s="14">
        <f t="shared" si="33"/>
        <v>0</v>
      </c>
      <c r="K436" s="2" t="str">
        <f t="shared" si="34"/>
        <v xml:space="preserve"> </v>
      </c>
      <c r="L436" s="2" t="str">
        <f t="shared" si="31"/>
        <v xml:space="preserve"> </v>
      </c>
      <c r="M436" s="2" t="str">
        <f t="shared" si="32"/>
        <v xml:space="preserve"> </v>
      </c>
    </row>
    <row r="437" spans="1:13" x14ac:dyDescent="0.25">
      <c r="A437" s="34" t="str">
        <f t="shared" si="30"/>
        <v xml:space="preserve"> </v>
      </c>
      <c r="D437" s="33"/>
      <c r="E437" s="33"/>
      <c r="J437" s="14">
        <f t="shared" si="33"/>
        <v>0</v>
      </c>
      <c r="K437" s="2" t="str">
        <f t="shared" si="34"/>
        <v xml:space="preserve"> </v>
      </c>
      <c r="L437" s="2" t="str">
        <f t="shared" si="31"/>
        <v xml:space="preserve"> </v>
      </c>
      <c r="M437" s="2" t="str">
        <f t="shared" si="32"/>
        <v xml:space="preserve"> </v>
      </c>
    </row>
    <row r="438" spans="1:13" x14ac:dyDescent="0.25">
      <c r="A438" s="34" t="str">
        <f t="shared" si="30"/>
        <v xml:space="preserve"> </v>
      </c>
      <c r="D438" s="33"/>
      <c r="E438" s="33"/>
      <c r="J438" s="14">
        <f t="shared" si="33"/>
        <v>0</v>
      </c>
      <c r="K438" s="2" t="str">
        <f t="shared" si="34"/>
        <v xml:space="preserve"> </v>
      </c>
      <c r="L438" s="2" t="str">
        <f t="shared" si="31"/>
        <v xml:space="preserve"> </v>
      </c>
      <c r="M438" s="2" t="str">
        <f t="shared" si="32"/>
        <v xml:space="preserve"> </v>
      </c>
    </row>
    <row r="439" spans="1:13" x14ac:dyDescent="0.25">
      <c r="A439" s="34" t="str">
        <f t="shared" si="30"/>
        <v xml:space="preserve"> </v>
      </c>
      <c r="D439" s="33"/>
      <c r="E439" s="33"/>
      <c r="J439" s="14">
        <f t="shared" si="33"/>
        <v>0</v>
      </c>
      <c r="K439" s="2" t="str">
        <f t="shared" si="34"/>
        <v xml:space="preserve"> </v>
      </c>
      <c r="L439" s="2" t="str">
        <f t="shared" si="31"/>
        <v xml:space="preserve"> </v>
      </c>
      <c r="M439" s="2" t="str">
        <f t="shared" si="32"/>
        <v xml:space="preserve"> </v>
      </c>
    </row>
    <row r="440" spans="1:13" x14ac:dyDescent="0.25">
      <c r="A440" s="34" t="str">
        <f t="shared" si="30"/>
        <v xml:space="preserve"> </v>
      </c>
      <c r="D440" s="33"/>
      <c r="E440" s="33"/>
      <c r="J440" s="14">
        <f t="shared" si="33"/>
        <v>0</v>
      </c>
      <c r="K440" s="2" t="str">
        <f t="shared" si="34"/>
        <v xml:space="preserve"> </v>
      </c>
      <c r="L440" s="2" t="str">
        <f t="shared" si="31"/>
        <v xml:space="preserve"> </v>
      </c>
      <c r="M440" s="2" t="str">
        <f t="shared" si="32"/>
        <v xml:space="preserve"> </v>
      </c>
    </row>
    <row r="441" spans="1:13" x14ac:dyDescent="0.25">
      <c r="A441" s="34" t="str">
        <f t="shared" si="30"/>
        <v xml:space="preserve"> </v>
      </c>
      <c r="D441" s="33"/>
      <c r="E441" s="33"/>
      <c r="J441" s="14">
        <f t="shared" si="33"/>
        <v>0</v>
      </c>
      <c r="K441" s="2" t="str">
        <f t="shared" si="34"/>
        <v xml:space="preserve"> </v>
      </c>
      <c r="L441" s="2" t="str">
        <f t="shared" si="31"/>
        <v xml:space="preserve"> </v>
      </c>
      <c r="M441" s="2" t="str">
        <f t="shared" si="32"/>
        <v xml:space="preserve"> </v>
      </c>
    </row>
    <row r="442" spans="1:13" x14ac:dyDescent="0.25">
      <c r="A442" s="34" t="str">
        <f t="shared" si="30"/>
        <v xml:space="preserve"> </v>
      </c>
      <c r="D442" s="33"/>
      <c r="E442" s="33"/>
      <c r="J442" s="14">
        <f t="shared" si="33"/>
        <v>0</v>
      </c>
      <c r="K442" s="2" t="str">
        <f t="shared" si="34"/>
        <v xml:space="preserve"> </v>
      </c>
      <c r="L442" s="2" t="str">
        <f t="shared" si="31"/>
        <v xml:space="preserve"> </v>
      </c>
      <c r="M442" s="2" t="str">
        <f t="shared" si="32"/>
        <v xml:space="preserve"> </v>
      </c>
    </row>
    <row r="443" spans="1:13" x14ac:dyDescent="0.25">
      <c r="A443" s="34" t="str">
        <f t="shared" si="30"/>
        <v xml:space="preserve"> </v>
      </c>
      <c r="D443" s="33"/>
      <c r="E443" s="33"/>
      <c r="J443" s="14">
        <f t="shared" si="33"/>
        <v>0</v>
      </c>
      <c r="K443" s="2" t="str">
        <f t="shared" si="34"/>
        <v xml:space="preserve"> </v>
      </c>
      <c r="L443" s="2" t="str">
        <f t="shared" si="31"/>
        <v xml:space="preserve"> </v>
      </c>
      <c r="M443" s="2" t="str">
        <f t="shared" si="32"/>
        <v xml:space="preserve"> </v>
      </c>
    </row>
    <row r="444" spans="1:13" x14ac:dyDescent="0.25">
      <c r="A444" s="34" t="str">
        <f t="shared" si="30"/>
        <v xml:space="preserve"> </v>
      </c>
      <c r="D444" s="33"/>
      <c r="E444" s="33"/>
      <c r="J444" s="14">
        <f t="shared" si="33"/>
        <v>0</v>
      </c>
      <c r="K444" s="2" t="str">
        <f t="shared" si="34"/>
        <v xml:space="preserve"> </v>
      </c>
      <c r="L444" s="2" t="str">
        <f t="shared" si="31"/>
        <v xml:space="preserve"> </v>
      </c>
      <c r="M444" s="2" t="str">
        <f t="shared" si="32"/>
        <v xml:space="preserve"> </v>
      </c>
    </row>
    <row r="445" spans="1:13" x14ac:dyDescent="0.25">
      <c r="A445" s="34" t="str">
        <f t="shared" si="30"/>
        <v xml:space="preserve"> </v>
      </c>
      <c r="D445" s="33"/>
      <c r="E445" s="33"/>
      <c r="J445" s="14">
        <f t="shared" si="33"/>
        <v>0</v>
      </c>
      <c r="K445" s="2" t="str">
        <f t="shared" si="34"/>
        <v xml:space="preserve"> </v>
      </c>
      <c r="L445" s="2" t="str">
        <f t="shared" si="31"/>
        <v xml:space="preserve"> </v>
      </c>
      <c r="M445" s="2" t="str">
        <f t="shared" si="32"/>
        <v xml:space="preserve"> </v>
      </c>
    </row>
    <row r="446" spans="1:13" x14ac:dyDescent="0.25">
      <c r="A446" s="34" t="str">
        <f t="shared" si="30"/>
        <v xml:space="preserve"> </v>
      </c>
      <c r="D446" s="33"/>
      <c r="E446" s="33"/>
      <c r="J446" s="14">
        <f t="shared" si="33"/>
        <v>0</v>
      </c>
      <c r="K446" s="2" t="str">
        <f t="shared" si="34"/>
        <v xml:space="preserve"> </v>
      </c>
      <c r="L446" s="2" t="str">
        <f t="shared" si="31"/>
        <v xml:space="preserve"> </v>
      </c>
      <c r="M446" s="2" t="str">
        <f t="shared" si="32"/>
        <v xml:space="preserve"> </v>
      </c>
    </row>
    <row r="447" spans="1:13" x14ac:dyDescent="0.25">
      <c r="A447" s="34" t="str">
        <f t="shared" si="30"/>
        <v xml:space="preserve"> </v>
      </c>
      <c r="D447" s="33"/>
      <c r="E447" s="33"/>
      <c r="J447" s="14">
        <f t="shared" si="33"/>
        <v>0</v>
      </c>
      <c r="K447" s="2" t="str">
        <f t="shared" si="34"/>
        <v xml:space="preserve"> </v>
      </c>
      <c r="L447" s="2" t="str">
        <f t="shared" si="31"/>
        <v xml:space="preserve"> </v>
      </c>
      <c r="M447" s="2" t="str">
        <f t="shared" si="32"/>
        <v xml:space="preserve"> </v>
      </c>
    </row>
    <row r="448" spans="1:13" x14ac:dyDescent="0.25">
      <c r="A448" s="34" t="str">
        <f t="shared" si="30"/>
        <v xml:space="preserve"> </v>
      </c>
      <c r="D448" s="33"/>
      <c r="E448" s="33"/>
      <c r="J448" s="14">
        <f t="shared" si="33"/>
        <v>0</v>
      </c>
      <c r="K448" s="2" t="str">
        <f t="shared" si="34"/>
        <v xml:space="preserve"> </v>
      </c>
      <c r="L448" s="2" t="str">
        <f t="shared" si="31"/>
        <v xml:space="preserve"> </v>
      </c>
      <c r="M448" s="2" t="str">
        <f t="shared" si="32"/>
        <v xml:space="preserve"> </v>
      </c>
    </row>
    <row r="449" spans="1:13" x14ac:dyDescent="0.25">
      <c r="A449" s="34" t="str">
        <f t="shared" si="30"/>
        <v xml:space="preserve"> </v>
      </c>
      <c r="D449" s="33"/>
      <c r="E449" s="33"/>
      <c r="J449" s="14">
        <f t="shared" si="33"/>
        <v>0</v>
      </c>
      <c r="K449" s="2" t="str">
        <f t="shared" si="34"/>
        <v xml:space="preserve"> </v>
      </c>
      <c r="L449" s="2" t="str">
        <f t="shared" si="31"/>
        <v xml:space="preserve"> </v>
      </c>
      <c r="M449" s="2" t="str">
        <f t="shared" si="32"/>
        <v xml:space="preserve"> </v>
      </c>
    </row>
    <row r="450" spans="1:13" x14ac:dyDescent="0.25">
      <c r="A450" s="34" t="str">
        <f t="shared" si="30"/>
        <v xml:space="preserve"> </v>
      </c>
      <c r="D450" s="33"/>
      <c r="E450" s="33"/>
      <c r="J450" s="14">
        <f t="shared" si="33"/>
        <v>0</v>
      </c>
      <c r="K450" s="2" t="str">
        <f t="shared" si="34"/>
        <v xml:space="preserve"> </v>
      </c>
      <c r="L450" s="2" t="str">
        <f t="shared" si="31"/>
        <v xml:space="preserve"> </v>
      </c>
      <c r="M450" s="2" t="str">
        <f t="shared" si="32"/>
        <v xml:space="preserve"> </v>
      </c>
    </row>
    <row r="451" spans="1:13" x14ac:dyDescent="0.25">
      <c r="A451" s="34" t="str">
        <f t="shared" si="30"/>
        <v xml:space="preserve"> </v>
      </c>
      <c r="D451" s="33"/>
      <c r="E451" s="33"/>
      <c r="J451" s="14">
        <f t="shared" si="33"/>
        <v>0</v>
      </c>
      <c r="K451" s="2" t="str">
        <f t="shared" si="34"/>
        <v xml:space="preserve"> </v>
      </c>
      <c r="L451" s="2" t="str">
        <f t="shared" si="31"/>
        <v xml:space="preserve"> </v>
      </c>
      <c r="M451" s="2" t="str">
        <f t="shared" si="32"/>
        <v xml:space="preserve"> </v>
      </c>
    </row>
    <row r="452" spans="1:13" x14ac:dyDescent="0.25">
      <c r="A452" s="34" t="str">
        <f t="shared" si="30"/>
        <v xml:space="preserve"> </v>
      </c>
      <c r="D452" s="33"/>
      <c r="E452" s="33"/>
      <c r="J452" s="14">
        <f t="shared" si="33"/>
        <v>0</v>
      </c>
      <c r="K452" s="2" t="str">
        <f t="shared" si="34"/>
        <v xml:space="preserve"> </v>
      </c>
      <c r="L452" s="2" t="str">
        <f t="shared" si="31"/>
        <v xml:space="preserve"> </v>
      </c>
      <c r="M452" s="2" t="str">
        <f t="shared" si="32"/>
        <v xml:space="preserve"> </v>
      </c>
    </row>
    <row r="453" spans="1:13" x14ac:dyDescent="0.25">
      <c r="A453" s="34" t="str">
        <f t="shared" si="30"/>
        <v xml:space="preserve"> </v>
      </c>
      <c r="D453" s="33"/>
      <c r="E453" s="33"/>
      <c r="J453" s="14">
        <f t="shared" si="33"/>
        <v>0</v>
      </c>
      <c r="K453" s="2" t="str">
        <f t="shared" si="34"/>
        <v xml:space="preserve"> </v>
      </c>
      <c r="L453" s="2" t="str">
        <f t="shared" si="31"/>
        <v xml:space="preserve"> </v>
      </c>
      <c r="M453" s="2" t="str">
        <f t="shared" si="32"/>
        <v xml:space="preserve"> </v>
      </c>
    </row>
    <row r="454" spans="1:13" x14ac:dyDescent="0.25">
      <c r="A454" s="34" t="str">
        <f t="shared" si="30"/>
        <v xml:space="preserve"> </v>
      </c>
      <c r="D454" s="33"/>
      <c r="E454" s="33"/>
      <c r="J454" s="14">
        <f t="shared" si="33"/>
        <v>0</v>
      </c>
      <c r="K454" s="2" t="str">
        <f t="shared" si="34"/>
        <v xml:space="preserve"> </v>
      </c>
      <c r="L454" s="2" t="str">
        <f t="shared" si="31"/>
        <v xml:space="preserve"> </v>
      </c>
      <c r="M454" s="2" t="str">
        <f t="shared" si="32"/>
        <v xml:space="preserve"> </v>
      </c>
    </row>
    <row r="455" spans="1:13" x14ac:dyDescent="0.25">
      <c r="A455" s="34" t="str">
        <f t="shared" si="30"/>
        <v xml:space="preserve"> </v>
      </c>
      <c r="D455" s="33"/>
      <c r="E455" s="33"/>
      <c r="J455" s="14">
        <f t="shared" si="33"/>
        <v>0</v>
      </c>
      <c r="K455" s="2" t="str">
        <f t="shared" si="34"/>
        <v xml:space="preserve"> </v>
      </c>
      <c r="L455" s="2" t="str">
        <f t="shared" si="31"/>
        <v xml:space="preserve"> </v>
      </c>
      <c r="M455" s="2" t="str">
        <f t="shared" si="32"/>
        <v xml:space="preserve"> </v>
      </c>
    </row>
    <row r="456" spans="1:13" x14ac:dyDescent="0.25">
      <c r="A456" s="34" t="str">
        <f t="shared" si="30"/>
        <v xml:space="preserve"> </v>
      </c>
      <c r="D456" s="33"/>
      <c r="E456" s="33"/>
      <c r="J456" s="14">
        <f t="shared" si="33"/>
        <v>0</v>
      </c>
      <c r="K456" s="2" t="str">
        <f t="shared" si="34"/>
        <v xml:space="preserve"> </v>
      </c>
      <c r="L456" s="2" t="str">
        <f t="shared" si="31"/>
        <v xml:space="preserve"> </v>
      </c>
      <c r="M456" s="2" t="str">
        <f t="shared" si="32"/>
        <v xml:space="preserve"> </v>
      </c>
    </row>
    <row r="457" spans="1:13" x14ac:dyDescent="0.25">
      <c r="A457" s="34" t="str">
        <f t="shared" si="30"/>
        <v xml:space="preserve"> </v>
      </c>
      <c r="D457" s="33"/>
      <c r="E457" s="33"/>
      <c r="J457" s="14">
        <f t="shared" si="33"/>
        <v>0</v>
      </c>
      <c r="K457" s="2" t="str">
        <f t="shared" si="34"/>
        <v xml:space="preserve"> </v>
      </c>
      <c r="L457" s="2" t="str">
        <f t="shared" si="31"/>
        <v xml:space="preserve"> </v>
      </c>
      <c r="M457" s="2" t="str">
        <f t="shared" si="32"/>
        <v xml:space="preserve"> </v>
      </c>
    </row>
    <row r="458" spans="1:13" x14ac:dyDescent="0.25">
      <c r="A458" s="34" t="str">
        <f t="shared" si="30"/>
        <v xml:space="preserve"> </v>
      </c>
      <c r="D458" s="33"/>
      <c r="E458" s="33"/>
      <c r="J458" s="14">
        <f t="shared" si="33"/>
        <v>0</v>
      </c>
      <c r="K458" s="2" t="str">
        <f t="shared" si="34"/>
        <v xml:space="preserve"> </v>
      </c>
      <c r="L458" s="2" t="str">
        <f t="shared" si="31"/>
        <v xml:space="preserve"> </v>
      </c>
      <c r="M458" s="2" t="str">
        <f t="shared" si="32"/>
        <v xml:space="preserve"> </v>
      </c>
    </row>
    <row r="459" spans="1:13" x14ac:dyDescent="0.25">
      <c r="A459" s="34" t="str">
        <f t="shared" si="30"/>
        <v xml:space="preserve"> </v>
      </c>
      <c r="D459" s="33"/>
      <c r="E459" s="33"/>
      <c r="J459" s="14">
        <f t="shared" si="33"/>
        <v>0</v>
      </c>
      <c r="K459" s="2" t="str">
        <f t="shared" si="34"/>
        <v xml:space="preserve"> </v>
      </c>
      <c r="L459" s="2" t="str">
        <f t="shared" si="31"/>
        <v xml:space="preserve"> </v>
      </c>
      <c r="M459" s="2" t="str">
        <f t="shared" si="32"/>
        <v xml:space="preserve"> </v>
      </c>
    </row>
    <row r="460" spans="1:13" x14ac:dyDescent="0.25">
      <c r="A460" s="34" t="str">
        <f t="shared" si="30"/>
        <v xml:space="preserve"> </v>
      </c>
      <c r="D460" s="33"/>
      <c r="E460" s="33"/>
      <c r="J460" s="14">
        <f t="shared" si="33"/>
        <v>0</v>
      </c>
      <c r="K460" s="2" t="str">
        <f t="shared" si="34"/>
        <v xml:space="preserve"> </v>
      </c>
      <c r="L460" s="2" t="str">
        <f t="shared" si="31"/>
        <v xml:space="preserve"> </v>
      </c>
      <c r="M460" s="2" t="str">
        <f t="shared" si="32"/>
        <v xml:space="preserve"> </v>
      </c>
    </row>
    <row r="461" spans="1:13" x14ac:dyDescent="0.25">
      <c r="A461" s="34" t="str">
        <f t="shared" si="30"/>
        <v xml:space="preserve"> </v>
      </c>
      <c r="D461" s="33"/>
      <c r="E461" s="33"/>
      <c r="J461" s="14">
        <f t="shared" si="33"/>
        <v>0</v>
      </c>
      <c r="K461" s="2" t="str">
        <f t="shared" si="34"/>
        <v xml:space="preserve"> </v>
      </c>
      <c r="L461" s="2" t="str">
        <f t="shared" si="31"/>
        <v xml:space="preserve"> </v>
      </c>
      <c r="M461" s="2" t="str">
        <f t="shared" si="32"/>
        <v xml:space="preserve"> </v>
      </c>
    </row>
    <row r="462" spans="1:13" x14ac:dyDescent="0.25">
      <c r="A462" s="34" t="str">
        <f t="shared" si="30"/>
        <v xml:space="preserve"> </v>
      </c>
      <c r="D462" s="33"/>
      <c r="E462" s="33"/>
      <c r="J462" s="14">
        <f t="shared" si="33"/>
        <v>0</v>
      </c>
      <c r="K462" s="2" t="str">
        <f t="shared" si="34"/>
        <v xml:space="preserve"> </v>
      </c>
      <c r="L462" s="2" t="str">
        <f t="shared" si="31"/>
        <v xml:space="preserve"> </v>
      </c>
      <c r="M462" s="2" t="str">
        <f t="shared" si="32"/>
        <v xml:space="preserve"> </v>
      </c>
    </row>
    <row r="463" spans="1:13" x14ac:dyDescent="0.25">
      <c r="A463" s="34" t="str">
        <f t="shared" ref="A463:A482" si="35">IF(COUNTIF(K463:M463,"ERROR")&gt;0,"ERROR"," ")</f>
        <v xml:space="preserve"> </v>
      </c>
      <c r="D463" s="33"/>
      <c r="E463" s="33"/>
      <c r="J463" s="14">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x14ac:dyDescent="0.25">
      <c r="A464" s="34" t="str">
        <f t="shared" si="35"/>
        <v xml:space="preserve"> </v>
      </c>
      <c r="D464" s="33"/>
      <c r="E464" s="33"/>
      <c r="J464" s="14">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4" t="str">
        <f t="shared" si="35"/>
        <v xml:space="preserve"> </v>
      </c>
      <c r="D465" s="33"/>
      <c r="E465" s="33"/>
      <c r="J465" s="14">
        <f t="shared" si="38"/>
        <v>0</v>
      </c>
      <c r="K465" s="2" t="str">
        <f t="shared" si="39"/>
        <v xml:space="preserve"> </v>
      </c>
      <c r="L465" s="2" t="str">
        <f t="shared" si="36"/>
        <v xml:space="preserve"> </v>
      </c>
      <c r="M465" s="2" t="str">
        <f t="shared" si="37"/>
        <v xml:space="preserve"> </v>
      </c>
    </row>
    <row r="466" spans="1:13" x14ac:dyDescent="0.25">
      <c r="A466" s="34" t="str">
        <f t="shared" si="35"/>
        <v xml:space="preserve"> </v>
      </c>
      <c r="D466" s="33"/>
      <c r="E466" s="33"/>
      <c r="J466" s="14">
        <f t="shared" si="38"/>
        <v>0</v>
      </c>
      <c r="K466" s="2" t="str">
        <f t="shared" si="39"/>
        <v xml:space="preserve"> </v>
      </c>
      <c r="L466" s="2" t="str">
        <f t="shared" si="36"/>
        <v xml:space="preserve"> </v>
      </c>
      <c r="M466" s="2" t="str">
        <f t="shared" si="37"/>
        <v xml:space="preserve"> </v>
      </c>
    </row>
    <row r="467" spans="1:13" x14ac:dyDescent="0.25">
      <c r="A467" s="34" t="str">
        <f t="shared" si="35"/>
        <v xml:space="preserve"> </v>
      </c>
      <c r="D467" s="33"/>
      <c r="E467" s="33"/>
      <c r="J467" s="14">
        <f t="shared" si="38"/>
        <v>0</v>
      </c>
      <c r="K467" s="2" t="str">
        <f t="shared" si="39"/>
        <v xml:space="preserve"> </v>
      </c>
      <c r="L467" s="2" t="str">
        <f t="shared" si="36"/>
        <v xml:space="preserve"> </v>
      </c>
      <c r="M467" s="2" t="str">
        <f t="shared" si="37"/>
        <v xml:space="preserve"> </v>
      </c>
    </row>
    <row r="468" spans="1:13" x14ac:dyDescent="0.25">
      <c r="A468" s="34" t="str">
        <f t="shared" si="35"/>
        <v xml:space="preserve"> </v>
      </c>
      <c r="D468" s="33"/>
      <c r="E468" s="33"/>
      <c r="J468" s="14">
        <f t="shared" si="38"/>
        <v>0</v>
      </c>
      <c r="K468" s="2" t="str">
        <f t="shared" si="39"/>
        <v xml:space="preserve"> </v>
      </c>
      <c r="L468" s="2" t="str">
        <f t="shared" si="36"/>
        <v xml:space="preserve"> </v>
      </c>
      <c r="M468" s="2" t="str">
        <f t="shared" si="37"/>
        <v xml:space="preserve"> </v>
      </c>
    </row>
    <row r="469" spans="1:13" x14ac:dyDescent="0.25">
      <c r="A469" s="34" t="str">
        <f t="shared" si="35"/>
        <v xml:space="preserve"> </v>
      </c>
      <c r="D469" s="33"/>
      <c r="E469" s="33"/>
      <c r="J469" s="14">
        <f t="shared" si="38"/>
        <v>0</v>
      </c>
      <c r="K469" s="2" t="str">
        <f t="shared" si="39"/>
        <v xml:space="preserve"> </v>
      </c>
      <c r="L469" s="2" t="str">
        <f t="shared" si="36"/>
        <v xml:space="preserve"> </v>
      </c>
      <c r="M469" s="2" t="str">
        <f t="shared" si="37"/>
        <v xml:space="preserve"> </v>
      </c>
    </row>
    <row r="470" spans="1:13" x14ac:dyDescent="0.25">
      <c r="A470" s="34" t="str">
        <f t="shared" si="35"/>
        <v xml:space="preserve"> </v>
      </c>
      <c r="D470" s="33"/>
      <c r="E470" s="33"/>
      <c r="J470" s="14">
        <f t="shared" si="38"/>
        <v>0</v>
      </c>
      <c r="K470" s="2" t="str">
        <f t="shared" si="39"/>
        <v xml:space="preserve"> </v>
      </c>
      <c r="L470" s="2" t="str">
        <f t="shared" si="36"/>
        <v xml:space="preserve"> </v>
      </c>
      <c r="M470" s="2" t="str">
        <f t="shared" si="37"/>
        <v xml:space="preserve"> </v>
      </c>
    </row>
    <row r="471" spans="1:13" x14ac:dyDescent="0.25">
      <c r="A471" s="34" t="str">
        <f t="shared" si="35"/>
        <v xml:space="preserve"> </v>
      </c>
      <c r="D471" s="33"/>
      <c r="E471" s="33"/>
      <c r="J471" s="14">
        <f t="shared" si="38"/>
        <v>0</v>
      </c>
      <c r="K471" s="2" t="str">
        <f t="shared" si="39"/>
        <v xml:space="preserve"> </v>
      </c>
      <c r="L471" s="2" t="str">
        <f t="shared" si="36"/>
        <v xml:space="preserve"> </v>
      </c>
      <c r="M471" s="2" t="str">
        <f t="shared" si="37"/>
        <v xml:space="preserve"> </v>
      </c>
    </row>
    <row r="472" spans="1:13" x14ac:dyDescent="0.25">
      <c r="A472" s="34" t="str">
        <f t="shared" si="35"/>
        <v xml:space="preserve"> </v>
      </c>
      <c r="D472" s="33"/>
      <c r="E472" s="33"/>
      <c r="J472" s="14">
        <f t="shared" si="38"/>
        <v>0</v>
      </c>
      <c r="K472" s="2" t="str">
        <f t="shared" si="39"/>
        <v xml:space="preserve"> </v>
      </c>
      <c r="L472" s="2" t="str">
        <f t="shared" si="36"/>
        <v xml:space="preserve"> </v>
      </c>
      <c r="M472" s="2" t="str">
        <f t="shared" si="37"/>
        <v xml:space="preserve"> </v>
      </c>
    </row>
    <row r="473" spans="1:13" x14ac:dyDescent="0.25">
      <c r="A473" s="34" t="str">
        <f t="shared" si="35"/>
        <v xml:space="preserve"> </v>
      </c>
      <c r="D473" s="33"/>
      <c r="E473" s="33"/>
      <c r="J473" s="14">
        <f t="shared" si="38"/>
        <v>0</v>
      </c>
      <c r="K473" s="2" t="str">
        <f t="shared" si="39"/>
        <v xml:space="preserve"> </v>
      </c>
      <c r="L473" s="2" t="str">
        <f t="shared" si="36"/>
        <v xml:space="preserve"> </v>
      </c>
      <c r="M473" s="2" t="str">
        <f t="shared" si="37"/>
        <v xml:space="preserve"> </v>
      </c>
    </row>
    <row r="474" spans="1:13" x14ac:dyDescent="0.25">
      <c r="A474" s="34" t="str">
        <f t="shared" si="35"/>
        <v xml:space="preserve"> </v>
      </c>
      <c r="D474" s="33"/>
      <c r="E474" s="33"/>
      <c r="J474" s="14">
        <f t="shared" si="38"/>
        <v>0</v>
      </c>
      <c r="K474" s="2" t="str">
        <f t="shared" si="39"/>
        <v xml:space="preserve"> </v>
      </c>
      <c r="L474" s="2" t="str">
        <f t="shared" si="36"/>
        <v xml:space="preserve"> </v>
      </c>
      <c r="M474" s="2" t="str">
        <f t="shared" si="37"/>
        <v xml:space="preserve"> </v>
      </c>
    </row>
    <row r="475" spans="1:13" x14ac:dyDescent="0.25">
      <c r="A475" s="34" t="str">
        <f t="shared" si="35"/>
        <v xml:space="preserve"> </v>
      </c>
      <c r="D475" s="33"/>
      <c r="E475" s="33"/>
      <c r="J475" s="14">
        <f t="shared" si="38"/>
        <v>0</v>
      </c>
      <c r="K475" s="2" t="str">
        <f t="shared" si="39"/>
        <v xml:space="preserve"> </v>
      </c>
      <c r="L475" s="2" t="str">
        <f t="shared" si="36"/>
        <v xml:space="preserve"> </v>
      </c>
      <c r="M475" s="2" t="str">
        <f t="shared" si="37"/>
        <v xml:space="preserve"> </v>
      </c>
    </row>
    <row r="476" spans="1:13" x14ac:dyDescent="0.25">
      <c r="A476" s="34" t="str">
        <f t="shared" si="35"/>
        <v xml:space="preserve"> </v>
      </c>
      <c r="D476" s="33"/>
      <c r="E476" s="33"/>
      <c r="J476" s="14">
        <f t="shared" si="38"/>
        <v>0</v>
      </c>
      <c r="K476" s="2" t="str">
        <f t="shared" si="39"/>
        <v xml:space="preserve"> </v>
      </c>
      <c r="L476" s="2" t="str">
        <f t="shared" si="36"/>
        <v xml:space="preserve"> </v>
      </c>
      <c r="M476" s="2" t="str">
        <f t="shared" si="37"/>
        <v xml:space="preserve"> </v>
      </c>
    </row>
    <row r="477" spans="1:13" x14ac:dyDescent="0.25">
      <c r="A477" s="34" t="str">
        <f t="shared" si="35"/>
        <v xml:space="preserve"> </v>
      </c>
      <c r="D477" s="33"/>
      <c r="E477" s="33"/>
      <c r="J477" s="14">
        <f t="shared" si="38"/>
        <v>0</v>
      </c>
      <c r="K477" s="2" t="str">
        <f t="shared" si="39"/>
        <v xml:space="preserve"> </v>
      </c>
      <c r="L477" s="2" t="str">
        <f t="shared" si="36"/>
        <v xml:space="preserve"> </v>
      </c>
      <c r="M477" s="2" t="str">
        <f t="shared" si="37"/>
        <v xml:space="preserve"> </v>
      </c>
    </row>
    <row r="478" spans="1:13" x14ac:dyDescent="0.25">
      <c r="A478" s="34" t="str">
        <f t="shared" si="35"/>
        <v xml:space="preserve"> </v>
      </c>
      <c r="D478" s="33"/>
      <c r="E478" s="33"/>
      <c r="J478" s="14">
        <f t="shared" si="38"/>
        <v>0</v>
      </c>
      <c r="K478" s="2" t="str">
        <f t="shared" si="39"/>
        <v xml:space="preserve"> </v>
      </c>
      <c r="L478" s="2" t="str">
        <f t="shared" si="36"/>
        <v xml:space="preserve"> </v>
      </c>
      <c r="M478" s="2" t="str">
        <f t="shared" si="37"/>
        <v xml:space="preserve"> </v>
      </c>
    </row>
    <row r="479" spans="1:13" x14ac:dyDescent="0.25">
      <c r="A479" s="34" t="str">
        <f t="shared" si="35"/>
        <v xml:space="preserve"> </v>
      </c>
      <c r="D479" s="33"/>
      <c r="E479" s="33"/>
      <c r="J479" s="14">
        <f t="shared" si="38"/>
        <v>0</v>
      </c>
      <c r="K479" s="2" t="str">
        <f t="shared" si="39"/>
        <v xml:space="preserve"> </v>
      </c>
      <c r="L479" s="2" t="str">
        <f t="shared" si="36"/>
        <v xml:space="preserve"> </v>
      </c>
      <c r="M479" s="2" t="str">
        <f t="shared" si="37"/>
        <v xml:space="preserve"> </v>
      </c>
    </row>
    <row r="480" spans="1:13" x14ac:dyDescent="0.25">
      <c r="A480" s="34" t="str">
        <f t="shared" si="35"/>
        <v xml:space="preserve"> </v>
      </c>
      <c r="D480" s="33"/>
      <c r="E480" s="33"/>
      <c r="J480" s="14">
        <f t="shared" si="38"/>
        <v>0</v>
      </c>
      <c r="K480" s="2" t="str">
        <f t="shared" si="39"/>
        <v xml:space="preserve"> </v>
      </c>
      <c r="L480" s="2" t="str">
        <f t="shared" si="36"/>
        <v xml:space="preserve"> </v>
      </c>
      <c r="M480" s="2" t="str">
        <f t="shared" si="37"/>
        <v xml:space="preserve"> </v>
      </c>
    </row>
    <row r="481" spans="1:13" x14ac:dyDescent="0.25">
      <c r="A481" s="34" t="str">
        <f t="shared" si="35"/>
        <v xml:space="preserve"> </v>
      </c>
      <c r="D481" s="33"/>
      <c r="E481" s="33"/>
      <c r="J481" s="14">
        <f t="shared" si="38"/>
        <v>0</v>
      </c>
      <c r="K481" s="2" t="str">
        <f t="shared" si="39"/>
        <v xml:space="preserve"> </v>
      </c>
      <c r="L481" s="2" t="str">
        <f t="shared" si="36"/>
        <v xml:space="preserve"> </v>
      </c>
      <c r="M481" s="2" t="str">
        <f t="shared" si="37"/>
        <v xml:space="preserve"> </v>
      </c>
    </row>
    <row r="482" spans="1:13" x14ac:dyDescent="0.25">
      <c r="A482" s="34" t="str">
        <f t="shared" si="35"/>
        <v xml:space="preserve"> </v>
      </c>
      <c r="D482" s="33"/>
      <c r="E482" s="33"/>
      <c r="J482" s="14">
        <f t="shared" si="38"/>
        <v>0</v>
      </c>
      <c r="K482" s="2" t="str">
        <f t="shared" si="39"/>
        <v xml:space="preserve"> </v>
      </c>
      <c r="L482" s="2" t="str">
        <f t="shared" si="36"/>
        <v xml:space="preserve"> </v>
      </c>
      <c r="M482" s="2" t="str">
        <f t="shared" si="37"/>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292</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R431"/>
  <sheetViews>
    <sheetView zoomScale="89" zoomScaleNormal="89" workbookViewId="0">
      <pane ySplit="3" topLeftCell="A4" activePane="bottomLeft" state="frozen"/>
      <selection pane="bottomLeft" activeCell="A6" sqref="A6"/>
    </sheetView>
  </sheetViews>
  <sheetFormatPr defaultRowHeight="12.75" x14ac:dyDescent="0.2"/>
  <cols>
    <col min="1" max="1" width="17.7109375" style="11" customWidth="1"/>
    <col min="3" max="3" width="46.42578125" style="12" bestFit="1" customWidth="1"/>
    <col min="4" max="5" width="15.42578125" style="13" bestFit="1" customWidth="1"/>
    <col min="6" max="6" width="15.42578125" style="13" customWidth="1"/>
    <col min="7" max="7" width="13.7109375" style="13" customWidth="1"/>
    <col min="8" max="8" width="15.85546875" style="13" bestFit="1" customWidth="1"/>
    <col min="9" max="9" width="16" style="125" customWidth="1"/>
    <col min="10" max="10" width="3.85546875" style="76" customWidth="1"/>
    <col min="11" max="11" width="16.140625" bestFit="1" customWidth="1"/>
    <col min="12" max="12" width="4.140625" customWidth="1"/>
    <col min="13" max="13" width="8.85546875" customWidth="1"/>
    <col min="14" max="14" width="15.85546875" style="42" bestFit="1" customWidth="1"/>
    <col min="15" max="15" width="14.28515625" bestFit="1" customWidth="1"/>
    <col min="16" max="17" width="13.140625" bestFit="1" customWidth="1"/>
    <col min="18" max="18" width="13.85546875" bestFit="1" customWidth="1"/>
  </cols>
  <sheetData>
    <row r="1" spans="1:18" x14ac:dyDescent="0.2">
      <c r="A1" s="257"/>
      <c r="B1" s="258"/>
      <c r="C1" s="273" t="str">
        <f>Criteria!E15</f>
        <v>SUBSIDIARY TWO 15 (PTY) LTD</v>
      </c>
      <c r="D1" s="274"/>
      <c r="E1" s="274"/>
      <c r="F1" s="259"/>
      <c r="G1" s="260" t="s">
        <v>166</v>
      </c>
      <c r="H1" s="260"/>
      <c r="I1" s="261">
        <f>Criteria!E22</f>
        <v>2024</v>
      </c>
      <c r="J1" s="261"/>
      <c r="K1" s="261">
        <f>Criteria!E27</f>
        <v>2023</v>
      </c>
      <c r="L1" s="258"/>
      <c r="M1" s="258"/>
      <c r="N1" s="244" t="s">
        <v>350</v>
      </c>
      <c r="O1" s="62"/>
      <c r="P1" s="62"/>
    </row>
    <row r="2" spans="1:18" x14ac:dyDescent="0.2">
      <c r="A2" s="262" t="s">
        <v>1015</v>
      </c>
      <c r="B2" s="258"/>
      <c r="C2" s="258"/>
      <c r="D2" s="529">
        <f>D403-E403</f>
        <v>0</v>
      </c>
      <c r="E2" s="529"/>
      <c r="F2" s="264" t="s">
        <v>446</v>
      </c>
      <c r="G2" s="259">
        <f>G403</f>
        <v>0</v>
      </c>
      <c r="H2" s="259">
        <f>D2-E2</f>
        <v>0</v>
      </c>
      <c r="I2" s="266">
        <f>I403</f>
        <v>0</v>
      </c>
      <c r="J2" s="267"/>
      <c r="K2" s="268">
        <f>K403</f>
        <v>0</v>
      </c>
      <c r="L2" s="258"/>
      <c r="M2" s="258"/>
      <c r="N2" s="268">
        <f>SUM(I5:I155)</f>
        <v>0</v>
      </c>
      <c r="O2" s="63"/>
      <c r="P2" s="63"/>
    </row>
    <row r="3" spans="1:18" x14ac:dyDescent="0.2">
      <c r="A3" s="262" t="s">
        <v>620</v>
      </c>
      <c r="B3" s="275" t="s">
        <v>227</v>
      </c>
      <c r="C3" s="269" t="s">
        <v>228</v>
      </c>
      <c r="D3" s="262" t="s">
        <v>229</v>
      </c>
      <c r="E3" s="262" t="s">
        <v>230</v>
      </c>
      <c r="F3" s="270" t="s">
        <v>137</v>
      </c>
      <c r="G3" s="257"/>
      <c r="H3" s="257"/>
      <c r="I3" s="281"/>
      <c r="J3" s="272"/>
      <c r="K3" s="258"/>
      <c r="L3" s="258"/>
      <c r="M3" s="258"/>
      <c r="N3" s="241"/>
    </row>
    <row r="4" spans="1:18" x14ac:dyDescent="0.2">
      <c r="A4" s="121"/>
      <c r="B4" s="90" t="s">
        <v>231</v>
      </c>
      <c r="C4" s="239" t="s">
        <v>112</v>
      </c>
      <c r="D4" s="83"/>
      <c r="E4" s="51"/>
      <c r="F4" s="51"/>
      <c r="G4" s="38"/>
      <c r="H4" s="38"/>
      <c r="I4" s="51"/>
      <c r="J4" s="59"/>
      <c r="K4" s="46" t="s">
        <v>228</v>
      </c>
      <c r="N4" s="43"/>
    </row>
    <row r="5" spans="1:18" x14ac:dyDescent="0.2">
      <c r="A5" s="238"/>
      <c r="B5" s="10" t="s">
        <v>232</v>
      </c>
      <c r="C5" s="242" t="s">
        <v>907</v>
      </c>
      <c r="D5" s="282"/>
      <c r="E5" s="281"/>
      <c r="F5" s="79"/>
      <c r="G5" s="47">
        <f>SUMIF(JournalsB!D$14:D$920,TrialBalanceB!M5,JournalsB!J$14:J$920)+SUMIF(JournalsB!E$14:E$920,TrialBalanceB!M5,JournalsB!J$14:J$920)</f>
        <v>0</v>
      </c>
      <c r="H5" s="288"/>
      <c r="I5" s="290">
        <f t="shared" ref="I5:I72" si="0">ROUND(D5-E5+G5+F5,0)</f>
        <v>0</v>
      </c>
      <c r="J5" s="75"/>
      <c r="K5" s="48">
        <f t="shared" ref="K5:K72" si="1">ROUND(SUM(A5),0)</f>
        <v>0</v>
      </c>
      <c r="M5" s="140" t="str">
        <f t="shared" ref="M5:M72" si="2">CONCATENATE(B5,C5)</f>
        <v>1000/001Sale of goods</v>
      </c>
      <c r="N5" s="70"/>
      <c r="P5" s="71"/>
      <c r="Q5" s="51"/>
      <c r="R5" s="31"/>
    </row>
    <row r="6" spans="1:18" x14ac:dyDescent="0.2">
      <c r="A6" s="238"/>
      <c r="B6" s="90" t="s">
        <v>233</v>
      </c>
      <c r="C6" s="242" t="s">
        <v>908</v>
      </c>
      <c r="D6" s="282"/>
      <c r="E6" s="281"/>
      <c r="F6" s="79"/>
      <c r="G6" s="47">
        <f>SUMIF(JournalsB!D$14:D$920,TrialBalanceB!M6,JournalsB!J$14:J$920)+SUMIF(JournalsB!E$14:E$920,TrialBalanceB!M6,JournalsB!J$14:J$920)</f>
        <v>0</v>
      </c>
      <c r="H6" s="288"/>
      <c r="I6" s="290">
        <f t="shared" ref="I6:I9" si="3">ROUND(D6-E6+G6+F6,0)</f>
        <v>0</v>
      </c>
      <c r="J6" s="75"/>
      <c r="K6" s="48">
        <f t="shared" ref="K6:K9" si="4">ROUND(SUM(A6),0)</f>
        <v>0</v>
      </c>
      <c r="M6" s="140" t="str">
        <f t="shared" ref="M6:M9" si="5">CONCATENATE(B6,C6)</f>
        <v>1000/002Rendering of services</v>
      </c>
      <c r="N6" s="70"/>
      <c r="P6" s="71"/>
      <c r="Q6" s="51"/>
      <c r="R6" s="31"/>
    </row>
    <row r="7" spans="1:18" x14ac:dyDescent="0.2">
      <c r="A7" s="238"/>
      <c r="B7" s="90" t="s">
        <v>234</v>
      </c>
      <c r="C7" s="242" t="s">
        <v>909</v>
      </c>
      <c r="D7" s="282"/>
      <c r="E7" s="281"/>
      <c r="F7" s="79"/>
      <c r="G7" s="47">
        <f>SUMIF(JournalsB!D$14:D$920,TrialBalanceB!M7,JournalsB!J$14:J$920)+SUMIF(JournalsB!E$14:E$920,TrialBalanceB!M7,JournalsB!J$14:J$920)</f>
        <v>0</v>
      </c>
      <c r="H7" s="288"/>
      <c r="I7" s="290">
        <f t="shared" si="3"/>
        <v>0</v>
      </c>
      <c r="J7" s="75"/>
      <c r="K7" s="48">
        <f t="shared" si="4"/>
        <v>0</v>
      </c>
      <c r="M7" s="140" t="str">
        <f t="shared" si="5"/>
        <v>1000/003Commissions received</v>
      </c>
      <c r="N7" s="70"/>
      <c r="P7" s="71"/>
      <c r="Q7" s="51"/>
      <c r="R7" s="31"/>
    </row>
    <row r="8" spans="1:18" x14ac:dyDescent="0.2">
      <c r="A8" s="238"/>
      <c r="B8" s="90" t="s">
        <v>910</v>
      </c>
      <c r="C8" s="276"/>
      <c r="D8" s="282"/>
      <c r="E8" s="281"/>
      <c r="F8" s="79"/>
      <c r="G8" s="47">
        <f>SUMIF(JournalsB!D$14:D$920,TrialBalanceB!M8,JournalsB!J$14:J$920)+SUMIF(JournalsB!E$14:E$920,TrialBalanceB!M8,JournalsB!J$14:J$920)</f>
        <v>0</v>
      </c>
      <c r="H8" s="288"/>
      <c r="I8" s="290">
        <f t="shared" si="3"/>
        <v>0</v>
      </c>
      <c r="J8" s="75"/>
      <c r="K8" s="48">
        <f t="shared" si="4"/>
        <v>0</v>
      </c>
      <c r="M8" s="140" t="str">
        <f t="shared" si="5"/>
        <v>1000/004</v>
      </c>
      <c r="N8" s="70"/>
      <c r="P8" s="71"/>
      <c r="Q8" s="51"/>
      <c r="R8" s="31"/>
    </row>
    <row r="9" spans="1:18" x14ac:dyDescent="0.2">
      <c r="A9" s="238"/>
      <c r="B9" s="90" t="s">
        <v>911</v>
      </c>
      <c r="C9" s="276"/>
      <c r="D9" s="282"/>
      <c r="E9" s="281"/>
      <c r="F9" s="79"/>
      <c r="G9" s="47">
        <f>SUMIF(JournalsB!D$14:D$920,TrialBalanceB!M9,JournalsB!J$14:J$920)+SUMIF(JournalsB!E$14:E$920,TrialBalanceB!M9,JournalsB!J$14:J$920)</f>
        <v>0</v>
      </c>
      <c r="H9" s="288"/>
      <c r="I9" s="290">
        <f t="shared" si="3"/>
        <v>0</v>
      </c>
      <c r="J9" s="75"/>
      <c r="K9" s="48">
        <f t="shared" si="4"/>
        <v>0</v>
      </c>
      <c r="M9" s="140" t="str">
        <f t="shared" si="5"/>
        <v>1000/005</v>
      </c>
      <c r="N9" s="70"/>
      <c r="P9" s="71"/>
      <c r="Q9" s="51"/>
      <c r="R9" s="31"/>
    </row>
    <row r="10" spans="1:18" x14ac:dyDescent="0.2">
      <c r="A10" s="238"/>
      <c r="B10" s="90" t="s">
        <v>912</v>
      </c>
      <c r="C10" s="277"/>
      <c r="D10" s="282"/>
      <c r="E10" s="281"/>
      <c r="F10" s="79"/>
      <c r="G10" s="47">
        <f>SUMIF(JournalsB!D$14:D$920,TrialBalanceB!M10,JournalsB!J$14:J$920)+SUMIF(JournalsB!E$14:E$920,TrialBalanceB!M10,JournalsB!J$14:J$920)</f>
        <v>0</v>
      </c>
      <c r="H10" s="288"/>
      <c r="I10" s="290">
        <f t="shared" si="0"/>
        <v>0</v>
      </c>
      <c r="J10" s="75"/>
      <c r="K10" s="48">
        <f t="shared" si="1"/>
        <v>0</v>
      </c>
      <c r="M10" s="140" t="str">
        <f t="shared" si="2"/>
        <v>1000/006</v>
      </c>
      <c r="N10" s="70"/>
      <c r="P10" s="71"/>
      <c r="Q10" s="51"/>
      <c r="R10" s="31"/>
    </row>
    <row r="11" spans="1:18" x14ac:dyDescent="0.2">
      <c r="A11" s="238"/>
      <c r="B11" s="90" t="s">
        <v>913</v>
      </c>
      <c r="C11" s="241" t="s">
        <v>359</v>
      </c>
      <c r="D11" s="272"/>
      <c r="E11" s="272"/>
      <c r="F11" s="79"/>
      <c r="G11" s="47">
        <f>SUMIF(JournalsB!D$14:D$920,TrialBalanceB!M11,JournalsB!J$14:J$920)+SUMIF(JournalsB!E$14:E$920,TrialBalanceB!M11,JournalsB!J$14:J$920)</f>
        <v>0</v>
      </c>
      <c r="H11" s="288"/>
      <c r="I11" s="290">
        <f t="shared" si="0"/>
        <v>0</v>
      </c>
      <c r="J11" s="75"/>
      <c r="K11" s="48">
        <f t="shared" si="1"/>
        <v>0</v>
      </c>
      <c r="M11" s="140" t="str">
        <f t="shared" si="2"/>
        <v>1000/007Rent received</v>
      </c>
      <c r="N11" s="70"/>
      <c r="P11" s="71"/>
      <c r="Q11" s="51"/>
      <c r="R11" s="31"/>
    </row>
    <row r="12" spans="1:18" x14ac:dyDescent="0.2">
      <c r="A12" s="238"/>
      <c r="B12" s="54" t="s">
        <v>235</v>
      </c>
      <c r="C12" s="239" t="s">
        <v>113</v>
      </c>
      <c r="D12" s="283"/>
      <c r="E12" s="281"/>
      <c r="F12" s="79"/>
      <c r="G12" s="47">
        <f>SUMIF(JournalsB!D$14:D$920,TrialBalanceB!M12,JournalsB!J$14:J$920)+SUMIF(JournalsB!E$14:E$920,TrialBalanceB!M12,JournalsB!J$14:J$920)</f>
        <v>0</v>
      </c>
      <c r="H12" s="288"/>
      <c r="I12" s="290">
        <f t="shared" si="0"/>
        <v>0</v>
      </c>
      <c r="J12" s="75"/>
      <c r="K12" s="48">
        <f t="shared" si="1"/>
        <v>0</v>
      </c>
      <c r="M12" s="140" t="str">
        <f t="shared" si="2"/>
        <v>2000/000COST OF SALES</v>
      </c>
      <c r="N12" s="70"/>
      <c r="P12" s="71"/>
      <c r="Q12" s="51"/>
      <c r="R12" s="31"/>
    </row>
    <row r="13" spans="1:18" x14ac:dyDescent="0.2">
      <c r="A13" s="238"/>
      <c r="B13" s="54" t="s">
        <v>236</v>
      </c>
      <c r="C13" s="242" t="s">
        <v>664</v>
      </c>
      <c r="D13" s="284"/>
      <c r="E13" s="281"/>
      <c r="F13" s="79"/>
      <c r="G13" s="47">
        <f>SUMIF(JournalsB!D$14:D$920,TrialBalanceB!M13,JournalsB!J$14:J$920)+SUMIF(JournalsB!E$14:E$920,TrialBalanceB!M13,JournalsB!J$14:J$920)</f>
        <v>0</v>
      </c>
      <c r="H13" s="288"/>
      <c r="I13" s="290">
        <f t="shared" si="0"/>
        <v>0</v>
      </c>
      <c r="J13" s="75"/>
      <c r="K13" s="48">
        <f t="shared" si="1"/>
        <v>0</v>
      </c>
      <c r="M13" s="140" t="str">
        <f t="shared" si="2"/>
        <v>2000/001Opening stock - Raw materials</v>
      </c>
      <c r="N13" s="70"/>
      <c r="P13" s="71"/>
      <c r="Q13" s="51"/>
      <c r="R13" s="31"/>
    </row>
    <row r="14" spans="1:18" x14ac:dyDescent="0.2">
      <c r="A14" s="238"/>
      <c r="B14" s="54" t="s">
        <v>388</v>
      </c>
      <c r="C14" s="240" t="s">
        <v>389</v>
      </c>
      <c r="D14" s="282"/>
      <c r="E14" s="281"/>
      <c r="F14" s="79"/>
      <c r="G14" s="47">
        <f>SUMIF(JournalsB!D$14:D$920,TrialBalanceB!M14,JournalsB!J$14:J$920)+SUMIF(JournalsB!E$14:E$920,TrialBalanceB!M14,JournalsB!J$14:J$920)</f>
        <v>0</v>
      </c>
      <c r="H14" s="288"/>
      <c r="I14" s="290">
        <f t="shared" si="0"/>
        <v>0</v>
      </c>
      <c r="J14" s="75"/>
      <c r="K14" s="48">
        <f t="shared" si="1"/>
        <v>0</v>
      </c>
      <c r="M14" s="140" t="str">
        <f t="shared" si="2"/>
        <v>2000/002Opening stock - WIP</v>
      </c>
      <c r="N14" s="70"/>
      <c r="P14" s="71"/>
      <c r="Q14" s="51"/>
      <c r="R14" s="31"/>
    </row>
    <row r="15" spans="1:18" x14ac:dyDescent="0.2">
      <c r="A15" s="238"/>
      <c r="B15" s="54" t="s">
        <v>390</v>
      </c>
      <c r="C15" s="240" t="s">
        <v>391</v>
      </c>
      <c r="D15" s="282"/>
      <c r="E15" s="281"/>
      <c r="F15" s="79"/>
      <c r="G15" s="47">
        <f>SUMIF(JournalsB!D$14:D$920,TrialBalanceB!M15,JournalsB!J$14:J$920)+SUMIF(JournalsB!E$14:E$920,TrialBalanceB!M15,JournalsB!J$14:J$920)</f>
        <v>0</v>
      </c>
      <c r="H15" s="288"/>
      <c r="I15" s="290">
        <f t="shared" si="0"/>
        <v>0</v>
      </c>
      <c r="J15" s="75"/>
      <c r="K15" s="48">
        <f t="shared" si="1"/>
        <v>0</v>
      </c>
      <c r="M15" s="140" t="str">
        <f t="shared" si="2"/>
        <v>2000/003Opening stock - Finished goods</v>
      </c>
      <c r="N15" s="70"/>
      <c r="P15" s="71"/>
      <c r="Q15" s="51"/>
      <c r="R15" s="31"/>
    </row>
    <row r="16" spans="1:18" x14ac:dyDescent="0.2">
      <c r="A16" s="238"/>
      <c r="B16" s="54" t="s">
        <v>392</v>
      </c>
      <c r="C16" s="240" t="s">
        <v>393</v>
      </c>
      <c r="D16" s="282"/>
      <c r="E16" s="281"/>
      <c r="F16" s="79"/>
      <c r="G16" s="47">
        <f>SUMIF(JournalsB!D$14:D$920,TrialBalanceB!M16,JournalsB!J$14:J$920)+SUMIF(JournalsB!E$14:E$920,TrialBalanceB!M16,JournalsB!J$14:J$920)</f>
        <v>0</v>
      </c>
      <c r="H16" s="288"/>
      <c r="I16" s="290">
        <f t="shared" si="0"/>
        <v>0</v>
      </c>
      <c r="J16" s="75"/>
      <c r="K16" s="48">
        <f t="shared" si="1"/>
        <v>0</v>
      </c>
      <c r="M16" s="140" t="str">
        <f t="shared" si="2"/>
        <v>2000/004Opening stock - Trading stock</v>
      </c>
      <c r="N16" s="70"/>
      <c r="P16" s="71"/>
      <c r="Q16" s="51"/>
      <c r="R16" s="31"/>
    </row>
    <row r="17" spans="1:18" x14ac:dyDescent="0.2">
      <c r="A17" s="238"/>
      <c r="B17" s="10" t="s">
        <v>394</v>
      </c>
      <c r="C17" s="240" t="s">
        <v>274</v>
      </c>
      <c r="D17" s="282"/>
      <c r="E17" s="281"/>
      <c r="F17" s="79"/>
      <c r="G17" s="47">
        <f>SUMIF(JournalsB!D$14:D$920,TrialBalanceB!M17,JournalsB!J$14:J$920)+SUMIF(JournalsB!E$14:E$920,TrialBalanceB!M17,JournalsB!J$14:J$920)</f>
        <v>0</v>
      </c>
      <c r="H17" s="288"/>
      <c r="I17" s="290">
        <f t="shared" si="0"/>
        <v>0</v>
      </c>
      <c r="J17" s="75"/>
      <c r="K17" s="48">
        <f t="shared" si="1"/>
        <v>0</v>
      </c>
      <c r="M17" s="140" t="str">
        <f t="shared" si="2"/>
        <v>2000/010Purchases</v>
      </c>
      <c r="N17" s="70"/>
      <c r="P17" s="71"/>
      <c r="Q17" s="51"/>
      <c r="R17" s="31"/>
    </row>
    <row r="18" spans="1:18" x14ac:dyDescent="0.2">
      <c r="A18" s="238"/>
      <c r="B18" s="10" t="s">
        <v>395</v>
      </c>
      <c r="C18" s="276"/>
      <c r="D18" s="281"/>
      <c r="E18" s="281"/>
      <c r="F18" s="79"/>
      <c r="G18" s="47">
        <f>SUMIF(JournalsB!D$14:D$920,TrialBalanceB!M18,JournalsB!J$14:J$920)+SUMIF(JournalsB!E$14:E$920,TrialBalanceB!M18,JournalsB!J$14:J$920)</f>
        <v>0</v>
      </c>
      <c r="H18" s="288"/>
      <c r="I18" s="290">
        <f t="shared" si="0"/>
        <v>0</v>
      </c>
      <c r="J18" s="75"/>
      <c r="K18" s="48">
        <f t="shared" si="1"/>
        <v>0</v>
      </c>
      <c r="M18" s="140" t="str">
        <f t="shared" si="2"/>
        <v>2000/011</v>
      </c>
      <c r="N18" s="70"/>
      <c r="O18" s="31"/>
      <c r="P18" s="71"/>
      <c r="Q18" s="51"/>
      <c r="R18" s="31"/>
    </row>
    <row r="19" spans="1:18" x14ac:dyDescent="0.2">
      <c r="A19" s="238"/>
      <c r="B19" s="54" t="s">
        <v>396</v>
      </c>
      <c r="C19" s="277"/>
      <c r="D19" s="272"/>
      <c r="E19" s="281"/>
      <c r="F19" s="79"/>
      <c r="G19" s="47">
        <f>SUMIF(JournalsB!D$14:D$920,TrialBalanceB!M19,JournalsB!J$14:J$920)+SUMIF(JournalsB!E$14:E$920,TrialBalanceB!M19,JournalsB!J$14:J$920)</f>
        <v>0</v>
      </c>
      <c r="H19" s="288"/>
      <c r="I19" s="290">
        <f t="shared" si="0"/>
        <v>0</v>
      </c>
      <c r="J19" s="75"/>
      <c r="K19" s="48">
        <f t="shared" si="1"/>
        <v>0</v>
      </c>
      <c r="M19" s="140" t="str">
        <f t="shared" si="2"/>
        <v>2000/012</v>
      </c>
      <c r="N19" s="70"/>
      <c r="P19" s="71"/>
      <c r="Q19" s="51"/>
      <c r="R19" s="31"/>
    </row>
    <row r="20" spans="1:18" x14ac:dyDescent="0.2">
      <c r="A20" s="238"/>
      <c r="B20" s="54" t="s">
        <v>397</v>
      </c>
      <c r="C20" s="277"/>
      <c r="D20" s="272"/>
      <c r="E20" s="281"/>
      <c r="F20" s="79"/>
      <c r="G20" s="47">
        <f>SUMIF(JournalsB!D$14:D$920,TrialBalanceB!M20,JournalsB!J$14:J$920)+SUMIF(JournalsB!E$14:E$920,TrialBalanceB!M20,JournalsB!J$14:J$920)</f>
        <v>0</v>
      </c>
      <c r="H20" s="288"/>
      <c r="I20" s="290">
        <f t="shared" si="0"/>
        <v>0</v>
      </c>
      <c r="J20" s="75"/>
      <c r="K20" s="48">
        <f t="shared" si="1"/>
        <v>0</v>
      </c>
      <c r="M20" s="140" t="str">
        <f t="shared" si="2"/>
        <v>2000/013</v>
      </c>
      <c r="N20" s="70"/>
      <c r="P20" s="71"/>
      <c r="Q20" s="51"/>
      <c r="R20" s="31"/>
    </row>
    <row r="21" spans="1:18" x14ac:dyDescent="0.2">
      <c r="A21" s="238"/>
      <c r="B21" s="54" t="s">
        <v>398</v>
      </c>
      <c r="C21" s="277"/>
      <c r="D21" s="272"/>
      <c r="E21" s="281"/>
      <c r="F21" s="79"/>
      <c r="G21" s="47">
        <f>SUMIF(JournalsB!D$14:D$920,TrialBalanceB!M21,JournalsB!J$14:J$920)+SUMIF(JournalsB!E$14:E$920,TrialBalanceB!M21,JournalsB!J$14:J$920)</f>
        <v>0</v>
      </c>
      <c r="H21" s="288"/>
      <c r="I21" s="290">
        <f t="shared" si="0"/>
        <v>0</v>
      </c>
      <c r="J21" s="75"/>
      <c r="K21" s="48">
        <f t="shared" si="1"/>
        <v>0</v>
      </c>
      <c r="M21" s="140" t="str">
        <f t="shared" si="2"/>
        <v>2000/014</v>
      </c>
      <c r="N21" s="70"/>
      <c r="P21" s="71"/>
      <c r="Q21" s="51"/>
      <c r="R21" s="31"/>
    </row>
    <row r="22" spans="1:18" x14ac:dyDescent="0.2">
      <c r="A22" s="238"/>
      <c r="B22" s="54" t="s">
        <v>399</v>
      </c>
      <c r="C22" s="277"/>
      <c r="D22" s="272"/>
      <c r="E22" s="281"/>
      <c r="F22" s="79"/>
      <c r="G22" s="47">
        <f>SUMIF(JournalsB!D$14:D$920,TrialBalanceB!M22,JournalsB!J$14:J$920)+SUMIF(JournalsB!E$14:E$920,TrialBalanceB!M22,JournalsB!J$14:J$920)</f>
        <v>0</v>
      </c>
      <c r="H22" s="288"/>
      <c r="I22" s="290">
        <f t="shared" si="0"/>
        <v>0</v>
      </c>
      <c r="J22" s="75"/>
      <c r="K22" s="48">
        <f t="shared" si="1"/>
        <v>0</v>
      </c>
      <c r="M22" s="140" t="str">
        <f t="shared" si="2"/>
        <v>2000/015</v>
      </c>
      <c r="N22" s="70"/>
      <c r="P22" s="71"/>
      <c r="Q22" s="51"/>
      <c r="R22" s="31"/>
    </row>
    <row r="23" spans="1:18" x14ac:dyDescent="0.2">
      <c r="A23" s="238"/>
      <c r="B23" s="54" t="s">
        <v>400</v>
      </c>
      <c r="C23" s="240" t="s">
        <v>401</v>
      </c>
      <c r="D23" s="282"/>
      <c r="E23" s="281"/>
      <c r="F23" s="79"/>
      <c r="G23" s="47">
        <f>SUMIF(JournalsB!D$14:D$920,TrialBalanceB!M23,JournalsB!J$14:J$920)+SUMIF(JournalsB!E$14:E$920,TrialBalanceB!M23,JournalsB!J$14:J$920)</f>
        <v>0</v>
      </c>
      <c r="H23" s="288"/>
      <c r="I23" s="290">
        <f t="shared" si="0"/>
        <v>0</v>
      </c>
      <c r="J23" s="75"/>
      <c r="K23" s="48">
        <f t="shared" si="1"/>
        <v>0</v>
      </c>
      <c r="M23" s="140" t="str">
        <f t="shared" si="2"/>
        <v>2000/050Closing stock - Raw materials</v>
      </c>
      <c r="N23" s="70"/>
      <c r="P23" s="71"/>
      <c r="Q23" s="51"/>
      <c r="R23" s="31"/>
    </row>
    <row r="24" spans="1:18" x14ac:dyDescent="0.2">
      <c r="A24" s="238"/>
      <c r="B24" s="54" t="s">
        <v>402</v>
      </c>
      <c r="C24" s="240" t="s">
        <v>403</v>
      </c>
      <c r="D24" s="282"/>
      <c r="E24" s="281"/>
      <c r="F24" s="79"/>
      <c r="G24" s="47">
        <f>SUMIF(JournalsB!D$14:D$920,TrialBalanceB!M24,JournalsB!J$14:J$920)+SUMIF(JournalsB!E$14:E$920,TrialBalanceB!M24,JournalsB!J$14:J$920)</f>
        <v>0</v>
      </c>
      <c r="H24" s="288"/>
      <c r="I24" s="290">
        <f t="shared" si="0"/>
        <v>0</v>
      </c>
      <c r="J24" s="75"/>
      <c r="K24" s="48">
        <f t="shared" si="1"/>
        <v>0</v>
      </c>
      <c r="M24" s="140" t="str">
        <f t="shared" si="2"/>
        <v>2000/051Closing stock - WIP</v>
      </c>
      <c r="N24" s="70"/>
      <c r="P24" s="71"/>
      <c r="Q24" s="51"/>
      <c r="R24" s="31"/>
    </row>
    <row r="25" spans="1:18" x14ac:dyDescent="0.2">
      <c r="A25" s="238"/>
      <c r="B25" s="54" t="s">
        <v>404</v>
      </c>
      <c r="C25" s="240" t="s">
        <v>405</v>
      </c>
      <c r="D25" s="282"/>
      <c r="E25" s="281"/>
      <c r="F25" s="79"/>
      <c r="G25" s="47">
        <f>SUMIF(JournalsB!D$14:D$920,TrialBalanceB!M25,JournalsB!J$14:J$920)+SUMIF(JournalsB!E$14:E$920,TrialBalanceB!M25,JournalsB!J$14:J$920)</f>
        <v>0</v>
      </c>
      <c r="H25" s="288"/>
      <c r="I25" s="290">
        <f t="shared" si="0"/>
        <v>0</v>
      </c>
      <c r="J25" s="75"/>
      <c r="K25" s="48">
        <f t="shared" si="1"/>
        <v>0</v>
      </c>
      <c r="M25" s="140" t="str">
        <f t="shared" si="2"/>
        <v>2000/052Closing stock - Finished goods</v>
      </c>
      <c r="N25" s="70"/>
      <c r="P25" s="71"/>
      <c r="Q25" s="51"/>
      <c r="R25" s="31"/>
    </row>
    <row r="26" spans="1:18" x14ac:dyDescent="0.2">
      <c r="A26" s="238"/>
      <c r="B26" s="54" t="s">
        <v>406</v>
      </c>
      <c r="C26" s="240" t="s">
        <v>407</v>
      </c>
      <c r="D26" s="282"/>
      <c r="E26" s="281"/>
      <c r="F26" s="79"/>
      <c r="G26" s="47">
        <f>SUMIF(JournalsB!D$14:D$920,TrialBalanceB!M26,JournalsB!J$14:J$920)+SUMIF(JournalsB!E$14:E$920,TrialBalanceB!M26,JournalsB!J$14:J$920)</f>
        <v>0</v>
      </c>
      <c r="H26" s="288"/>
      <c r="I26" s="290">
        <f t="shared" si="0"/>
        <v>0</v>
      </c>
      <c r="J26" s="75"/>
      <c r="K26" s="48">
        <f t="shared" si="1"/>
        <v>0</v>
      </c>
      <c r="M26" s="140" t="str">
        <f t="shared" si="2"/>
        <v>2000/053Closing stock - Trading stock</v>
      </c>
      <c r="N26" s="70"/>
      <c r="P26" s="71"/>
      <c r="Q26" s="51"/>
      <c r="R26" s="31"/>
    </row>
    <row r="27" spans="1:18" x14ac:dyDescent="0.2">
      <c r="A27" s="238"/>
      <c r="B27" s="56" t="s">
        <v>324</v>
      </c>
      <c r="C27" s="244" t="s">
        <v>323</v>
      </c>
      <c r="D27" s="270"/>
      <c r="E27" s="281"/>
      <c r="F27" s="79"/>
      <c r="G27" s="47">
        <f>SUMIF(JournalsB!D$14:D$920,TrialBalanceB!M27,JournalsB!J$14:J$920)+SUMIF(JournalsB!E$14:E$920,TrialBalanceB!M27,JournalsB!J$14:J$920)</f>
        <v>0</v>
      </c>
      <c r="H27" s="288"/>
      <c r="I27" s="290">
        <f t="shared" si="0"/>
        <v>0</v>
      </c>
      <c r="J27" s="75"/>
      <c r="K27" s="48">
        <f t="shared" si="1"/>
        <v>0</v>
      </c>
      <c r="M27" s="140" t="str">
        <f t="shared" si="2"/>
        <v>2050/000OTHER OPERATING INCOME</v>
      </c>
      <c r="N27" s="70"/>
      <c r="P27" s="71"/>
      <c r="Q27" s="51"/>
      <c r="R27" s="31"/>
    </row>
    <row r="28" spans="1:18" x14ac:dyDescent="0.2">
      <c r="A28" s="238"/>
      <c r="B28" s="56" t="s">
        <v>325</v>
      </c>
      <c r="C28" s="241" t="str">
        <f>CONCATENATE("Insurance claims - ",Criteria!H15)</f>
        <v>Insurance claims - Subsidiary Two 15 (Pty) Ltd</v>
      </c>
      <c r="D28" s="281"/>
      <c r="E28" s="281"/>
      <c r="F28" s="79"/>
      <c r="G28" s="47">
        <f>SUMIF(JournalsB!D$14:D$920,TrialBalanceB!M28,JournalsB!J$14:J$920)+SUMIF(JournalsB!E$14:E$920,TrialBalanceB!M28,JournalsB!J$14:J$920)</f>
        <v>0</v>
      </c>
      <c r="H28" s="288"/>
      <c r="I28" s="290">
        <f t="shared" si="0"/>
        <v>0</v>
      </c>
      <c r="J28" s="75"/>
      <c r="K28" s="48">
        <f t="shared" si="1"/>
        <v>0</v>
      </c>
      <c r="M28" s="140" t="str">
        <f t="shared" si="2"/>
        <v>2050/001Insurance claims - Subsidiary Two 15 (Pty) Ltd</v>
      </c>
      <c r="N28" s="70"/>
      <c r="P28" s="71"/>
      <c r="Q28" s="51"/>
      <c r="R28" s="31"/>
    </row>
    <row r="29" spans="1:18" x14ac:dyDescent="0.2">
      <c r="A29" s="238"/>
      <c r="B29" s="56" t="s">
        <v>326</v>
      </c>
      <c r="C29" s="241" t="s">
        <v>831</v>
      </c>
      <c r="D29" s="272"/>
      <c r="E29" s="281"/>
      <c r="F29" s="79"/>
      <c r="G29" s="47">
        <f>SUMIF(JournalsB!D$14:D$920,TrialBalanceB!M29,JournalsB!J$14:J$920)+SUMIF(JournalsB!E$14:E$920,TrialBalanceB!M29,JournalsB!J$14:J$920)</f>
        <v>0</v>
      </c>
      <c r="H29" s="288"/>
      <c r="I29" s="290">
        <f t="shared" si="0"/>
        <v>0</v>
      </c>
      <c r="J29" s="75"/>
      <c r="K29" s="48">
        <f t="shared" si="1"/>
        <v>0</v>
      </c>
      <c r="M29" s="140" t="str">
        <f t="shared" si="2"/>
        <v>2050/002Government grants received</v>
      </c>
      <c r="N29" s="70"/>
      <c r="P29" s="71"/>
      <c r="Q29" s="51"/>
      <c r="R29" s="31"/>
    </row>
    <row r="30" spans="1:18" x14ac:dyDescent="0.2">
      <c r="A30" s="238"/>
      <c r="B30" s="56" t="s">
        <v>327</v>
      </c>
      <c r="C30" s="277"/>
      <c r="D30" s="272"/>
      <c r="E30" s="281"/>
      <c r="F30" s="79"/>
      <c r="G30" s="47">
        <f>SUMIF(JournalsB!D$14:D$920,TrialBalanceB!M30,JournalsB!J$14:J$920)+SUMIF(JournalsB!E$14:E$920,TrialBalanceB!M30,JournalsB!J$14:J$920)</f>
        <v>0</v>
      </c>
      <c r="H30" s="288"/>
      <c r="I30" s="290">
        <f t="shared" si="0"/>
        <v>0</v>
      </c>
      <c r="J30" s="75"/>
      <c r="K30" s="48">
        <f t="shared" si="1"/>
        <v>0</v>
      </c>
      <c r="M30" s="140" t="str">
        <f t="shared" si="2"/>
        <v>2050/003</v>
      </c>
      <c r="N30" s="70"/>
      <c r="P30" s="71"/>
      <c r="Q30" s="51"/>
      <c r="R30" s="31"/>
    </row>
    <row r="31" spans="1:18" x14ac:dyDescent="0.2">
      <c r="A31" s="238"/>
      <c r="B31" s="56" t="s">
        <v>328</v>
      </c>
      <c r="C31" s="277"/>
      <c r="D31" s="272"/>
      <c r="E31" s="281"/>
      <c r="F31" s="79"/>
      <c r="G31" s="47">
        <f>SUMIF(JournalsB!D$14:D$920,TrialBalanceB!M31,JournalsB!J$14:J$920)+SUMIF(JournalsB!E$14:E$920,TrialBalanceB!M31,JournalsB!J$14:J$920)</f>
        <v>0</v>
      </c>
      <c r="H31" s="288"/>
      <c r="I31" s="290">
        <f t="shared" si="0"/>
        <v>0</v>
      </c>
      <c r="J31" s="75"/>
      <c r="K31" s="48">
        <f t="shared" si="1"/>
        <v>0</v>
      </c>
      <c r="M31" s="140" t="str">
        <f t="shared" si="2"/>
        <v>2050/004</v>
      </c>
      <c r="N31" s="70"/>
      <c r="P31" s="71"/>
      <c r="Q31" s="51"/>
      <c r="R31" s="31"/>
    </row>
    <row r="32" spans="1:18" x14ac:dyDescent="0.2">
      <c r="A32" s="238"/>
      <c r="B32" s="56" t="s">
        <v>329</v>
      </c>
      <c r="C32" s="277"/>
      <c r="D32" s="272"/>
      <c r="E32" s="281"/>
      <c r="F32" s="79"/>
      <c r="G32" s="47">
        <f>SUMIF(JournalsB!D$14:D$920,TrialBalanceB!M32,JournalsB!J$14:J$920)+SUMIF(JournalsB!E$14:E$920,TrialBalanceB!M32,JournalsB!J$14:J$920)</f>
        <v>0</v>
      </c>
      <c r="H32" s="288"/>
      <c r="I32" s="290">
        <f t="shared" si="0"/>
        <v>0</v>
      </c>
      <c r="J32" s="75"/>
      <c r="K32" s="48">
        <f t="shared" si="1"/>
        <v>0</v>
      </c>
      <c r="M32" s="140" t="str">
        <f t="shared" si="2"/>
        <v>2050/005</v>
      </c>
      <c r="N32" s="70"/>
      <c r="P32" s="71"/>
      <c r="Q32" s="51"/>
      <c r="R32" s="31"/>
    </row>
    <row r="33" spans="1:18" x14ac:dyDescent="0.2">
      <c r="A33" s="238"/>
      <c r="B33" s="43" t="s">
        <v>1073</v>
      </c>
      <c r="C33" s="241" t="s">
        <v>1074</v>
      </c>
      <c r="D33" s="272"/>
      <c r="E33" s="281"/>
      <c r="F33" s="79"/>
      <c r="G33" s="47">
        <f>SUMIF(JournalsB!D$14:D$920,TrialBalanceB!M33,JournalsB!J$14:J$920)+SUMIF(JournalsB!E$14:E$920,TrialBalanceB!M33,JournalsB!J$14:J$920)</f>
        <v>0</v>
      </c>
      <c r="H33" s="288"/>
      <c r="I33" s="290">
        <f t="shared" ref="I33" si="6">ROUND(D33-E33+G33+F33,0)</f>
        <v>0</v>
      </c>
      <c r="J33" s="75"/>
      <c r="K33" s="48">
        <f t="shared" ref="K33" si="7">ROUND(SUM(A33),0)</f>
        <v>0</v>
      </c>
      <c r="M33" s="140" t="str">
        <f t="shared" ref="M33" si="8">CONCATENATE(B33,C33)</f>
        <v>2050/006Recoupment of depreciation</v>
      </c>
      <c r="N33" s="70"/>
      <c r="P33" s="71"/>
      <c r="Q33" s="51"/>
      <c r="R33" s="31"/>
    </row>
    <row r="34" spans="1:18" x14ac:dyDescent="0.2">
      <c r="A34" s="238"/>
      <c r="B34" s="43" t="s">
        <v>666</v>
      </c>
      <c r="C34" s="244" t="s">
        <v>665</v>
      </c>
      <c r="D34" s="270"/>
      <c r="E34" s="281"/>
      <c r="F34" s="79"/>
      <c r="G34" s="47">
        <f>SUMIF(JournalsB!D$14:D$920,TrialBalanceB!M34,JournalsB!J$14:J$920)+SUMIF(JournalsB!E$14:E$920,TrialBalanceB!M34,JournalsB!J$14:J$920)</f>
        <v>0</v>
      </c>
      <c r="H34" s="288"/>
      <c r="I34" s="290">
        <f t="shared" si="0"/>
        <v>0</v>
      </c>
      <c r="J34" s="75"/>
      <c r="K34" s="48">
        <f t="shared" si="1"/>
        <v>0</v>
      </c>
      <c r="M34" s="140" t="str">
        <f t="shared" si="2"/>
        <v>2060/000NET (PROFIT)/LOSS OTHER</v>
      </c>
      <c r="N34" s="70"/>
      <c r="P34" s="71"/>
      <c r="Q34" s="51"/>
      <c r="R34" s="31"/>
    </row>
    <row r="35" spans="1:18" x14ac:dyDescent="0.2">
      <c r="A35" s="238"/>
      <c r="B35" s="43" t="s">
        <v>574</v>
      </c>
      <c r="C35" s="241"/>
      <c r="D35" s="281"/>
      <c r="E35" s="281"/>
      <c r="F35" s="79"/>
      <c r="G35" s="47">
        <f>SUMIF(JournalsB!D$14:D$920,TrialBalanceB!M35,JournalsB!J$14:J$920)+SUMIF(JournalsB!E$14:E$920,TrialBalanceB!M35,JournalsB!J$14:J$920)</f>
        <v>0</v>
      </c>
      <c r="H35" s="288"/>
      <c r="I35" s="290">
        <f t="shared" si="0"/>
        <v>0</v>
      </c>
      <c r="J35" s="75"/>
      <c r="K35" s="48">
        <f t="shared" si="1"/>
        <v>0</v>
      </c>
      <c r="M35" s="140" t="str">
        <f t="shared" si="2"/>
        <v>2060/001</v>
      </c>
      <c r="N35" s="70"/>
      <c r="P35" s="71"/>
      <c r="Q35" s="51"/>
      <c r="R35" s="31"/>
    </row>
    <row r="36" spans="1:18" x14ac:dyDescent="0.2">
      <c r="A36" s="238"/>
      <c r="B36" s="43" t="s">
        <v>575</v>
      </c>
      <c r="C36" s="246"/>
      <c r="D36" s="272"/>
      <c r="E36" s="281"/>
      <c r="F36" s="79"/>
      <c r="G36" s="47">
        <f>SUMIF(JournalsB!D$14:D$920,TrialBalanceB!M36,JournalsB!J$14:J$920)+SUMIF(JournalsB!E$14:E$920,TrialBalanceB!M36,JournalsB!J$14:J$920)</f>
        <v>0</v>
      </c>
      <c r="H36" s="288"/>
      <c r="I36" s="290">
        <f t="shared" si="0"/>
        <v>0</v>
      </c>
      <c r="J36" s="75"/>
      <c r="K36" s="48">
        <f t="shared" si="1"/>
        <v>0</v>
      </c>
      <c r="M36" s="140" t="str">
        <f t="shared" si="2"/>
        <v>2060/002</v>
      </c>
      <c r="N36" s="70"/>
      <c r="P36" s="71"/>
      <c r="Q36" s="51"/>
      <c r="R36" s="31"/>
    </row>
    <row r="37" spans="1:18" x14ac:dyDescent="0.2">
      <c r="A37" s="238"/>
      <c r="B37" s="43" t="s">
        <v>576</v>
      </c>
      <c r="C37" s="246"/>
      <c r="D37" s="272"/>
      <c r="E37" s="281"/>
      <c r="F37" s="79"/>
      <c r="G37" s="47">
        <f>SUMIF(JournalsB!D$14:D$920,TrialBalanceB!M37,JournalsB!J$14:J$920)+SUMIF(JournalsB!E$14:E$920,TrialBalanceB!M37,JournalsB!J$14:J$920)</f>
        <v>0</v>
      </c>
      <c r="H37" s="288"/>
      <c r="I37" s="290">
        <f t="shared" si="0"/>
        <v>0</v>
      </c>
      <c r="J37" s="75"/>
      <c r="K37" s="48">
        <f t="shared" si="1"/>
        <v>0</v>
      </c>
      <c r="M37" s="140" t="str">
        <f t="shared" si="2"/>
        <v>2060/003</v>
      </c>
      <c r="N37" s="70"/>
      <c r="P37" s="71"/>
      <c r="Q37" s="51"/>
      <c r="R37" s="31"/>
    </row>
    <row r="38" spans="1:18" x14ac:dyDescent="0.2">
      <c r="A38" s="238"/>
      <c r="B38" s="43" t="s">
        <v>577</v>
      </c>
      <c r="C38" s="246"/>
      <c r="D38" s="272"/>
      <c r="E38" s="281"/>
      <c r="F38" s="79"/>
      <c r="G38" s="47">
        <f>SUMIF(JournalsB!D$14:D$920,TrialBalanceB!M38,JournalsB!J$14:J$920)+SUMIF(JournalsB!E$14:E$920,TrialBalanceB!M38,JournalsB!J$14:J$920)</f>
        <v>0</v>
      </c>
      <c r="H38" s="288"/>
      <c r="I38" s="290">
        <f t="shared" si="0"/>
        <v>0</v>
      </c>
      <c r="J38" s="75"/>
      <c r="K38" s="48">
        <f t="shared" si="1"/>
        <v>0</v>
      </c>
      <c r="M38" s="140" t="str">
        <f t="shared" si="2"/>
        <v>2060/004</v>
      </c>
      <c r="N38" s="70"/>
      <c r="P38" s="71"/>
      <c r="Q38" s="51"/>
      <c r="R38" s="31"/>
    </row>
    <row r="39" spans="1:18" x14ac:dyDescent="0.2">
      <c r="A39" s="238"/>
      <c r="B39" s="54" t="s">
        <v>408</v>
      </c>
      <c r="C39" s="239" t="s">
        <v>995</v>
      </c>
      <c r="D39" s="283"/>
      <c r="E39" s="281"/>
      <c r="F39" s="79"/>
      <c r="G39" s="47">
        <f>SUMIF(JournalsB!D$14:D$920,TrialBalanceB!M39,JournalsB!J$14:J$920)+SUMIF(JournalsB!E$14:E$920,TrialBalanceB!M39,JournalsB!J$14:J$920)</f>
        <v>0</v>
      </c>
      <c r="H39" s="288"/>
      <c r="I39" s="290">
        <f t="shared" si="0"/>
        <v>0</v>
      </c>
      <c r="J39" s="75"/>
      <c r="K39" s="48">
        <f t="shared" si="1"/>
        <v>0</v>
      </c>
      <c r="M39" s="140" t="str">
        <f t="shared" si="2"/>
        <v>2100/000OPERATING EXPENSES</v>
      </c>
      <c r="N39" s="70"/>
      <c r="P39" s="71"/>
      <c r="Q39" s="51"/>
      <c r="R39" s="31"/>
    </row>
    <row r="40" spans="1:18" x14ac:dyDescent="0.2">
      <c r="A40" s="238"/>
      <c r="B40" s="54" t="s">
        <v>409</v>
      </c>
      <c r="C40" s="240" t="s">
        <v>275</v>
      </c>
      <c r="D40" s="282"/>
      <c r="E40" s="281"/>
      <c r="F40" s="79"/>
      <c r="G40" s="47">
        <f>SUMIF(JournalsB!D$14:D$920,TrialBalanceB!M40,JournalsB!J$14:J$920)+SUMIF(JournalsB!E$14:E$920,TrialBalanceB!M40,JournalsB!J$14:J$920)</f>
        <v>0</v>
      </c>
      <c r="H40" s="288"/>
      <c r="I40" s="290">
        <f t="shared" si="0"/>
        <v>0</v>
      </c>
      <c r="J40" s="75"/>
      <c r="K40" s="48">
        <f t="shared" si="1"/>
        <v>0</v>
      </c>
      <c r="M40" s="140" t="str">
        <f t="shared" si="2"/>
        <v>2100/001Advertising</v>
      </c>
      <c r="N40" s="70"/>
      <c r="P40" s="71"/>
      <c r="Q40" s="51"/>
      <c r="R40" s="31"/>
    </row>
    <row r="41" spans="1:18" x14ac:dyDescent="0.2">
      <c r="A41" s="238"/>
      <c r="B41" s="54" t="s">
        <v>410</v>
      </c>
      <c r="C41" s="242" t="s">
        <v>701</v>
      </c>
      <c r="D41" s="284"/>
      <c r="E41" s="281"/>
      <c r="F41" s="79"/>
      <c r="G41" s="47">
        <f>SUMIF(JournalsB!D$14:D$920,TrialBalanceB!M41,JournalsB!J$14:J$920)+SUMIF(JournalsB!E$14:E$920,TrialBalanceB!M41,JournalsB!J$14:J$920)</f>
        <v>0</v>
      </c>
      <c r="H41" s="288"/>
      <c r="I41" s="290">
        <f t="shared" si="0"/>
        <v>0</v>
      </c>
      <c r="J41" s="75"/>
      <c r="K41" s="48">
        <f t="shared" si="1"/>
        <v>0</v>
      </c>
      <c r="M41" s="140" t="str">
        <f t="shared" si="2"/>
        <v>2100/010Assets less than R7,000</v>
      </c>
      <c r="N41" s="70"/>
      <c r="P41" s="71"/>
      <c r="Q41" s="51"/>
      <c r="R41" s="31"/>
    </row>
    <row r="42" spans="1:18" x14ac:dyDescent="0.2">
      <c r="A42" s="238"/>
      <c r="B42" s="54" t="s">
        <v>411</v>
      </c>
      <c r="C42" s="240" t="s">
        <v>276</v>
      </c>
      <c r="D42" s="282"/>
      <c r="E42" s="281"/>
      <c r="F42" s="79"/>
      <c r="G42" s="47">
        <f>SUMIF(JournalsB!D$14:D$920,TrialBalanceB!M42,JournalsB!J$14:J$920)+SUMIF(JournalsB!E$14:E$920,TrialBalanceB!M42,JournalsB!J$14:J$920)</f>
        <v>0</v>
      </c>
      <c r="H42" s="288"/>
      <c r="I42" s="290">
        <f t="shared" si="0"/>
        <v>0</v>
      </c>
      <c r="J42" s="75"/>
      <c r="K42" s="48">
        <f t="shared" si="1"/>
        <v>0</v>
      </c>
      <c r="M42" s="140" t="str">
        <f t="shared" si="2"/>
        <v>2100/020Consumables</v>
      </c>
      <c r="N42" s="70"/>
      <c r="P42" s="71"/>
      <c r="Q42" s="51"/>
      <c r="R42" s="31"/>
    </row>
    <row r="43" spans="1:18" x14ac:dyDescent="0.2">
      <c r="A43" s="238"/>
      <c r="B43" s="54" t="s">
        <v>412</v>
      </c>
      <c r="C43" s="239" t="s">
        <v>642</v>
      </c>
      <c r="D43" s="283"/>
      <c r="E43" s="281"/>
      <c r="F43" s="79"/>
      <c r="G43" s="47">
        <f>SUMIF(JournalsB!D$14:D$920,TrialBalanceB!M43,JournalsB!J$14:J$920)+SUMIF(JournalsB!E$14:E$920,TrialBalanceB!M43,JournalsB!J$14:J$920)</f>
        <v>0</v>
      </c>
      <c r="H43" s="288"/>
      <c r="I43" s="290">
        <f t="shared" si="0"/>
        <v>0</v>
      </c>
      <c r="J43" s="75"/>
      <c r="K43" s="48">
        <f t="shared" si="1"/>
        <v>0</v>
      </c>
      <c r="M43" s="140" t="str">
        <f t="shared" si="2"/>
        <v>2100/030Depreciation--------------------------------------------------</v>
      </c>
      <c r="N43" s="70"/>
      <c r="P43" s="71"/>
      <c r="Q43" s="51"/>
      <c r="R43" s="31"/>
    </row>
    <row r="44" spans="1:18" x14ac:dyDescent="0.2">
      <c r="A44" s="238"/>
      <c r="B44" s="54" t="s">
        <v>414</v>
      </c>
      <c r="C44" s="242" t="s">
        <v>1123</v>
      </c>
      <c r="D44" s="282"/>
      <c r="E44" s="281"/>
      <c r="F44" s="79"/>
      <c r="G44" s="47">
        <f>SUMIF(JournalsB!D$14:D$920,TrialBalanceB!M44,JournalsB!J$14:J$920)+SUMIF(JournalsB!E$14:E$920,TrialBalanceB!M44,JournalsB!J$14:J$920)</f>
        <v>0</v>
      </c>
      <c r="H44" s="288"/>
      <c r="I44" s="290">
        <f t="shared" si="0"/>
        <v>0</v>
      </c>
      <c r="J44" s="75"/>
      <c r="K44" s="48">
        <f t="shared" si="1"/>
        <v>0</v>
      </c>
      <c r="M44" s="140" t="str">
        <f t="shared" si="2"/>
        <v>2100/031Depr - Property</v>
      </c>
      <c r="N44" s="70"/>
      <c r="P44" s="71"/>
      <c r="Q44" s="51"/>
      <c r="R44" s="31"/>
    </row>
    <row r="45" spans="1:18" x14ac:dyDescent="0.2">
      <c r="A45" s="238"/>
      <c r="B45" s="54" t="s">
        <v>415</v>
      </c>
      <c r="C45" s="242" t="s">
        <v>758</v>
      </c>
      <c r="D45" s="282"/>
      <c r="E45" s="281"/>
      <c r="F45" s="79"/>
      <c r="G45" s="47">
        <f>SUMIF(JournalsB!D$14:D$920,TrialBalanceB!M45,JournalsB!J$14:J$920)+SUMIF(JournalsB!E$14:E$920,TrialBalanceB!M45,JournalsB!J$14:J$920)</f>
        <v>0</v>
      </c>
      <c r="H45" s="288"/>
      <c r="I45" s="290">
        <f t="shared" si="0"/>
        <v>0</v>
      </c>
      <c r="J45" s="75"/>
      <c r="K45" s="48">
        <f t="shared" si="1"/>
        <v>0</v>
      </c>
      <c r="M45" s="140" t="str">
        <f t="shared" si="2"/>
        <v>2100/032Depr - Plant and machinery</v>
      </c>
      <c r="N45" s="70"/>
      <c r="P45" s="71"/>
      <c r="Q45" s="51"/>
      <c r="R45" s="31"/>
    </row>
    <row r="46" spans="1:18" x14ac:dyDescent="0.2">
      <c r="A46" s="238"/>
      <c r="B46" s="54" t="s">
        <v>51</v>
      </c>
      <c r="C46" s="240" t="s">
        <v>52</v>
      </c>
      <c r="D46" s="282"/>
      <c r="E46" s="281"/>
      <c r="F46" s="79"/>
      <c r="G46" s="47">
        <f>SUMIF(JournalsB!D$14:D$920,TrialBalanceB!M46,JournalsB!J$14:J$920)+SUMIF(JournalsB!E$14:E$920,TrialBalanceB!M46,JournalsB!J$14:J$920)</f>
        <v>0</v>
      </c>
      <c r="H46" s="288"/>
      <c r="I46" s="290">
        <f t="shared" si="0"/>
        <v>0</v>
      </c>
      <c r="J46" s="75"/>
      <c r="K46" s="48">
        <f t="shared" si="1"/>
        <v>0</v>
      </c>
      <c r="M46" s="140" t="str">
        <f t="shared" si="2"/>
        <v>2100/033Depr - Motor vehicles</v>
      </c>
      <c r="N46" s="70"/>
      <c r="P46" s="71"/>
      <c r="Q46" s="51"/>
      <c r="R46" s="31"/>
    </row>
    <row r="47" spans="1:18" x14ac:dyDescent="0.2">
      <c r="A47" s="238"/>
      <c r="B47" s="54" t="s">
        <v>54</v>
      </c>
      <c r="C47" s="240" t="s">
        <v>55</v>
      </c>
      <c r="D47" s="282"/>
      <c r="E47" s="281"/>
      <c r="F47" s="79"/>
      <c r="G47" s="47">
        <f>SUMIF(JournalsB!D$14:D$920,TrialBalanceB!M47,JournalsB!J$14:J$920)+SUMIF(JournalsB!E$14:E$920,TrialBalanceB!M47,JournalsB!J$14:J$920)</f>
        <v>0</v>
      </c>
      <c r="H47" s="288"/>
      <c r="I47" s="290">
        <f t="shared" si="0"/>
        <v>0</v>
      </c>
      <c r="J47" s="75"/>
      <c r="K47" s="48">
        <f t="shared" si="1"/>
        <v>0</v>
      </c>
      <c r="M47" s="140" t="str">
        <f t="shared" si="2"/>
        <v>2100/040Discounts allowed</v>
      </c>
      <c r="N47" s="70"/>
      <c r="P47" s="71"/>
      <c r="Q47" s="51"/>
      <c r="R47" s="31"/>
    </row>
    <row r="48" spans="1:18" x14ac:dyDescent="0.2">
      <c r="A48" s="238"/>
      <c r="B48" s="54" t="s">
        <v>56</v>
      </c>
      <c r="C48" s="242" t="s">
        <v>725</v>
      </c>
      <c r="D48" s="282"/>
      <c r="E48" s="281"/>
      <c r="F48" s="79"/>
      <c r="G48" s="47">
        <f>SUMIF(JournalsB!D$14:D$920,TrialBalanceB!M48,JournalsB!J$14:J$920)+SUMIF(JournalsB!E$14:E$920,TrialBalanceB!M48,JournalsB!J$14:J$920)</f>
        <v>0</v>
      </c>
      <c r="H48" s="288"/>
      <c r="I48" s="290">
        <f t="shared" si="0"/>
        <v>0</v>
      </c>
      <c r="J48" s="75"/>
      <c r="K48" s="48">
        <f t="shared" si="1"/>
        <v>0</v>
      </c>
      <c r="M48" s="140" t="str">
        <f t="shared" si="2"/>
        <v>2100/050Electricity and water</v>
      </c>
      <c r="N48" s="70"/>
      <c r="P48" s="71"/>
      <c r="Q48" s="51"/>
      <c r="R48" s="31"/>
    </row>
    <row r="49" spans="1:18" x14ac:dyDescent="0.2">
      <c r="A49" s="238"/>
      <c r="B49" s="54" t="s">
        <v>57</v>
      </c>
      <c r="C49" s="240" t="s">
        <v>59</v>
      </c>
      <c r="D49" s="282"/>
      <c r="E49" s="281"/>
      <c r="F49" s="79"/>
      <c r="G49" s="47">
        <f>SUMIF(JournalsB!D$14:D$920,TrialBalanceB!M49,JournalsB!J$14:J$920)+SUMIF(JournalsB!E$14:E$920,TrialBalanceB!M49,JournalsB!J$14:J$920)</f>
        <v>0</v>
      </c>
      <c r="H49" s="288"/>
      <c r="I49" s="290">
        <f t="shared" si="0"/>
        <v>0</v>
      </c>
      <c r="J49" s="75"/>
      <c r="K49" s="48">
        <f t="shared" si="1"/>
        <v>0</v>
      </c>
      <c r="M49" s="140" t="str">
        <f t="shared" si="2"/>
        <v>2100/055Equipment lease</v>
      </c>
      <c r="N49" s="70"/>
      <c r="P49" s="71"/>
      <c r="Q49" s="51"/>
      <c r="R49" s="31"/>
    </row>
    <row r="50" spans="1:18" x14ac:dyDescent="0.2">
      <c r="A50" s="238"/>
      <c r="B50" s="54" t="s">
        <v>60</v>
      </c>
      <c r="C50" s="240" t="s">
        <v>278</v>
      </c>
      <c r="D50" s="282"/>
      <c r="E50" s="281"/>
      <c r="F50" s="79"/>
      <c r="G50" s="47">
        <f>SUMIF(JournalsB!D$14:D$920,TrialBalanceB!M50,JournalsB!J$14:J$920)+SUMIF(JournalsB!E$14:E$920,TrialBalanceB!M50,JournalsB!J$14:J$920)</f>
        <v>0</v>
      </c>
      <c r="H50" s="288"/>
      <c r="I50" s="290">
        <f t="shared" si="0"/>
        <v>0</v>
      </c>
      <c r="J50" s="75"/>
      <c r="K50" s="48">
        <f t="shared" si="1"/>
        <v>0</v>
      </c>
      <c r="M50" s="140" t="str">
        <f t="shared" si="2"/>
        <v>2100/060Insurance</v>
      </c>
      <c r="N50" s="70"/>
      <c r="P50" s="51"/>
      <c r="Q50" s="51"/>
      <c r="R50" s="31"/>
    </row>
    <row r="51" spans="1:18" x14ac:dyDescent="0.2">
      <c r="A51" s="238"/>
      <c r="B51" s="54" t="s">
        <v>447</v>
      </c>
      <c r="C51" s="240" t="s">
        <v>172</v>
      </c>
      <c r="D51" s="282"/>
      <c r="E51" s="281"/>
      <c r="F51" s="79"/>
      <c r="G51" s="47">
        <f>SUMIF(JournalsB!D$14:D$920,TrialBalanceB!M51,JournalsB!J$14:J$920)+SUMIF(JournalsB!E$14:E$920,TrialBalanceB!M51,JournalsB!J$14:J$920)</f>
        <v>0</v>
      </c>
      <c r="H51" s="288"/>
      <c r="I51" s="290">
        <f t="shared" si="0"/>
        <v>0</v>
      </c>
      <c r="J51" s="75"/>
      <c r="K51" s="48">
        <f t="shared" si="1"/>
        <v>0</v>
      </c>
      <c r="M51" s="140" t="str">
        <f t="shared" si="2"/>
        <v>2100/071Levies - SDL</v>
      </c>
      <c r="N51" s="70"/>
      <c r="P51" s="71"/>
      <c r="Q51" s="51"/>
      <c r="R51" s="31"/>
    </row>
    <row r="52" spans="1:18" x14ac:dyDescent="0.2">
      <c r="A52" s="238"/>
      <c r="B52" s="54" t="s">
        <v>173</v>
      </c>
      <c r="C52" s="240" t="s">
        <v>174</v>
      </c>
      <c r="D52" s="282"/>
      <c r="E52" s="281"/>
      <c r="F52" s="79"/>
      <c r="G52" s="47">
        <f>SUMIF(JournalsB!D$14:D$920,TrialBalanceB!M52,JournalsB!J$14:J$920)+SUMIF(JournalsB!E$14:E$920,TrialBalanceB!M52,JournalsB!J$14:J$920)</f>
        <v>0</v>
      </c>
      <c r="H52" s="288"/>
      <c r="I52" s="290">
        <f t="shared" si="0"/>
        <v>0</v>
      </c>
      <c r="J52" s="75"/>
      <c r="K52" s="48">
        <f t="shared" si="1"/>
        <v>0</v>
      </c>
      <c r="M52" s="140" t="str">
        <f t="shared" si="2"/>
        <v>2100/072Levies - other</v>
      </c>
      <c r="N52" s="70"/>
      <c r="P52" s="71"/>
      <c r="Q52" s="51"/>
      <c r="R52" s="31"/>
    </row>
    <row r="53" spans="1:18" x14ac:dyDescent="0.2">
      <c r="A53" s="238"/>
      <c r="B53" s="54" t="s">
        <v>175</v>
      </c>
      <c r="C53" s="246" t="s">
        <v>357</v>
      </c>
      <c r="D53" s="272"/>
      <c r="E53" s="281"/>
      <c r="F53" s="79"/>
      <c r="G53" s="47">
        <f>SUMIF(JournalsB!D$14:D$920,TrialBalanceB!M53,JournalsB!J$14:J$920)+SUMIF(JournalsB!E$14:E$920,TrialBalanceB!M53,JournalsB!J$14:J$920)</f>
        <v>0</v>
      </c>
      <c r="H53" s="288"/>
      <c r="I53" s="290">
        <f t="shared" si="0"/>
        <v>0</v>
      </c>
      <c r="J53" s="75"/>
      <c r="K53" s="48">
        <f t="shared" si="1"/>
        <v>0</v>
      </c>
      <c r="M53" s="140" t="str">
        <f t="shared" si="2"/>
        <v>2100/080Trade licenses</v>
      </c>
      <c r="N53" s="70"/>
      <c r="P53" s="71"/>
      <c r="Q53" s="51"/>
      <c r="R53" s="31"/>
    </row>
    <row r="54" spans="1:18" x14ac:dyDescent="0.2">
      <c r="A54" s="238"/>
      <c r="B54" s="54" t="s">
        <v>176</v>
      </c>
      <c r="C54" s="239" t="s">
        <v>676</v>
      </c>
      <c r="D54" s="283"/>
      <c r="E54" s="281"/>
      <c r="F54" s="79"/>
      <c r="G54" s="47">
        <f>SUMIF(JournalsB!D$14:D$920,TrialBalanceB!M54,JournalsB!J$14:J$920)+SUMIF(JournalsB!E$14:E$920,TrialBalanceB!M54,JournalsB!J$14:J$920)</f>
        <v>0</v>
      </c>
      <c r="H54" s="288"/>
      <c r="I54" s="290">
        <f t="shared" si="0"/>
        <v>0</v>
      </c>
      <c r="J54" s="75"/>
      <c r="K54" s="48">
        <f t="shared" si="1"/>
        <v>0</v>
      </c>
      <c r="M54" s="140" t="str">
        <f t="shared" si="2"/>
        <v>2100/090Motor vehicle expenses----------------------------------</v>
      </c>
      <c r="N54" s="70"/>
      <c r="P54" s="71"/>
      <c r="Q54" s="51"/>
      <c r="R54" s="31"/>
    </row>
    <row r="55" spans="1:18" x14ac:dyDescent="0.2">
      <c r="A55" s="238"/>
      <c r="B55" s="54" t="s">
        <v>178</v>
      </c>
      <c r="C55" s="240" t="s">
        <v>179</v>
      </c>
      <c r="D55" s="282"/>
      <c r="E55" s="281"/>
      <c r="F55" s="79"/>
      <c r="G55" s="47">
        <f>SUMIF(JournalsB!D$14:D$920,TrialBalanceB!M55,JournalsB!J$14:J$920)+SUMIF(JournalsB!E$14:E$920,TrialBalanceB!M55,JournalsB!J$14:J$920)</f>
        <v>0</v>
      </c>
      <c r="H55" s="288"/>
      <c r="I55" s="290">
        <f t="shared" si="0"/>
        <v>0</v>
      </c>
      <c r="J55" s="75"/>
      <c r="K55" s="48">
        <f t="shared" si="1"/>
        <v>0</v>
      </c>
      <c r="M55" s="140" t="str">
        <f t="shared" si="2"/>
        <v>2100/091Motor vehicle expenses - Petrol and oil</v>
      </c>
      <c r="N55" s="70"/>
      <c r="P55" s="71"/>
      <c r="Q55" s="51"/>
      <c r="R55" s="31"/>
    </row>
    <row r="56" spans="1:18" x14ac:dyDescent="0.2">
      <c r="A56" s="238"/>
      <c r="B56" s="54" t="s">
        <v>180</v>
      </c>
      <c r="C56" s="240" t="s">
        <v>181</v>
      </c>
      <c r="D56" s="282"/>
      <c r="E56" s="281"/>
      <c r="F56" s="79"/>
      <c r="G56" s="47">
        <f>SUMIF(JournalsB!D$14:D$920,TrialBalanceB!M56,JournalsB!J$14:J$920)+SUMIF(JournalsB!E$14:E$920,TrialBalanceB!M56,JournalsB!J$14:J$920)</f>
        <v>0</v>
      </c>
      <c r="H56" s="288"/>
      <c r="I56" s="290">
        <f t="shared" si="0"/>
        <v>0</v>
      </c>
      <c r="J56" s="75"/>
      <c r="K56" s="48">
        <f t="shared" si="1"/>
        <v>0</v>
      </c>
      <c r="M56" s="140" t="str">
        <f t="shared" si="2"/>
        <v>2100/092Motor vehicle expenses - R&amp;M</v>
      </c>
      <c r="N56" s="70"/>
      <c r="P56" s="71"/>
      <c r="Q56" s="51"/>
      <c r="R56" s="31"/>
    </row>
    <row r="57" spans="1:18" x14ac:dyDescent="0.2">
      <c r="A57" s="238"/>
      <c r="B57" s="54" t="s">
        <v>182</v>
      </c>
      <c r="C57" s="240" t="s">
        <v>183</v>
      </c>
      <c r="D57" s="282"/>
      <c r="E57" s="281"/>
      <c r="F57" s="79"/>
      <c r="G57" s="47">
        <f>SUMIF(JournalsB!D$14:D$920,TrialBalanceB!M57,JournalsB!J$14:J$920)+SUMIF(JournalsB!E$14:E$920,TrialBalanceB!M57,JournalsB!J$14:J$920)</f>
        <v>0</v>
      </c>
      <c r="H57" s="288"/>
      <c r="I57" s="290">
        <f t="shared" si="0"/>
        <v>0</v>
      </c>
      <c r="J57" s="75"/>
      <c r="K57" s="48">
        <f t="shared" si="1"/>
        <v>0</v>
      </c>
      <c r="M57" s="140" t="str">
        <f t="shared" si="2"/>
        <v>2100/093Motor vehicle expenses - Insurance</v>
      </c>
      <c r="N57" s="70"/>
      <c r="P57" s="71"/>
      <c r="Q57" s="51"/>
      <c r="R57" s="31"/>
    </row>
    <row r="58" spans="1:18" x14ac:dyDescent="0.2">
      <c r="A58" s="238"/>
      <c r="B58" s="54" t="s">
        <v>184</v>
      </c>
      <c r="C58" s="241" t="s">
        <v>759</v>
      </c>
      <c r="D58" s="272"/>
      <c r="E58" s="281"/>
      <c r="F58" s="79"/>
      <c r="G58" s="47">
        <f>SUMIF(JournalsB!D$14:D$920,TrialBalanceB!M58,JournalsB!J$14:J$920)+SUMIF(JournalsB!E$14:E$920,TrialBalanceB!M58,JournalsB!J$14:J$920)</f>
        <v>0</v>
      </c>
      <c r="H58" s="288"/>
      <c r="I58" s="290">
        <f t="shared" si="0"/>
        <v>0</v>
      </c>
      <c r="J58" s="75"/>
      <c r="K58" s="48">
        <f t="shared" si="1"/>
        <v>0</v>
      </c>
      <c r="M58" s="140" t="str">
        <f t="shared" si="2"/>
        <v>2100/094Motor vehicle expenses - Licenses</v>
      </c>
      <c r="N58" s="70"/>
      <c r="P58" s="71"/>
      <c r="Q58" s="51"/>
      <c r="R58" s="31"/>
    </row>
    <row r="59" spans="1:18" x14ac:dyDescent="0.2">
      <c r="A59" s="238"/>
      <c r="B59" s="54" t="s">
        <v>185</v>
      </c>
      <c r="C59" s="242" t="s">
        <v>760</v>
      </c>
      <c r="D59" s="282"/>
      <c r="E59" s="281"/>
      <c r="F59" s="79"/>
      <c r="G59" s="47">
        <f>SUMIF(JournalsB!D$14:D$920,TrialBalanceB!M59,JournalsB!J$14:J$920)+SUMIF(JournalsB!E$14:E$920,TrialBalanceB!M59,JournalsB!J$14:J$920)</f>
        <v>0</v>
      </c>
      <c r="H59" s="288"/>
      <c r="I59" s="290">
        <f t="shared" si="0"/>
        <v>0</v>
      </c>
      <c r="J59" s="75"/>
      <c r="K59" s="48">
        <f t="shared" si="1"/>
        <v>0</v>
      </c>
      <c r="M59" s="140" t="str">
        <f t="shared" si="2"/>
        <v>2100/095Motor vehicle expenses - General</v>
      </c>
      <c r="N59" s="70"/>
      <c r="P59" s="71"/>
      <c r="Q59" s="51"/>
      <c r="R59" s="31"/>
    </row>
    <row r="60" spans="1:18" x14ac:dyDescent="0.2">
      <c r="A60" s="238"/>
      <c r="B60" s="54" t="s">
        <v>186</v>
      </c>
      <c r="C60" s="239" t="s">
        <v>187</v>
      </c>
      <c r="D60" s="283"/>
      <c r="E60" s="281"/>
      <c r="F60" s="79"/>
      <c r="G60" s="47">
        <f>SUMIF(JournalsB!D$14:D$920,TrialBalanceB!M60,JournalsB!J$14:J$920)+SUMIF(JournalsB!E$14:E$920,TrialBalanceB!M60,JournalsB!J$14:J$920)</f>
        <v>0</v>
      </c>
      <c r="H60" s="288"/>
      <c r="I60" s="290">
        <f t="shared" si="0"/>
        <v>0</v>
      </c>
      <c r="J60" s="75"/>
      <c r="K60" s="48">
        <f t="shared" si="1"/>
        <v>0</v>
      </c>
      <c r="M60" s="140" t="str">
        <f t="shared" si="2"/>
        <v>2100/100Rent paid-------------------------------</v>
      </c>
      <c r="N60" s="70"/>
      <c r="P60" s="71"/>
      <c r="Q60" s="51"/>
      <c r="R60" s="31"/>
    </row>
    <row r="61" spans="1:18" x14ac:dyDescent="0.2">
      <c r="A61" s="238"/>
      <c r="B61" s="54" t="s">
        <v>188</v>
      </c>
      <c r="C61" s="276"/>
      <c r="D61" s="272"/>
      <c r="E61" s="281"/>
      <c r="F61" s="79"/>
      <c r="G61" s="47">
        <f>SUMIF(JournalsB!D$14:D$920,TrialBalanceB!M61,JournalsB!J$14:J$920)+SUMIF(JournalsB!E$14:E$920,TrialBalanceB!M61,JournalsB!J$14:J$920)</f>
        <v>0</v>
      </c>
      <c r="H61" s="288"/>
      <c r="I61" s="290">
        <f t="shared" si="0"/>
        <v>0</v>
      </c>
      <c r="J61" s="75"/>
      <c r="K61" s="48">
        <f t="shared" si="1"/>
        <v>0</v>
      </c>
      <c r="M61" s="140" t="str">
        <f t="shared" si="2"/>
        <v>2100/101</v>
      </c>
      <c r="N61" s="70"/>
      <c r="P61" s="71"/>
      <c r="Q61" s="51"/>
      <c r="R61" s="31"/>
    </row>
    <row r="62" spans="1:18" x14ac:dyDescent="0.2">
      <c r="A62" s="238"/>
      <c r="B62" s="54" t="s">
        <v>189</v>
      </c>
      <c r="C62" s="277"/>
      <c r="D62" s="272"/>
      <c r="E62" s="281"/>
      <c r="F62" s="79"/>
      <c r="G62" s="47">
        <f>SUMIF(JournalsB!D$14:D$920,TrialBalanceB!M62,JournalsB!J$14:J$920)+SUMIF(JournalsB!E$14:E$920,TrialBalanceB!M62,JournalsB!J$14:J$920)</f>
        <v>0</v>
      </c>
      <c r="H62" s="288"/>
      <c r="I62" s="290">
        <f t="shared" si="0"/>
        <v>0</v>
      </c>
      <c r="J62" s="75"/>
      <c r="K62" s="48">
        <f t="shared" si="1"/>
        <v>0</v>
      </c>
      <c r="M62" s="140" t="str">
        <f t="shared" si="2"/>
        <v>2100/102</v>
      </c>
      <c r="N62" s="70"/>
      <c r="P62" s="71"/>
      <c r="Q62" s="51"/>
      <c r="R62" s="31"/>
    </row>
    <row r="63" spans="1:18" x14ac:dyDescent="0.2">
      <c r="A63" s="238"/>
      <c r="B63" s="54" t="s">
        <v>190</v>
      </c>
      <c r="C63" s="277"/>
      <c r="D63" s="272"/>
      <c r="E63" s="281"/>
      <c r="F63" s="79"/>
      <c r="G63" s="47">
        <f>SUMIF(JournalsB!D$14:D$920,TrialBalanceB!M63,JournalsB!J$14:J$920)+SUMIF(JournalsB!E$14:E$920,TrialBalanceB!M63,JournalsB!J$14:J$920)</f>
        <v>0</v>
      </c>
      <c r="H63" s="288"/>
      <c r="I63" s="290">
        <f t="shared" si="0"/>
        <v>0</v>
      </c>
      <c r="J63" s="75"/>
      <c r="K63" s="48">
        <f t="shared" si="1"/>
        <v>0</v>
      </c>
      <c r="M63" s="140" t="str">
        <f t="shared" si="2"/>
        <v>2100/103</v>
      </c>
      <c r="N63" s="70"/>
      <c r="P63" s="71"/>
      <c r="Q63" s="51"/>
      <c r="R63" s="31"/>
    </row>
    <row r="64" spans="1:18" x14ac:dyDescent="0.2">
      <c r="A64" s="238"/>
      <c r="B64" s="54" t="s">
        <v>191</v>
      </c>
      <c r="C64" s="240" t="s">
        <v>62</v>
      </c>
      <c r="D64" s="282"/>
      <c r="E64" s="281"/>
      <c r="F64" s="79"/>
      <c r="G64" s="47">
        <f>SUMIF(JournalsB!D$14:D$920,TrialBalanceB!M64,JournalsB!J$14:J$920)+SUMIF(JournalsB!E$14:E$920,TrialBalanceB!M64,JournalsB!J$14:J$920)</f>
        <v>0</v>
      </c>
      <c r="H64" s="288"/>
      <c r="I64" s="290">
        <f t="shared" si="0"/>
        <v>0</v>
      </c>
      <c r="J64" s="75"/>
      <c r="K64" s="48">
        <f t="shared" si="1"/>
        <v>0</v>
      </c>
      <c r="M64" s="140" t="str">
        <f t="shared" si="2"/>
        <v>2100/110Repairs and maintenance</v>
      </c>
      <c r="N64" s="70"/>
      <c r="P64" s="71"/>
      <c r="Q64" s="51"/>
      <c r="R64" s="31"/>
    </row>
    <row r="65" spans="1:18" x14ac:dyDescent="0.2">
      <c r="A65" s="238"/>
      <c r="B65" s="54" t="s">
        <v>63</v>
      </c>
      <c r="C65" s="240" t="s">
        <v>64</v>
      </c>
      <c r="D65" s="282"/>
      <c r="E65" s="281"/>
      <c r="F65" s="79"/>
      <c r="G65" s="47">
        <f>SUMIF(JournalsB!D$14:D$920,TrialBalanceB!M65,JournalsB!J$14:J$920)+SUMIF(JournalsB!E$14:E$920,TrialBalanceB!M65,JournalsB!J$14:J$920)</f>
        <v>0</v>
      </c>
      <c r="H65" s="288"/>
      <c r="I65" s="290">
        <f t="shared" si="0"/>
        <v>0</v>
      </c>
      <c r="J65" s="75"/>
      <c r="K65" s="48">
        <f t="shared" si="1"/>
        <v>0</v>
      </c>
      <c r="M65" s="140" t="str">
        <f t="shared" si="2"/>
        <v>2100/120Salaries</v>
      </c>
      <c r="N65" s="70"/>
      <c r="P65" s="71"/>
      <c r="Q65" s="51"/>
      <c r="R65" s="31"/>
    </row>
    <row r="66" spans="1:18" x14ac:dyDescent="0.2">
      <c r="A66" s="238"/>
      <c r="B66" s="54" t="s">
        <v>65</v>
      </c>
      <c r="C66" s="240" t="s">
        <v>66</v>
      </c>
      <c r="D66" s="282"/>
      <c r="E66" s="281"/>
      <c r="F66" s="79"/>
      <c r="G66" s="47">
        <f>SUMIF(JournalsB!D$14:D$920,TrialBalanceB!M66,JournalsB!J$14:J$920)+SUMIF(JournalsB!E$14:E$920,TrialBalanceB!M66,JournalsB!J$14:J$920)</f>
        <v>0</v>
      </c>
      <c r="H66" s="288"/>
      <c r="I66" s="290">
        <f t="shared" si="0"/>
        <v>0</v>
      </c>
      <c r="J66" s="75"/>
      <c r="K66" s="48">
        <f t="shared" si="1"/>
        <v>0</v>
      </c>
      <c r="M66" s="140" t="str">
        <f t="shared" si="2"/>
        <v>2100/121UIF - Employer</v>
      </c>
      <c r="N66" s="70"/>
      <c r="P66" s="71"/>
      <c r="Q66" s="51"/>
      <c r="R66" s="31"/>
    </row>
    <row r="67" spans="1:18" x14ac:dyDescent="0.2">
      <c r="A67" s="238"/>
      <c r="B67" s="54" t="s">
        <v>67</v>
      </c>
      <c r="C67" s="240" t="s">
        <v>68</v>
      </c>
      <c r="D67" s="282"/>
      <c r="E67" s="281"/>
      <c r="F67" s="79"/>
      <c r="G67" s="47">
        <f>SUMIF(JournalsB!D$14:D$920,TrialBalanceB!M67,JournalsB!J$14:J$920)+SUMIF(JournalsB!E$14:E$920,TrialBalanceB!M67,JournalsB!J$14:J$920)</f>
        <v>0</v>
      </c>
      <c r="H67" s="288"/>
      <c r="I67" s="290">
        <f t="shared" si="0"/>
        <v>0</v>
      </c>
      <c r="J67" s="75"/>
      <c r="K67" s="48">
        <f t="shared" si="1"/>
        <v>0</v>
      </c>
      <c r="M67" s="140" t="str">
        <f t="shared" si="2"/>
        <v>2100/122Casual wages</v>
      </c>
      <c r="N67" s="70"/>
      <c r="P67" s="71"/>
      <c r="Q67" s="51"/>
      <c r="R67" s="31"/>
    </row>
    <row r="68" spans="1:18" x14ac:dyDescent="0.2">
      <c r="A68" s="238"/>
      <c r="B68" s="54" t="s">
        <v>69</v>
      </c>
      <c r="C68" s="240" t="s">
        <v>70</v>
      </c>
      <c r="D68" s="282"/>
      <c r="E68" s="281"/>
      <c r="F68" s="79"/>
      <c r="G68" s="47">
        <f>SUMIF(JournalsB!D$14:D$920,TrialBalanceB!M68,JournalsB!J$14:J$920)+SUMIF(JournalsB!E$14:E$920,TrialBalanceB!M68,JournalsB!J$14:J$920)</f>
        <v>0</v>
      </c>
      <c r="H68" s="288"/>
      <c r="I68" s="290">
        <f t="shared" si="0"/>
        <v>0</v>
      </c>
      <c r="J68" s="75"/>
      <c r="K68" s="48">
        <f t="shared" si="1"/>
        <v>0</v>
      </c>
      <c r="M68" s="140" t="str">
        <f t="shared" si="2"/>
        <v>2100/130Telephone</v>
      </c>
      <c r="N68" s="70"/>
      <c r="P68" s="71"/>
      <c r="Q68" s="51"/>
      <c r="R68" s="31"/>
    </row>
    <row r="69" spans="1:18" x14ac:dyDescent="0.2">
      <c r="A69" s="238"/>
      <c r="B69" s="54" t="s">
        <v>71</v>
      </c>
      <c r="C69" s="240" t="s">
        <v>482</v>
      </c>
      <c r="D69" s="282"/>
      <c r="E69" s="281"/>
      <c r="F69" s="79"/>
      <c r="G69" s="47">
        <f>SUMIF(JournalsB!D$14:D$920,TrialBalanceB!M69,JournalsB!J$14:J$920)+SUMIF(JournalsB!E$14:E$920,TrialBalanceB!M69,JournalsB!J$14:J$920)</f>
        <v>0</v>
      </c>
      <c r="H69" s="288"/>
      <c r="I69" s="290">
        <f t="shared" si="0"/>
        <v>0</v>
      </c>
      <c r="J69" s="75"/>
      <c r="K69" s="48">
        <f t="shared" si="1"/>
        <v>0</v>
      </c>
      <c r="M69" s="140" t="str">
        <f t="shared" si="2"/>
        <v>2100/135Postage and courier</v>
      </c>
      <c r="N69" s="70"/>
      <c r="P69" s="71"/>
      <c r="Q69" s="51"/>
      <c r="R69" s="31"/>
    </row>
    <row r="70" spans="1:18" x14ac:dyDescent="0.2">
      <c r="A70" s="238"/>
      <c r="B70" s="54" t="s">
        <v>72</v>
      </c>
      <c r="C70" s="240" t="s">
        <v>254</v>
      </c>
      <c r="D70" s="282"/>
      <c r="E70" s="281"/>
      <c r="F70" s="79"/>
      <c r="G70" s="47">
        <f>SUMIF(JournalsB!D$14:D$920,TrialBalanceB!M70,JournalsB!J$14:J$920)+SUMIF(JournalsB!E$14:E$920,TrialBalanceB!M70,JournalsB!J$14:J$920)</f>
        <v>0</v>
      </c>
      <c r="H70" s="288"/>
      <c r="I70" s="290">
        <f t="shared" si="0"/>
        <v>0</v>
      </c>
      <c r="J70" s="75"/>
      <c r="K70" s="48">
        <f t="shared" si="1"/>
        <v>0</v>
      </c>
      <c r="M70" s="140" t="str">
        <f t="shared" si="2"/>
        <v>2100/140Training</v>
      </c>
      <c r="N70" s="70"/>
      <c r="P70" s="71"/>
      <c r="Q70" s="51"/>
      <c r="R70" s="31"/>
    </row>
    <row r="71" spans="1:18" x14ac:dyDescent="0.2">
      <c r="A71" s="238"/>
      <c r="B71" s="54" t="s">
        <v>73</v>
      </c>
      <c r="C71" s="241" t="s">
        <v>808</v>
      </c>
      <c r="D71" s="272"/>
      <c r="E71" s="281"/>
      <c r="F71" s="79"/>
      <c r="G71" s="47">
        <f>SUMIF(JournalsB!D$14:D$920,TrialBalanceB!M71,JournalsB!J$14:J$920)+SUMIF(JournalsB!E$14:E$920,TrialBalanceB!M71,JournalsB!J$14:J$920)</f>
        <v>0</v>
      </c>
      <c r="H71" s="288"/>
      <c r="I71" s="290">
        <f t="shared" si="0"/>
        <v>0</v>
      </c>
      <c r="J71" s="75"/>
      <c r="K71" s="48">
        <f t="shared" si="1"/>
        <v>0</v>
      </c>
      <c r="M71" s="140" t="str">
        <f t="shared" si="2"/>
        <v>2100/150Traveling and accommodation</v>
      </c>
      <c r="N71" s="70"/>
      <c r="P71" s="71"/>
      <c r="Q71" s="51"/>
      <c r="R71" s="31"/>
    </row>
    <row r="72" spans="1:18" x14ac:dyDescent="0.2">
      <c r="A72" s="238"/>
      <c r="B72" s="90" t="s">
        <v>621</v>
      </c>
      <c r="C72" s="276"/>
      <c r="D72" s="281"/>
      <c r="E72" s="281"/>
      <c r="F72" s="79"/>
      <c r="G72" s="47">
        <f>SUMIF(JournalsB!D$14:D$920,TrialBalanceB!M72,JournalsB!J$14:J$920)+SUMIF(JournalsB!E$14:E$920,TrialBalanceB!M72,JournalsB!J$14:J$920)</f>
        <v>0</v>
      </c>
      <c r="H72" s="288"/>
      <c r="I72" s="290">
        <f t="shared" si="0"/>
        <v>0</v>
      </c>
      <c r="J72" s="75"/>
      <c r="K72" s="48">
        <f t="shared" si="1"/>
        <v>0</v>
      </c>
      <c r="M72" s="140" t="str">
        <f t="shared" si="2"/>
        <v>2150/001</v>
      </c>
      <c r="N72" s="70"/>
      <c r="P72" s="71"/>
      <c r="Q72" s="51"/>
      <c r="R72" s="31"/>
    </row>
    <row r="73" spans="1:18" x14ac:dyDescent="0.2">
      <c r="A73" s="238"/>
      <c r="B73" s="90" t="s">
        <v>622</v>
      </c>
      <c r="C73" s="276"/>
      <c r="D73" s="281"/>
      <c r="E73" s="281"/>
      <c r="F73" s="79"/>
      <c r="G73" s="47">
        <f>SUMIF(JournalsB!D$14:D$920,TrialBalanceB!M73,JournalsB!J$14:J$920)+SUMIF(JournalsB!E$14:E$920,TrialBalanceB!M73,JournalsB!J$14:J$920)</f>
        <v>0</v>
      </c>
      <c r="H73" s="288"/>
      <c r="I73" s="290">
        <f t="shared" ref="I73:I101" si="9">ROUND(D73-E73+G73+F73,0)</f>
        <v>0</v>
      </c>
      <c r="J73" s="75"/>
      <c r="K73" s="48">
        <f t="shared" ref="K73:K136" si="10">ROUND(SUM(A73),0)</f>
        <v>0</v>
      </c>
      <c r="M73" s="140" t="str">
        <f t="shared" ref="M73:M136" si="11">CONCATENATE(B73,C73)</f>
        <v>2150/002</v>
      </c>
      <c r="N73" s="70"/>
      <c r="P73" s="71"/>
      <c r="Q73" s="51"/>
      <c r="R73" s="31"/>
    </row>
    <row r="74" spans="1:18" x14ac:dyDescent="0.2">
      <c r="A74" s="238"/>
      <c r="B74" s="90" t="s">
        <v>623</v>
      </c>
      <c r="C74" s="276"/>
      <c r="D74" s="281"/>
      <c r="E74" s="281"/>
      <c r="F74" s="79"/>
      <c r="G74" s="47">
        <f>SUMIF(JournalsB!D$14:D$920,TrialBalanceB!M74,JournalsB!J$14:J$920)+SUMIF(JournalsB!E$14:E$920,TrialBalanceB!M74,JournalsB!J$14:J$920)</f>
        <v>0</v>
      </c>
      <c r="H74" s="288"/>
      <c r="I74" s="290">
        <f t="shared" si="9"/>
        <v>0</v>
      </c>
      <c r="J74" s="75"/>
      <c r="K74" s="48">
        <f t="shared" si="10"/>
        <v>0</v>
      </c>
      <c r="M74" s="140" t="str">
        <f t="shared" si="11"/>
        <v>2150/003</v>
      </c>
      <c r="N74" s="70"/>
      <c r="P74" s="71"/>
      <c r="Q74" s="51"/>
      <c r="R74" s="31"/>
    </row>
    <row r="75" spans="1:18" x14ac:dyDescent="0.2">
      <c r="A75" s="238"/>
      <c r="B75" s="90" t="s">
        <v>624</v>
      </c>
      <c r="C75" s="276"/>
      <c r="D75" s="281"/>
      <c r="E75" s="281"/>
      <c r="F75" s="79"/>
      <c r="G75" s="47">
        <f>SUMIF(JournalsB!D$14:D$920,TrialBalanceB!M75,JournalsB!J$14:J$920)+SUMIF(JournalsB!E$14:E$920,TrialBalanceB!M75,JournalsB!J$14:J$920)</f>
        <v>0</v>
      </c>
      <c r="H75" s="288"/>
      <c r="I75" s="290">
        <f t="shared" si="9"/>
        <v>0</v>
      </c>
      <c r="J75" s="75"/>
      <c r="K75" s="48">
        <f t="shared" si="10"/>
        <v>0</v>
      </c>
      <c r="M75" s="140" t="str">
        <f t="shared" si="11"/>
        <v>2150/004</v>
      </c>
      <c r="N75" s="70"/>
      <c r="P75" s="71"/>
      <c r="Q75" s="51"/>
      <c r="R75" s="31"/>
    </row>
    <row r="76" spans="1:18" x14ac:dyDescent="0.2">
      <c r="A76" s="238"/>
      <c r="B76" s="90" t="s">
        <v>625</v>
      </c>
      <c r="C76" s="276"/>
      <c r="D76" s="281"/>
      <c r="E76" s="281"/>
      <c r="F76" s="79"/>
      <c r="G76" s="47">
        <f>SUMIF(JournalsB!D$14:D$920,TrialBalanceB!M76,JournalsB!J$14:J$920)+SUMIF(JournalsB!E$14:E$920,TrialBalanceB!M76,JournalsB!J$14:J$920)</f>
        <v>0</v>
      </c>
      <c r="H76" s="288"/>
      <c r="I76" s="290">
        <f t="shared" si="9"/>
        <v>0</v>
      </c>
      <c r="J76" s="75"/>
      <c r="K76" s="48">
        <f t="shared" si="10"/>
        <v>0</v>
      </c>
      <c r="M76" s="140" t="str">
        <f t="shared" si="11"/>
        <v>2150/005</v>
      </c>
      <c r="N76" s="70"/>
      <c r="P76" s="71"/>
      <c r="Q76" s="51"/>
      <c r="R76" s="31"/>
    </row>
    <row r="77" spans="1:18" x14ac:dyDescent="0.2">
      <c r="A77" s="238"/>
      <c r="B77" s="90" t="s">
        <v>626</v>
      </c>
      <c r="C77" s="276"/>
      <c r="D77" s="274"/>
      <c r="E77" s="281"/>
      <c r="F77" s="79"/>
      <c r="G77" s="47">
        <f>SUMIF(JournalsB!D$14:D$920,TrialBalanceB!M77,JournalsB!J$14:J$920)+SUMIF(JournalsB!E$14:E$920,TrialBalanceB!M77,JournalsB!J$14:J$920)</f>
        <v>0</v>
      </c>
      <c r="H77" s="288"/>
      <c r="I77" s="290">
        <f t="shared" si="9"/>
        <v>0</v>
      </c>
      <c r="J77" s="75"/>
      <c r="K77" s="48">
        <f t="shared" si="10"/>
        <v>0</v>
      </c>
      <c r="M77" s="140" t="str">
        <f t="shared" si="11"/>
        <v>2150/006</v>
      </c>
      <c r="N77" s="70"/>
      <c r="P77" s="71"/>
      <c r="Q77" s="51"/>
      <c r="R77" s="31"/>
    </row>
    <row r="78" spans="1:18" x14ac:dyDescent="0.2">
      <c r="A78" s="238"/>
      <c r="B78" s="90" t="s">
        <v>627</v>
      </c>
      <c r="C78" s="278"/>
      <c r="D78" s="274"/>
      <c r="E78" s="281"/>
      <c r="F78" s="79"/>
      <c r="G78" s="47">
        <f>SUMIF(JournalsB!D$14:D$920,TrialBalanceB!M78,JournalsB!J$14:J$920)+SUMIF(JournalsB!E$14:E$920,TrialBalanceB!M78,JournalsB!J$14:J$920)</f>
        <v>0</v>
      </c>
      <c r="H78" s="288"/>
      <c r="I78" s="290">
        <f t="shared" si="9"/>
        <v>0</v>
      </c>
      <c r="J78" s="75"/>
      <c r="K78" s="48">
        <f t="shared" si="10"/>
        <v>0</v>
      </c>
      <c r="M78" s="140" t="str">
        <f t="shared" si="11"/>
        <v>2150/007</v>
      </c>
      <c r="N78" s="70"/>
      <c r="P78" s="71"/>
      <c r="Q78" s="51"/>
      <c r="R78" s="31"/>
    </row>
    <row r="79" spans="1:18" x14ac:dyDescent="0.2">
      <c r="A79" s="238"/>
      <c r="B79" s="90" t="s">
        <v>628</v>
      </c>
      <c r="C79" s="278"/>
      <c r="D79" s="281"/>
      <c r="E79" s="281"/>
      <c r="F79" s="79"/>
      <c r="G79" s="47">
        <f>SUMIF(JournalsB!D$14:D$920,TrialBalanceB!M79,JournalsB!J$14:J$920)+SUMIF(JournalsB!E$14:E$920,TrialBalanceB!M79,JournalsB!J$14:J$920)</f>
        <v>0</v>
      </c>
      <c r="H79" s="288"/>
      <c r="I79" s="290">
        <f t="shared" si="9"/>
        <v>0</v>
      </c>
      <c r="J79" s="75"/>
      <c r="K79" s="48">
        <f t="shared" si="10"/>
        <v>0</v>
      </c>
      <c r="M79" s="140" t="str">
        <f t="shared" si="11"/>
        <v>2150/008</v>
      </c>
      <c r="N79" s="70"/>
      <c r="P79" s="71"/>
      <c r="Q79" s="51"/>
      <c r="R79" s="31"/>
    </row>
    <row r="80" spans="1:18" x14ac:dyDescent="0.2">
      <c r="A80" s="238"/>
      <c r="B80" s="90" t="s">
        <v>629</v>
      </c>
      <c r="C80" s="276"/>
      <c r="D80" s="281"/>
      <c r="E80" s="281"/>
      <c r="F80" s="79"/>
      <c r="G80" s="47">
        <f>SUMIF(JournalsB!D$14:D$920,TrialBalanceB!M80,JournalsB!J$14:J$920)+SUMIF(JournalsB!E$14:E$920,TrialBalanceB!M80,JournalsB!J$14:J$920)</f>
        <v>0</v>
      </c>
      <c r="H80" s="288"/>
      <c r="I80" s="290">
        <f t="shared" si="9"/>
        <v>0</v>
      </c>
      <c r="J80" s="75"/>
      <c r="K80" s="48">
        <f t="shared" si="10"/>
        <v>0</v>
      </c>
      <c r="M80" s="140" t="str">
        <f t="shared" si="11"/>
        <v>2150/009</v>
      </c>
      <c r="N80" s="70"/>
      <c r="P80" s="71"/>
      <c r="Q80" s="51"/>
      <c r="R80" s="31"/>
    </row>
    <row r="81" spans="1:18" x14ac:dyDescent="0.2">
      <c r="A81" s="238"/>
      <c r="B81" s="90" t="s">
        <v>630</v>
      </c>
      <c r="C81" s="276"/>
      <c r="D81" s="281"/>
      <c r="E81" s="281"/>
      <c r="F81" s="79"/>
      <c r="G81" s="47">
        <f>SUMIF(JournalsB!D$14:D$920,TrialBalanceB!M81,JournalsB!J$14:J$920)+SUMIF(JournalsB!E$14:E$920,TrialBalanceB!M81,JournalsB!J$14:J$920)</f>
        <v>0</v>
      </c>
      <c r="H81" s="288"/>
      <c r="I81" s="290">
        <f t="shared" si="9"/>
        <v>0</v>
      </c>
      <c r="J81" s="75"/>
      <c r="K81" s="48">
        <f t="shared" si="10"/>
        <v>0</v>
      </c>
      <c r="M81" s="140" t="str">
        <f t="shared" si="11"/>
        <v>2150/010</v>
      </c>
      <c r="N81" s="70"/>
      <c r="P81" s="71"/>
      <c r="Q81" s="51"/>
      <c r="R81" s="31"/>
    </row>
    <row r="82" spans="1:18" x14ac:dyDescent="0.2">
      <c r="A82" s="238"/>
      <c r="B82" s="54" t="s">
        <v>20</v>
      </c>
      <c r="C82" s="239" t="s">
        <v>114</v>
      </c>
      <c r="D82" s="283"/>
      <c r="E82" s="281"/>
      <c r="F82" s="79"/>
      <c r="G82" s="47">
        <f>SUMIF(JournalsB!D$14:D$920,TrialBalanceB!M82,JournalsB!J$14:J$920)+SUMIF(JournalsB!E$14:E$920,TrialBalanceB!M82,JournalsB!J$14:J$920)</f>
        <v>0</v>
      </c>
      <c r="H82" s="288"/>
      <c r="I82" s="290">
        <f t="shared" si="9"/>
        <v>0</v>
      </c>
      <c r="J82" s="75"/>
      <c r="K82" s="48">
        <f t="shared" si="10"/>
        <v>0</v>
      </c>
      <c r="M82" s="140" t="str">
        <f t="shared" si="11"/>
        <v>2500/000OTHER INCOME</v>
      </c>
      <c r="N82" s="70"/>
      <c r="P82" s="71"/>
      <c r="Q82" s="51"/>
      <c r="R82" s="31"/>
    </row>
    <row r="83" spans="1:18" x14ac:dyDescent="0.2">
      <c r="A83" s="238"/>
      <c r="B83" s="54" t="s">
        <v>358</v>
      </c>
      <c r="C83" s="241" t="s">
        <v>761</v>
      </c>
      <c r="D83" s="272"/>
      <c r="E83" s="281"/>
      <c r="F83" s="79"/>
      <c r="G83" s="47">
        <f>SUMIF(JournalsB!D$14:D$920,TrialBalanceB!M83,JournalsB!J$14:J$920)+SUMIF(JournalsB!E$14:E$920,TrialBalanceB!M83,JournalsB!J$14:J$920)</f>
        <v>0</v>
      </c>
      <c r="H83" s="288"/>
      <c r="I83" s="290">
        <f t="shared" si="9"/>
        <v>0</v>
      </c>
      <c r="J83" s="75"/>
      <c r="K83" s="48">
        <f t="shared" si="10"/>
        <v>0</v>
      </c>
      <c r="M83" s="140" t="str">
        <f t="shared" si="11"/>
        <v>2710/000Rent received (not main income)</v>
      </c>
      <c r="N83" s="70"/>
      <c r="P83" s="71"/>
      <c r="Q83" s="51"/>
      <c r="R83" s="31"/>
    </row>
    <row r="84" spans="1:18" x14ac:dyDescent="0.2">
      <c r="A84" s="238"/>
      <c r="B84" s="54" t="s">
        <v>74</v>
      </c>
      <c r="C84" s="239" t="s">
        <v>767</v>
      </c>
      <c r="D84" s="283"/>
      <c r="E84" s="281"/>
      <c r="F84" s="79"/>
      <c r="G84" s="47">
        <f>SUMIF(JournalsB!D$14:D$920,TrialBalanceB!M84,JournalsB!J$14:J$920)+SUMIF(JournalsB!E$14:E$920,TrialBalanceB!M84,JournalsB!J$14:J$920)</f>
        <v>0</v>
      </c>
      <c r="H84" s="288"/>
      <c r="I84" s="290">
        <f t="shared" si="9"/>
        <v>0</v>
      </c>
      <c r="J84" s="75"/>
      <c r="K84" s="48">
        <f t="shared" si="10"/>
        <v>0</v>
      </c>
      <c r="M84" s="140" t="str">
        <f t="shared" si="11"/>
        <v>2750/000Interest received-----------------------</v>
      </c>
      <c r="N84" s="70"/>
      <c r="P84" s="71"/>
      <c r="Q84" s="51"/>
      <c r="R84" s="31"/>
    </row>
    <row r="85" spans="1:18" x14ac:dyDescent="0.2">
      <c r="A85" s="238"/>
      <c r="B85" s="54" t="s">
        <v>75</v>
      </c>
      <c r="C85" s="276"/>
      <c r="D85" s="281"/>
      <c r="E85" s="281"/>
      <c r="F85" s="79"/>
      <c r="G85" s="47">
        <f>SUMIF(JournalsB!D$14:D$920,TrialBalanceB!M85,JournalsB!J$14:J$920)+SUMIF(JournalsB!E$14:E$920,TrialBalanceB!M85,JournalsB!J$14:J$920)</f>
        <v>0</v>
      </c>
      <c r="H85" s="288"/>
      <c r="I85" s="290">
        <f t="shared" si="9"/>
        <v>0</v>
      </c>
      <c r="J85" s="75"/>
      <c r="K85" s="48">
        <f t="shared" si="10"/>
        <v>0</v>
      </c>
      <c r="M85" s="140" t="str">
        <f t="shared" si="11"/>
        <v>2750/001</v>
      </c>
      <c r="N85" s="70"/>
      <c r="P85" s="71"/>
      <c r="Q85" s="51"/>
      <c r="R85" s="31"/>
    </row>
    <row r="86" spans="1:18" x14ac:dyDescent="0.2">
      <c r="A86" s="238"/>
      <c r="B86" s="54" t="s">
        <v>76</v>
      </c>
      <c r="C86" s="278"/>
      <c r="D86" s="274"/>
      <c r="E86" s="281"/>
      <c r="F86" s="79"/>
      <c r="G86" s="47">
        <f>SUMIF(JournalsB!D$14:D$920,TrialBalanceB!M86,JournalsB!J$14:J$920)+SUMIF(JournalsB!E$14:E$920,TrialBalanceB!M86,JournalsB!J$14:J$920)</f>
        <v>0</v>
      </c>
      <c r="H86" s="288"/>
      <c r="I86" s="290">
        <f t="shared" si="9"/>
        <v>0</v>
      </c>
      <c r="J86" s="75"/>
      <c r="K86" s="48">
        <f t="shared" si="10"/>
        <v>0</v>
      </c>
      <c r="M86" s="140" t="str">
        <f t="shared" si="11"/>
        <v>2750/002</v>
      </c>
      <c r="N86" s="70"/>
      <c r="P86" s="71"/>
      <c r="Q86" s="51"/>
      <c r="R86" s="31"/>
    </row>
    <row r="87" spans="1:18" x14ac:dyDescent="0.2">
      <c r="A87" s="238"/>
      <c r="B87" s="54" t="s">
        <v>77</v>
      </c>
      <c r="C87" s="279"/>
      <c r="D87" s="282"/>
      <c r="E87" s="281"/>
      <c r="F87" s="79"/>
      <c r="G87" s="47">
        <f>SUMIF(JournalsB!D$14:D$920,TrialBalanceB!M87,JournalsB!J$14:J$920)+SUMIF(JournalsB!E$14:E$920,TrialBalanceB!M87,JournalsB!J$14:J$920)</f>
        <v>0</v>
      </c>
      <c r="H87" s="288"/>
      <c r="I87" s="290">
        <f t="shared" si="9"/>
        <v>0</v>
      </c>
      <c r="J87" s="75"/>
      <c r="K87" s="48">
        <f t="shared" si="10"/>
        <v>0</v>
      </c>
      <c r="M87" s="140" t="str">
        <f t="shared" si="11"/>
        <v>2750/003</v>
      </c>
      <c r="N87" s="70"/>
      <c r="P87" s="71"/>
      <c r="Q87" s="51"/>
      <c r="R87" s="31"/>
    </row>
    <row r="88" spans="1:18" x14ac:dyDescent="0.2">
      <c r="A88" s="238"/>
      <c r="B88" s="54" t="s">
        <v>78</v>
      </c>
      <c r="C88" s="279"/>
      <c r="D88" s="282"/>
      <c r="E88" s="281"/>
      <c r="F88" s="79"/>
      <c r="G88" s="47">
        <f>SUMIF(JournalsB!D$14:D$920,TrialBalanceB!M88,JournalsB!J$14:J$920)+SUMIF(JournalsB!E$14:E$920,TrialBalanceB!M88,JournalsB!J$14:J$920)</f>
        <v>0</v>
      </c>
      <c r="H88" s="288"/>
      <c r="I88" s="290">
        <f t="shared" si="9"/>
        <v>0</v>
      </c>
      <c r="J88" s="75"/>
      <c r="K88" s="48">
        <f t="shared" si="10"/>
        <v>0</v>
      </c>
      <c r="M88" s="140" t="str">
        <f t="shared" si="11"/>
        <v>2750/004</v>
      </c>
      <c r="N88" s="70"/>
      <c r="P88" s="71"/>
      <c r="Q88" s="51"/>
      <c r="R88" s="31"/>
    </row>
    <row r="89" spans="1:18" x14ac:dyDescent="0.2">
      <c r="A89" s="238"/>
      <c r="B89" s="54" t="s">
        <v>192</v>
      </c>
      <c r="C89" s="240" t="s">
        <v>299</v>
      </c>
      <c r="D89" s="283"/>
      <c r="E89" s="281"/>
      <c r="F89" s="79"/>
      <c r="G89" s="47">
        <f>SUMIF(JournalsB!D$14:D$920,TrialBalanceB!M89,JournalsB!J$14:J$920)+SUMIF(JournalsB!E$14:E$920,TrialBalanceB!M89,JournalsB!J$14:J$920)</f>
        <v>0</v>
      </c>
      <c r="H89" s="288"/>
      <c r="I89" s="290">
        <f t="shared" si="9"/>
        <v>0</v>
      </c>
      <c r="J89" s="75"/>
      <c r="K89" s="48">
        <f t="shared" si="10"/>
        <v>0</v>
      </c>
      <c r="M89" s="140" t="str">
        <f t="shared" si="11"/>
        <v>2800/000Dividends received----------------------</v>
      </c>
      <c r="N89" s="70"/>
      <c r="P89" s="71"/>
      <c r="Q89" s="51"/>
      <c r="R89" s="31"/>
    </row>
    <row r="90" spans="1:18" x14ac:dyDescent="0.2">
      <c r="A90" s="238"/>
      <c r="B90" s="54" t="s">
        <v>300</v>
      </c>
      <c r="C90" s="242" t="s">
        <v>708</v>
      </c>
      <c r="D90" s="282"/>
      <c r="E90" s="281"/>
      <c r="F90" s="79"/>
      <c r="G90" s="47">
        <f>SUMIF(JournalsB!D$14:D$920,TrialBalanceB!M90,JournalsB!J$14:J$920)+SUMIF(JournalsB!E$14:E$920,TrialBalanceB!M90,JournalsB!J$14:J$920)</f>
        <v>0</v>
      </c>
      <c r="H90" s="288"/>
      <c r="I90" s="290">
        <f t="shared" si="9"/>
        <v>0</v>
      </c>
      <c r="J90" s="75"/>
      <c r="K90" s="48">
        <f t="shared" si="10"/>
        <v>0</v>
      </c>
      <c r="M90" s="140" t="str">
        <f t="shared" si="11"/>
        <v>2800/001Div.'s received - SA sources</v>
      </c>
      <c r="N90" s="70"/>
      <c r="P90" s="71"/>
      <c r="Q90" s="51"/>
      <c r="R90" s="31"/>
    </row>
    <row r="91" spans="1:18" x14ac:dyDescent="0.2">
      <c r="A91" s="238"/>
      <c r="B91" s="54" t="s">
        <v>202</v>
      </c>
      <c r="C91" s="242" t="s">
        <v>1141</v>
      </c>
      <c r="D91" s="282"/>
      <c r="E91" s="281"/>
      <c r="F91" s="79"/>
      <c r="G91" s="47">
        <f>SUMIF(JournalsB!D$14:D$920,TrialBalanceB!M91,JournalsB!J$14:J$920)+SUMIF(JournalsB!E$14:E$920,TrialBalanceB!M91,JournalsB!J$14:J$920)</f>
        <v>0</v>
      </c>
      <c r="H91" s="288"/>
      <c r="I91" s="290">
        <f t="shared" ref="I91" si="12">ROUND(D91-E91+G91+F91,0)</f>
        <v>0</v>
      </c>
      <c r="J91" s="75"/>
      <c r="K91" s="48">
        <f t="shared" ref="K91" si="13">ROUND(SUM(A91),0)</f>
        <v>0</v>
      </c>
      <c r="M91" s="140" t="str">
        <f t="shared" ref="M91" si="14">CONCATENATE(B91,C91)</f>
        <v>2800/002Div.'s received - Associates</v>
      </c>
      <c r="N91" s="70"/>
      <c r="P91" s="71"/>
      <c r="Q91" s="51"/>
      <c r="R91" s="31"/>
    </row>
    <row r="92" spans="1:18" x14ac:dyDescent="0.2">
      <c r="A92" s="238"/>
      <c r="B92" s="90" t="s">
        <v>1140</v>
      </c>
      <c r="C92" s="242" t="s">
        <v>709</v>
      </c>
      <c r="D92" s="282"/>
      <c r="E92" s="281"/>
      <c r="F92" s="79"/>
      <c r="G92" s="47">
        <f>SUMIF(JournalsB!D$14:D$920,TrialBalanceB!M92,JournalsB!J$14:J$920)+SUMIF(JournalsB!E$14:E$920,TrialBalanceB!M92,JournalsB!J$14:J$920)</f>
        <v>0</v>
      </c>
      <c r="H92" s="288"/>
      <c r="I92" s="290">
        <f t="shared" si="9"/>
        <v>0</v>
      </c>
      <c r="J92" s="75"/>
      <c r="K92" s="48">
        <f t="shared" si="10"/>
        <v>0</v>
      </c>
      <c r="M92" s="140" t="str">
        <f t="shared" si="11"/>
        <v>2800/003Div.'s received - Foreign div.'s</v>
      </c>
      <c r="N92" s="70"/>
      <c r="P92" s="71"/>
      <c r="Q92" s="51"/>
      <c r="R92" s="31"/>
    </row>
    <row r="93" spans="1:18" x14ac:dyDescent="0.2">
      <c r="A93" s="238"/>
      <c r="B93" s="54" t="s">
        <v>203</v>
      </c>
      <c r="C93" s="242" t="s">
        <v>667</v>
      </c>
      <c r="D93" s="284"/>
      <c r="E93" s="281"/>
      <c r="F93" s="79"/>
      <c r="G93" s="47">
        <f>SUMIF(JournalsB!D$14:D$920,TrialBalanceB!M93,JournalsB!J$14:J$920)+SUMIF(JournalsB!E$14:E$920,TrialBalanceB!M93,JournalsB!J$14:J$920)</f>
        <v>0</v>
      </c>
      <c r="H93" s="288"/>
      <c r="I93" s="290">
        <f t="shared" si="9"/>
        <v>0</v>
      </c>
      <c r="J93" s="75"/>
      <c r="K93" s="48">
        <f t="shared" si="10"/>
        <v>0</v>
      </c>
      <c r="M93" s="140" t="str">
        <f t="shared" si="11"/>
        <v>2810/000(Profit)/Loss on sale of fixed assets</v>
      </c>
      <c r="N93" s="70"/>
      <c r="P93" s="71"/>
      <c r="Q93" s="51"/>
      <c r="R93" s="31"/>
    </row>
    <row r="94" spans="1:18" x14ac:dyDescent="0.2">
      <c r="A94" s="238"/>
      <c r="B94" s="54" t="s">
        <v>204</v>
      </c>
      <c r="C94" s="240" t="s">
        <v>205</v>
      </c>
      <c r="D94" s="282"/>
      <c r="E94" s="281"/>
      <c r="F94" s="79"/>
      <c r="G94" s="47">
        <f>SUMIF(JournalsB!D$14:D$920,TrialBalanceB!M94,JournalsB!J$14:J$920)+SUMIF(JournalsB!E$14:E$920,TrialBalanceB!M94,JournalsB!J$14:J$920)</f>
        <v>0</v>
      </c>
      <c r="H94" s="288"/>
      <c r="I94" s="290">
        <f t="shared" si="9"/>
        <v>0</v>
      </c>
      <c r="J94" s="75"/>
      <c r="K94" s="48">
        <f t="shared" si="10"/>
        <v>0</v>
      </c>
      <c r="M94" s="140" t="str">
        <f t="shared" si="11"/>
        <v>2820/000Bad debts recovered</v>
      </c>
      <c r="N94" s="70"/>
      <c r="P94" s="71"/>
      <c r="Q94" s="51"/>
      <c r="R94" s="31"/>
    </row>
    <row r="95" spans="1:18" x14ac:dyDescent="0.2">
      <c r="A95" s="238"/>
      <c r="B95" s="54" t="s">
        <v>206</v>
      </c>
      <c r="C95" s="240" t="s">
        <v>207</v>
      </c>
      <c r="D95" s="282"/>
      <c r="E95" s="281"/>
      <c r="F95" s="79"/>
      <c r="G95" s="47">
        <f>SUMIF(JournalsB!D$14:D$920,TrialBalanceB!M95,JournalsB!J$14:J$920)+SUMIF(JournalsB!E$14:E$920,TrialBalanceB!M95,JournalsB!J$14:J$920)</f>
        <v>0</v>
      </c>
      <c r="H95" s="288"/>
      <c r="I95" s="290">
        <f t="shared" si="9"/>
        <v>0</v>
      </c>
      <c r="J95" s="75"/>
      <c r="K95" s="48">
        <f t="shared" si="10"/>
        <v>0</v>
      </c>
      <c r="M95" s="140" t="str">
        <f t="shared" si="11"/>
        <v>2830/000Other income</v>
      </c>
      <c r="N95" s="70"/>
      <c r="P95" s="51"/>
      <c r="Q95" s="51"/>
      <c r="R95" s="31"/>
    </row>
    <row r="96" spans="1:18" x14ac:dyDescent="0.2">
      <c r="A96" s="238"/>
      <c r="B96" s="90" t="s">
        <v>1075</v>
      </c>
      <c r="C96" s="242" t="s">
        <v>1076</v>
      </c>
      <c r="D96" s="282"/>
      <c r="E96" s="281"/>
      <c r="F96" s="79"/>
      <c r="G96" s="47">
        <f>SUMIF(JournalsB!D$14:D$920,TrialBalanceB!M96,JournalsB!J$14:J$920)+SUMIF(JournalsB!E$14:E$920,TrialBalanceB!M96,JournalsB!J$14:J$920)</f>
        <v>0</v>
      </c>
      <c r="H96" s="288"/>
      <c r="I96" s="290">
        <f t="shared" ref="I96" si="15">ROUND(D96-E96+G96+F96,0)</f>
        <v>0</v>
      </c>
      <c r="J96" s="75"/>
      <c r="K96" s="48">
        <f t="shared" ref="K96" si="16">ROUND(SUM(A96),0)</f>
        <v>0</v>
      </c>
      <c r="M96" s="140" t="str">
        <f t="shared" ref="M96" si="17">CONCATENATE(B96,C96)</f>
        <v>2840/000Revaluation of investment property</v>
      </c>
      <c r="N96" s="70"/>
      <c r="P96" s="51"/>
      <c r="Q96" s="51"/>
      <c r="R96" s="31"/>
    </row>
    <row r="97" spans="1:18" x14ac:dyDescent="0.2">
      <c r="A97" s="238"/>
      <c r="B97" s="54" t="s">
        <v>208</v>
      </c>
      <c r="C97" s="239" t="s">
        <v>903</v>
      </c>
      <c r="D97" s="283"/>
      <c r="E97" s="281"/>
      <c r="F97" s="79"/>
      <c r="G97" s="47">
        <f>SUMIF(JournalsB!D$14:D$920,TrialBalanceB!M97,JournalsB!J$14:J$920)+SUMIF(JournalsB!E$14:E$920,TrialBalanceB!M97,JournalsB!J$14:J$920)</f>
        <v>0</v>
      </c>
      <c r="H97" s="288"/>
      <c r="I97" s="290">
        <f t="shared" si="9"/>
        <v>0</v>
      </c>
      <c r="J97" s="75"/>
      <c r="K97" s="48">
        <f t="shared" si="10"/>
        <v>0</v>
      </c>
      <c r="M97" s="140" t="str">
        <f t="shared" si="11"/>
        <v>3000/000ADMINISTRATIVE EXPENSES</v>
      </c>
      <c r="N97" s="70"/>
      <c r="P97" s="71"/>
      <c r="Q97" s="51"/>
      <c r="R97" s="31"/>
    </row>
    <row r="98" spans="1:18" x14ac:dyDescent="0.2">
      <c r="A98" s="238"/>
      <c r="B98" s="54" t="s">
        <v>209</v>
      </c>
      <c r="C98" s="240" t="s">
        <v>210</v>
      </c>
      <c r="D98" s="282"/>
      <c r="E98" s="281"/>
      <c r="F98" s="79"/>
      <c r="G98" s="47">
        <f>SUMIF(JournalsB!D$14:D$920,TrialBalanceB!M98,JournalsB!J$14:J$920)+SUMIF(JournalsB!E$14:E$920,TrialBalanceB!M98,JournalsB!J$14:J$920)</f>
        <v>0</v>
      </c>
      <c r="H98" s="288"/>
      <c r="I98" s="290">
        <f t="shared" si="9"/>
        <v>0</v>
      </c>
      <c r="J98" s="75"/>
      <c r="K98" s="48">
        <f t="shared" si="10"/>
        <v>0</v>
      </c>
      <c r="M98" s="140" t="str">
        <f t="shared" si="11"/>
        <v>3000/011Audit fees for current year</v>
      </c>
      <c r="N98" s="70"/>
      <c r="P98" s="51"/>
      <c r="Q98" s="51"/>
      <c r="R98" s="31"/>
    </row>
    <row r="99" spans="1:18" x14ac:dyDescent="0.2">
      <c r="A99" s="238"/>
      <c r="B99" s="54" t="s">
        <v>211</v>
      </c>
      <c r="C99" s="246" t="s">
        <v>356</v>
      </c>
      <c r="D99" s="272"/>
      <c r="E99" s="281"/>
      <c r="F99" s="79"/>
      <c r="G99" s="47">
        <f>SUMIF(JournalsB!D$14:D$920,TrialBalanceB!M99,JournalsB!J$14:J$920)+SUMIF(JournalsB!E$14:E$920,TrialBalanceB!M99,JournalsB!J$14:J$920)</f>
        <v>0</v>
      </c>
      <c r="H99" s="288"/>
      <c r="I99" s="290">
        <f t="shared" si="9"/>
        <v>0</v>
      </c>
      <c r="J99" s="75"/>
      <c r="K99" s="48">
        <f t="shared" si="10"/>
        <v>0</v>
      </c>
      <c r="M99" s="140" t="str">
        <f t="shared" si="11"/>
        <v>3000/012Under provision previous year</v>
      </c>
      <c r="N99" s="70"/>
      <c r="P99" s="71"/>
      <c r="Q99" s="51"/>
      <c r="R99" s="31"/>
    </row>
    <row r="100" spans="1:18" x14ac:dyDescent="0.2">
      <c r="A100" s="238"/>
      <c r="B100" s="54" t="s">
        <v>212</v>
      </c>
      <c r="C100" s="240" t="s">
        <v>213</v>
      </c>
      <c r="D100" s="282"/>
      <c r="E100" s="281"/>
      <c r="F100" s="79"/>
      <c r="G100" s="47">
        <f>SUMIF(JournalsB!D$14:D$920,TrialBalanceB!M100,JournalsB!J$14:J$920)+SUMIF(JournalsB!E$14:E$920,TrialBalanceB!M100,JournalsB!J$14:J$920)</f>
        <v>0</v>
      </c>
      <c r="H100" s="288"/>
      <c r="I100" s="290">
        <f t="shared" si="9"/>
        <v>0</v>
      </c>
      <c r="J100" s="75"/>
      <c r="K100" s="48">
        <f t="shared" si="10"/>
        <v>0</v>
      </c>
      <c r="M100" s="140" t="str">
        <f t="shared" si="11"/>
        <v>3000/013Overprovision previous year</v>
      </c>
      <c r="N100" s="70"/>
      <c r="P100" s="71"/>
      <c r="Q100" s="51"/>
      <c r="R100" s="31"/>
    </row>
    <row r="101" spans="1:18" x14ac:dyDescent="0.2">
      <c r="A101" s="238"/>
      <c r="B101" s="54" t="s">
        <v>214</v>
      </c>
      <c r="C101" s="240" t="s">
        <v>215</v>
      </c>
      <c r="D101" s="282"/>
      <c r="E101" s="281"/>
      <c r="F101" s="79"/>
      <c r="G101" s="47">
        <f>SUMIF(JournalsB!D$14:D$920,TrialBalanceB!M101,JournalsB!J$14:J$920)+SUMIF(JournalsB!E$14:E$920,TrialBalanceB!M101,JournalsB!J$14:J$920)</f>
        <v>0</v>
      </c>
      <c r="H101" s="288"/>
      <c r="I101" s="290">
        <f t="shared" si="9"/>
        <v>0</v>
      </c>
      <c r="J101" s="75"/>
      <c r="K101" s="48">
        <f t="shared" si="10"/>
        <v>0</v>
      </c>
      <c r="M101" s="140" t="str">
        <f t="shared" si="11"/>
        <v>3000/014Accounting fees</v>
      </c>
      <c r="N101" s="70"/>
      <c r="P101" s="71"/>
      <c r="Q101" s="51"/>
      <c r="R101" s="31"/>
    </row>
    <row r="102" spans="1:18" x14ac:dyDescent="0.2">
      <c r="A102" s="238"/>
      <c r="B102" s="54" t="s">
        <v>216</v>
      </c>
      <c r="C102" s="240" t="s">
        <v>217</v>
      </c>
      <c r="D102" s="282"/>
      <c r="E102" s="281"/>
      <c r="F102" s="79"/>
      <c r="G102" s="47">
        <f>SUMIF(JournalsB!D$14:D$920,TrialBalanceB!M102,JournalsB!J$14:J$920)+SUMIF(JournalsB!E$14:E$920,TrialBalanceB!M102,JournalsB!J$14:J$920)</f>
        <v>0</v>
      </c>
      <c r="H102" s="288"/>
      <c r="I102" s="290">
        <f>ROUND(D102-E102+G102+F102,0)</f>
        <v>0</v>
      </c>
      <c r="J102" s="75"/>
      <c r="K102" s="48">
        <f t="shared" si="10"/>
        <v>0</v>
      </c>
      <c r="M102" s="140" t="str">
        <f t="shared" si="11"/>
        <v>3000/020Bank charges</v>
      </c>
      <c r="N102" s="70"/>
      <c r="P102" s="71"/>
      <c r="Q102" s="51"/>
      <c r="R102" s="31"/>
    </row>
    <row r="103" spans="1:18" x14ac:dyDescent="0.2">
      <c r="A103" s="238"/>
      <c r="B103" s="54" t="s">
        <v>218</v>
      </c>
      <c r="C103" s="240" t="s">
        <v>219</v>
      </c>
      <c r="D103" s="282"/>
      <c r="E103" s="281"/>
      <c r="F103" s="79"/>
      <c r="G103" s="47">
        <f>SUMIF(JournalsB!D$14:D$920,TrialBalanceB!M103,JournalsB!J$14:J$920)+SUMIF(JournalsB!E$14:E$920,TrialBalanceB!M103,JournalsB!J$14:J$920)</f>
        <v>0</v>
      </c>
      <c r="H103" s="288"/>
      <c r="I103" s="290">
        <f t="shared" ref="I103:I170" si="18">ROUND(D103-E103+G103+F103,0)</f>
        <v>0</v>
      </c>
      <c r="J103" s="75"/>
      <c r="K103" s="48">
        <f t="shared" si="10"/>
        <v>0</v>
      </c>
      <c r="M103" s="140" t="str">
        <f t="shared" si="11"/>
        <v>3000/030Bad debts</v>
      </c>
      <c r="N103" s="70"/>
      <c r="P103" s="71"/>
      <c r="Q103" s="51"/>
      <c r="R103" s="31"/>
    </row>
    <row r="104" spans="1:18" x14ac:dyDescent="0.2">
      <c r="A104" s="238"/>
      <c r="B104" s="54" t="s">
        <v>220</v>
      </c>
      <c r="C104" s="240" t="s">
        <v>258</v>
      </c>
      <c r="D104" s="282"/>
      <c r="E104" s="281"/>
      <c r="F104" s="79"/>
      <c r="G104" s="47">
        <f>SUMIF(JournalsB!D$14:D$920,TrialBalanceB!M104,JournalsB!J$14:J$920)+SUMIF(JournalsB!E$14:E$920,TrialBalanceB!M104,JournalsB!J$14:J$920)</f>
        <v>0</v>
      </c>
      <c r="H104" s="288"/>
      <c r="I104" s="290">
        <f t="shared" si="18"/>
        <v>0</v>
      </c>
      <c r="J104" s="75"/>
      <c r="K104" s="48">
        <f t="shared" si="10"/>
        <v>0</v>
      </c>
      <c r="M104" s="140" t="str">
        <f t="shared" si="11"/>
        <v>3000/040Cleaning</v>
      </c>
      <c r="N104" s="70"/>
      <c r="P104" s="71"/>
      <c r="Q104" s="51"/>
      <c r="R104" s="31"/>
    </row>
    <row r="105" spans="1:18" x14ac:dyDescent="0.2">
      <c r="A105" s="238"/>
      <c r="B105" s="54" t="s">
        <v>221</v>
      </c>
      <c r="C105" s="240" t="s">
        <v>222</v>
      </c>
      <c r="D105" s="282"/>
      <c r="E105" s="281"/>
      <c r="F105" s="79"/>
      <c r="G105" s="47">
        <f>SUMIF(JournalsB!D$14:D$920,TrialBalanceB!M105,JournalsB!J$14:J$920)+SUMIF(JournalsB!E$14:E$920,TrialBalanceB!M105,JournalsB!J$14:J$920)</f>
        <v>0</v>
      </c>
      <c r="H105" s="288"/>
      <c r="I105" s="290">
        <f t="shared" si="18"/>
        <v>0</v>
      </c>
      <c r="J105" s="75"/>
      <c r="K105" s="48">
        <f t="shared" si="10"/>
        <v>0</v>
      </c>
      <c r="M105" s="140" t="str">
        <f t="shared" si="11"/>
        <v>3000/050Computer expenses</v>
      </c>
      <c r="N105" s="70"/>
      <c r="P105" s="71"/>
      <c r="Q105" s="51"/>
      <c r="R105" s="31"/>
    </row>
    <row r="106" spans="1:18" x14ac:dyDescent="0.2">
      <c r="A106" s="238"/>
      <c r="B106" s="90" t="s">
        <v>689</v>
      </c>
      <c r="C106" s="242" t="s">
        <v>727</v>
      </c>
      <c r="D106" s="282"/>
      <c r="E106" s="281"/>
      <c r="F106" s="79"/>
      <c r="G106" s="47">
        <f>SUMIF(JournalsB!D$14:D$920,TrialBalanceB!M106,JournalsB!J$14:J$920)+SUMIF(JournalsB!E$14:E$920,TrialBalanceB!M106,JournalsB!J$14:J$920)</f>
        <v>0</v>
      </c>
      <c r="H106" s="288"/>
      <c r="I106" s="290">
        <f t="shared" ref="I106" si="19">ROUND(D106-E106+G106+F106,0)</f>
        <v>0</v>
      </c>
      <c r="J106" s="75"/>
      <c r="K106" s="48">
        <f t="shared" ref="K106" si="20">ROUND(SUM(A106),0)</f>
        <v>0</v>
      </c>
      <c r="M106" s="140" t="str">
        <f t="shared" ref="M106" si="21">CONCATENATE(B106,C106)</f>
        <v>3000/055Consulting and professional fees</v>
      </c>
      <c r="N106" s="70"/>
      <c r="P106" s="71"/>
      <c r="Q106" s="51"/>
      <c r="R106" s="31"/>
    </row>
    <row r="107" spans="1:18" x14ac:dyDescent="0.2">
      <c r="A107" s="238"/>
      <c r="B107" s="54" t="s">
        <v>223</v>
      </c>
      <c r="C107" s="239" t="s">
        <v>413</v>
      </c>
      <c r="D107" s="283"/>
      <c r="E107" s="281"/>
      <c r="F107" s="79"/>
      <c r="G107" s="47">
        <f>SUMIF(JournalsB!D$14:D$920,TrialBalanceB!M107,JournalsB!J$14:J$920)+SUMIF(JournalsB!E$14:E$920,TrialBalanceB!M107,JournalsB!J$14:J$920)</f>
        <v>0</v>
      </c>
      <c r="H107" s="288"/>
      <c r="I107" s="290">
        <f t="shared" si="18"/>
        <v>0</v>
      </c>
      <c r="J107" s="75"/>
      <c r="K107" s="48">
        <f t="shared" si="10"/>
        <v>0</v>
      </c>
      <c r="M107" s="140" t="str">
        <f t="shared" si="11"/>
        <v>3000/060Depreciation----------------------------</v>
      </c>
      <c r="N107" s="70"/>
      <c r="P107" s="71"/>
      <c r="Q107" s="51"/>
      <c r="R107" s="31"/>
    </row>
    <row r="108" spans="1:18" x14ac:dyDescent="0.2">
      <c r="A108" s="238"/>
      <c r="B108" s="90" t="s">
        <v>224</v>
      </c>
      <c r="C108" s="241" t="s">
        <v>53</v>
      </c>
      <c r="D108" s="281"/>
      <c r="E108" s="281"/>
      <c r="F108" s="79"/>
      <c r="G108" s="47">
        <f>SUMIF(JournalsB!D$14:D$920,TrialBalanceB!M108,JournalsB!J$14:J$920)+SUMIF(JournalsB!E$14:E$920,TrialBalanceB!M108,JournalsB!J$14:J$920)</f>
        <v>0</v>
      </c>
      <c r="H108" s="288"/>
      <c r="I108" s="290">
        <f t="shared" si="18"/>
        <v>0</v>
      </c>
      <c r="J108" s="75"/>
      <c r="K108" s="48">
        <f t="shared" si="10"/>
        <v>0</v>
      </c>
      <c r="M108" s="140" t="str">
        <f t="shared" si="11"/>
        <v>3000/061Depr - Electronic equipment</v>
      </c>
      <c r="N108" s="70"/>
      <c r="P108" s="71"/>
      <c r="Q108" s="51"/>
      <c r="R108" s="31"/>
    </row>
    <row r="109" spans="1:18" x14ac:dyDescent="0.2">
      <c r="A109" s="238"/>
      <c r="B109" s="90" t="s">
        <v>360</v>
      </c>
      <c r="C109" s="242" t="s">
        <v>766</v>
      </c>
      <c r="D109" s="282"/>
      <c r="E109" s="281"/>
      <c r="F109" s="79"/>
      <c r="G109" s="47">
        <f>SUMIF(JournalsB!D$14:D$920,TrialBalanceB!M109,JournalsB!J$14:J$920)+SUMIF(JournalsB!E$14:E$920,TrialBalanceB!M109,JournalsB!J$14:J$920)</f>
        <v>0</v>
      </c>
      <c r="H109" s="288"/>
      <c r="I109" s="290">
        <f t="shared" si="18"/>
        <v>0</v>
      </c>
      <c r="J109" s="75"/>
      <c r="K109" s="48">
        <f t="shared" si="10"/>
        <v>0</v>
      </c>
      <c r="M109" s="140" t="str">
        <f t="shared" si="11"/>
        <v>3000/063Depr - Furniture and fittings</v>
      </c>
      <c r="N109" s="70"/>
      <c r="P109" s="71"/>
      <c r="Q109" s="51"/>
      <c r="R109" s="31"/>
    </row>
    <row r="110" spans="1:18" x14ac:dyDescent="0.2">
      <c r="A110" s="238"/>
      <c r="B110" s="54" t="s">
        <v>361</v>
      </c>
      <c r="C110" s="239" t="s">
        <v>615</v>
      </c>
      <c r="D110" s="283"/>
      <c r="E110" s="281"/>
      <c r="F110" s="79"/>
      <c r="G110" s="47">
        <f>SUMIF(JournalsB!D$14:D$920,TrialBalanceB!M110,JournalsB!J$14:J$920)+SUMIF(JournalsB!E$14:E$920,TrialBalanceB!M110,JournalsB!J$14:J$920)</f>
        <v>0</v>
      </c>
      <c r="H110" s="288"/>
      <c r="I110" s="290">
        <f t="shared" si="18"/>
        <v>0</v>
      </c>
      <c r="J110" s="75"/>
      <c r="K110" s="48">
        <f t="shared" si="10"/>
        <v>0</v>
      </c>
      <c r="M110" s="140" t="str">
        <f t="shared" si="11"/>
        <v>3000/070Directors' remuneration-----------------</v>
      </c>
      <c r="N110" s="70"/>
      <c r="P110" s="71"/>
      <c r="Q110" s="51"/>
      <c r="R110" s="31"/>
    </row>
    <row r="111" spans="1:18" x14ac:dyDescent="0.2">
      <c r="A111" s="238"/>
      <c r="B111" s="54" t="s">
        <v>362</v>
      </c>
      <c r="C111" s="276" t="str">
        <f>Criteria!E38</f>
        <v>A Director</v>
      </c>
      <c r="D111" s="281"/>
      <c r="E111" s="281"/>
      <c r="F111" s="79"/>
      <c r="G111" s="47">
        <f>SUMIF(JournalsB!D$14:D$920,TrialBalanceB!M111,JournalsB!J$14:J$920)+SUMIF(JournalsB!E$14:E$920,TrialBalanceB!M111,JournalsB!J$14:J$920)</f>
        <v>0</v>
      </c>
      <c r="H111" s="288"/>
      <c r="I111" s="290">
        <f t="shared" si="18"/>
        <v>0</v>
      </c>
      <c r="J111" s="75"/>
      <c r="K111" s="48">
        <f t="shared" si="10"/>
        <v>0</v>
      </c>
      <c r="M111" s="140" t="str">
        <f t="shared" si="11"/>
        <v>3000/071A Director</v>
      </c>
      <c r="N111" s="70"/>
      <c r="P111" s="71"/>
      <c r="Q111" s="51"/>
      <c r="R111" s="31"/>
    </row>
    <row r="112" spans="1:18" x14ac:dyDescent="0.2">
      <c r="A112" s="238"/>
      <c r="B112" s="54" t="s">
        <v>363</v>
      </c>
      <c r="C112" s="276">
        <f>Criteria!E39</f>
        <v>0</v>
      </c>
      <c r="D112" s="281"/>
      <c r="E112" s="281"/>
      <c r="F112" s="79"/>
      <c r="G112" s="47">
        <f>SUMIF(JournalsB!D$14:D$920,TrialBalanceB!M112,JournalsB!J$14:J$920)+SUMIF(JournalsB!E$14:E$920,TrialBalanceB!M112,JournalsB!J$14:J$920)</f>
        <v>0</v>
      </c>
      <c r="H112" s="288"/>
      <c r="I112" s="290">
        <f t="shared" si="18"/>
        <v>0</v>
      </c>
      <c r="J112" s="75"/>
      <c r="K112" s="48">
        <f t="shared" si="10"/>
        <v>0</v>
      </c>
      <c r="M112" s="140" t="str">
        <f t="shared" si="11"/>
        <v>3000/0720</v>
      </c>
      <c r="N112" s="70"/>
      <c r="P112" s="71"/>
      <c r="Q112" s="51"/>
      <c r="R112" s="31"/>
    </row>
    <row r="113" spans="1:18" x14ac:dyDescent="0.2">
      <c r="A113" s="238"/>
      <c r="B113" s="54" t="s">
        <v>364</v>
      </c>
      <c r="C113" s="276">
        <f>Criteria!E40</f>
        <v>0</v>
      </c>
      <c r="D113" s="281"/>
      <c r="E113" s="281"/>
      <c r="F113" s="79"/>
      <c r="G113" s="47">
        <f>SUMIF(JournalsB!D$14:D$920,TrialBalanceB!M113,JournalsB!J$14:J$920)+SUMIF(JournalsB!E$14:E$920,TrialBalanceB!M113,JournalsB!J$14:J$920)</f>
        <v>0</v>
      </c>
      <c r="H113" s="288"/>
      <c r="I113" s="290">
        <f t="shared" si="18"/>
        <v>0</v>
      </c>
      <c r="J113" s="75"/>
      <c r="K113" s="48">
        <f t="shared" si="10"/>
        <v>0</v>
      </c>
      <c r="M113" s="140" t="str">
        <f t="shared" si="11"/>
        <v>3000/0730</v>
      </c>
      <c r="N113" s="70"/>
      <c r="P113" s="71"/>
      <c r="Q113" s="51"/>
      <c r="R113" s="31"/>
    </row>
    <row r="114" spans="1:18" x14ac:dyDescent="0.2">
      <c r="A114" s="238"/>
      <c r="B114" s="54" t="s">
        <v>365</v>
      </c>
      <c r="C114" s="276">
        <f>Criteria!E41</f>
        <v>0</v>
      </c>
      <c r="D114" s="281"/>
      <c r="E114" s="281"/>
      <c r="F114" s="79"/>
      <c r="G114" s="47">
        <f>SUMIF(JournalsB!D$14:D$920,TrialBalanceB!M114,JournalsB!J$14:J$920)+SUMIF(JournalsB!E$14:E$920,TrialBalanceB!M114,JournalsB!J$14:J$920)</f>
        <v>0</v>
      </c>
      <c r="H114" s="288"/>
      <c r="I114" s="290">
        <f t="shared" si="18"/>
        <v>0</v>
      </c>
      <c r="J114" s="75"/>
      <c r="K114" s="48">
        <f t="shared" si="10"/>
        <v>0</v>
      </c>
      <c r="M114" s="140" t="str">
        <f t="shared" si="11"/>
        <v>3000/0740</v>
      </c>
      <c r="N114" s="70"/>
      <c r="P114" s="71"/>
      <c r="Q114" s="51"/>
      <c r="R114" s="31"/>
    </row>
    <row r="115" spans="1:18" x14ac:dyDescent="0.2">
      <c r="A115" s="238"/>
      <c r="B115" s="54" t="s">
        <v>366</v>
      </c>
      <c r="C115" s="276">
        <f>Criteria!E42</f>
        <v>0</v>
      </c>
      <c r="D115" s="282"/>
      <c r="E115" s="281"/>
      <c r="F115" s="79"/>
      <c r="G115" s="47">
        <f>SUMIF(JournalsB!D$14:D$920,TrialBalanceB!M115,JournalsB!J$14:J$920)+SUMIF(JournalsB!E$14:E$920,TrialBalanceB!M115,JournalsB!J$14:J$920)</f>
        <v>0</v>
      </c>
      <c r="H115" s="288"/>
      <c r="I115" s="290">
        <f t="shared" si="18"/>
        <v>0</v>
      </c>
      <c r="J115" s="75"/>
      <c r="K115" s="48">
        <f t="shared" si="10"/>
        <v>0</v>
      </c>
      <c r="M115" s="140" t="str">
        <f t="shared" si="11"/>
        <v>3000/0750</v>
      </c>
      <c r="N115" s="70"/>
      <c r="P115" s="71"/>
      <c r="Q115" s="51"/>
      <c r="R115" s="31"/>
    </row>
    <row r="116" spans="1:18" x14ac:dyDescent="0.2">
      <c r="A116" s="238"/>
      <c r="B116" s="54" t="s">
        <v>367</v>
      </c>
      <c r="C116" s="240" t="s">
        <v>259</v>
      </c>
      <c r="D116" s="282"/>
      <c r="E116" s="281"/>
      <c r="F116" s="79"/>
      <c r="G116" s="47">
        <f>SUMIF(JournalsB!D$14:D$920,TrialBalanceB!M116,JournalsB!J$14:J$920)+SUMIF(JournalsB!E$14:E$920,TrialBalanceB!M116,JournalsB!J$14:J$920)</f>
        <v>0</v>
      </c>
      <c r="H116" s="288"/>
      <c r="I116" s="290">
        <f t="shared" si="18"/>
        <v>0</v>
      </c>
      <c r="J116" s="75"/>
      <c r="K116" s="48">
        <f t="shared" si="10"/>
        <v>0</v>
      </c>
      <c r="M116" s="140" t="str">
        <f t="shared" si="11"/>
        <v>3000/080Donations</v>
      </c>
      <c r="N116" s="70"/>
      <c r="P116" s="71"/>
      <c r="Q116" s="51"/>
      <c r="R116" s="31"/>
    </row>
    <row r="117" spans="1:18" x14ac:dyDescent="0.2">
      <c r="A117" s="238"/>
      <c r="B117" s="54" t="s">
        <v>368</v>
      </c>
      <c r="C117" s="240" t="s">
        <v>369</v>
      </c>
      <c r="D117" s="282"/>
      <c r="E117" s="281"/>
      <c r="F117" s="79"/>
      <c r="G117" s="47">
        <f>SUMIF(JournalsB!D$14:D$920,TrialBalanceB!M117,JournalsB!J$14:J$920)+SUMIF(JournalsB!E$14:E$920,TrialBalanceB!M117,JournalsB!J$14:J$920)</f>
        <v>0</v>
      </c>
      <c r="H117" s="288"/>
      <c r="I117" s="290">
        <f t="shared" si="18"/>
        <v>0</v>
      </c>
      <c r="J117" s="75"/>
      <c r="K117" s="48">
        <f t="shared" si="10"/>
        <v>0</v>
      </c>
      <c r="M117" s="140" t="str">
        <f t="shared" si="11"/>
        <v>3000/090Entertainment expenses</v>
      </c>
      <c r="N117" s="70"/>
      <c r="P117" s="71"/>
      <c r="Q117" s="51"/>
      <c r="R117" s="31"/>
    </row>
    <row r="118" spans="1:18" x14ac:dyDescent="0.2">
      <c r="A118" s="238"/>
      <c r="B118" s="56" t="s">
        <v>61</v>
      </c>
      <c r="C118" s="246" t="s">
        <v>330</v>
      </c>
      <c r="D118" s="272"/>
      <c r="E118" s="281"/>
      <c r="F118" s="79"/>
      <c r="G118" s="47">
        <f>SUMIF(JournalsB!D$14:D$920,TrialBalanceB!M118,JournalsB!J$14:J$920)+SUMIF(JournalsB!E$14:E$920,TrialBalanceB!M118,JournalsB!J$14:J$920)</f>
        <v>0</v>
      </c>
      <c r="H118" s="288"/>
      <c r="I118" s="290">
        <f t="shared" si="18"/>
        <v>0</v>
      </c>
      <c r="J118" s="75"/>
      <c r="K118" s="48">
        <f t="shared" si="10"/>
        <v>0</v>
      </c>
      <c r="M118" s="140" t="str">
        <f t="shared" si="11"/>
        <v>3000/095Fines</v>
      </c>
      <c r="N118" s="70"/>
      <c r="P118" s="71"/>
      <c r="Q118" s="51"/>
      <c r="R118" s="31"/>
    </row>
    <row r="119" spans="1:18" x14ac:dyDescent="0.2">
      <c r="A119" s="238"/>
      <c r="B119" s="54" t="s">
        <v>370</v>
      </c>
      <c r="C119" s="240" t="s">
        <v>371</v>
      </c>
      <c r="D119" s="282"/>
      <c r="E119" s="281"/>
      <c r="F119" s="79"/>
      <c r="G119" s="47">
        <f>SUMIF(JournalsB!D$14:D$920,TrialBalanceB!M119,JournalsB!J$14:J$920)+SUMIF(JournalsB!E$14:E$920,TrialBalanceB!M119,JournalsB!J$14:J$920)</f>
        <v>0</v>
      </c>
      <c r="H119" s="288"/>
      <c r="I119" s="290">
        <f t="shared" si="18"/>
        <v>0</v>
      </c>
      <c r="J119" s="75"/>
      <c r="K119" s="48">
        <f t="shared" si="10"/>
        <v>0</v>
      </c>
      <c r="M119" s="140" t="str">
        <f t="shared" si="11"/>
        <v>3000/100General expenses</v>
      </c>
      <c r="N119" s="70"/>
      <c r="P119" s="71"/>
      <c r="Q119" s="51"/>
      <c r="R119" s="31"/>
    </row>
    <row r="120" spans="1:18" x14ac:dyDescent="0.2">
      <c r="A120" s="238"/>
      <c r="B120" s="54" t="s">
        <v>301</v>
      </c>
      <c r="C120" s="241" t="s">
        <v>763</v>
      </c>
      <c r="D120" s="272"/>
      <c r="E120" s="281"/>
      <c r="F120" s="79"/>
      <c r="G120" s="47">
        <f>SUMIF(JournalsB!D$14:D$920,TrialBalanceB!M120,JournalsB!J$14:J$920)+SUMIF(JournalsB!E$14:E$920,TrialBalanceB!M120,JournalsB!J$14:J$920)</f>
        <v>0</v>
      </c>
      <c r="H120" s="288"/>
      <c r="I120" s="290">
        <f t="shared" si="18"/>
        <v>0</v>
      </c>
      <c r="J120" s="75"/>
      <c r="K120" s="48">
        <f t="shared" si="10"/>
        <v>0</v>
      </c>
      <c r="M120" s="140" t="str">
        <f t="shared" si="11"/>
        <v>3000/110Legal expenses - tax deductible</v>
      </c>
      <c r="N120" s="70"/>
      <c r="P120" s="71"/>
      <c r="Q120" s="51"/>
      <c r="R120" s="31"/>
    </row>
    <row r="121" spans="1:18" x14ac:dyDescent="0.2">
      <c r="A121" s="238"/>
      <c r="B121" s="54" t="s">
        <v>448</v>
      </c>
      <c r="C121" s="241" t="s">
        <v>764</v>
      </c>
      <c r="D121" s="272"/>
      <c r="E121" s="281"/>
      <c r="F121" s="79"/>
      <c r="G121" s="47">
        <f>SUMIF(JournalsB!D$14:D$920,TrialBalanceB!M121,JournalsB!J$14:J$920)+SUMIF(JournalsB!E$14:E$920,TrialBalanceB!M121,JournalsB!J$14:J$920)</f>
        <v>0</v>
      </c>
      <c r="H121" s="288"/>
      <c r="I121" s="290">
        <f t="shared" si="18"/>
        <v>0</v>
      </c>
      <c r="J121" s="75"/>
      <c r="K121" s="48">
        <f t="shared" si="10"/>
        <v>0</v>
      </c>
      <c r="M121" s="140" t="str">
        <f t="shared" si="11"/>
        <v>3000/111Legal expenses - non deductible</v>
      </c>
      <c r="N121" s="70"/>
      <c r="P121" s="71"/>
      <c r="Q121" s="51"/>
      <c r="R121" s="31"/>
    </row>
    <row r="122" spans="1:18" x14ac:dyDescent="0.2">
      <c r="A122" s="238"/>
      <c r="B122" s="54" t="s">
        <v>302</v>
      </c>
      <c r="C122" s="240" t="s">
        <v>303</v>
      </c>
      <c r="D122" s="282"/>
      <c r="E122" s="281"/>
      <c r="F122" s="79"/>
      <c r="G122" s="47">
        <f>SUMIF(JournalsB!D$14:D$920,TrialBalanceB!M122,JournalsB!J$14:J$920)+SUMIF(JournalsB!E$14:E$920,TrialBalanceB!M122,JournalsB!J$14:J$920)</f>
        <v>0</v>
      </c>
      <c r="H122" s="288"/>
      <c r="I122" s="290">
        <f t="shared" si="18"/>
        <v>0</v>
      </c>
      <c r="J122" s="75"/>
      <c r="K122" s="48">
        <f t="shared" si="10"/>
        <v>0</v>
      </c>
      <c r="M122" s="140" t="str">
        <f t="shared" si="11"/>
        <v>3000/120Printing and stationary</v>
      </c>
      <c r="N122" s="70"/>
      <c r="P122" s="71"/>
      <c r="Q122" s="51"/>
      <c r="R122" s="31"/>
    </row>
    <row r="123" spans="1:18" x14ac:dyDescent="0.2">
      <c r="A123" s="238"/>
      <c r="B123" s="54" t="s">
        <v>304</v>
      </c>
      <c r="C123" s="240" t="s">
        <v>260</v>
      </c>
      <c r="D123" s="282"/>
      <c r="E123" s="281"/>
      <c r="F123" s="79"/>
      <c r="G123" s="47">
        <f>SUMIF(JournalsB!D$14:D$920,TrialBalanceB!M123,JournalsB!J$14:J$920)+SUMIF(JournalsB!E$14:E$920,TrialBalanceB!M123,JournalsB!J$14:J$920)</f>
        <v>0</v>
      </c>
      <c r="H123" s="288"/>
      <c r="I123" s="290">
        <f t="shared" si="18"/>
        <v>0</v>
      </c>
      <c r="J123" s="75"/>
      <c r="K123" s="48">
        <f t="shared" si="10"/>
        <v>0</v>
      </c>
      <c r="M123" s="140" t="str">
        <f t="shared" si="11"/>
        <v>3000/130Refreshments</v>
      </c>
      <c r="N123" s="70"/>
      <c r="P123" s="71"/>
      <c r="Q123" s="51"/>
      <c r="R123" s="31"/>
    </row>
    <row r="124" spans="1:18" x14ac:dyDescent="0.2">
      <c r="A124" s="238"/>
      <c r="B124" s="54" t="s">
        <v>305</v>
      </c>
      <c r="C124" s="240" t="s">
        <v>64</v>
      </c>
      <c r="D124" s="282"/>
      <c r="E124" s="281"/>
      <c r="F124" s="79"/>
      <c r="G124" s="47">
        <f>SUMIF(JournalsB!D$14:D$920,TrialBalanceB!M124,JournalsB!J$14:J$920)+SUMIF(JournalsB!E$14:E$920,TrialBalanceB!M124,JournalsB!J$14:J$920)</f>
        <v>0</v>
      </c>
      <c r="H124" s="288"/>
      <c r="I124" s="290">
        <f t="shared" si="18"/>
        <v>0</v>
      </c>
      <c r="J124" s="75"/>
      <c r="K124" s="48">
        <f t="shared" si="10"/>
        <v>0</v>
      </c>
      <c r="M124" s="140" t="str">
        <f t="shared" si="11"/>
        <v>3000/140Salaries</v>
      </c>
      <c r="N124" s="70"/>
      <c r="P124" s="71"/>
      <c r="Q124" s="51"/>
      <c r="R124" s="31"/>
    </row>
    <row r="125" spans="1:18" x14ac:dyDescent="0.2">
      <c r="A125" s="238"/>
      <c r="B125" s="90" t="s">
        <v>306</v>
      </c>
      <c r="C125" s="240" t="s">
        <v>68</v>
      </c>
      <c r="D125" s="282"/>
      <c r="E125" s="281"/>
      <c r="F125" s="79"/>
      <c r="G125" s="47">
        <f>SUMIF(JournalsB!D$14:D$920,TrialBalanceB!M125,JournalsB!J$14:J$920)+SUMIF(JournalsB!E$14:E$920,TrialBalanceB!M125,JournalsB!J$14:J$920)</f>
        <v>0</v>
      </c>
      <c r="H125" s="288"/>
      <c r="I125" s="290">
        <f t="shared" si="18"/>
        <v>0</v>
      </c>
      <c r="J125" s="75"/>
      <c r="K125" s="48">
        <f t="shared" si="10"/>
        <v>0</v>
      </c>
      <c r="M125" s="140" t="str">
        <f t="shared" si="11"/>
        <v>3000/141Casual wages</v>
      </c>
      <c r="N125" s="70"/>
      <c r="P125" s="71"/>
      <c r="Q125" s="51"/>
      <c r="R125" s="31"/>
    </row>
    <row r="126" spans="1:18" x14ac:dyDescent="0.2">
      <c r="A126" s="238"/>
      <c r="B126" s="54" t="s">
        <v>307</v>
      </c>
      <c r="C126" s="240" t="s">
        <v>261</v>
      </c>
      <c r="D126" s="282"/>
      <c r="E126" s="281"/>
      <c r="F126" s="79"/>
      <c r="G126" s="47">
        <f>SUMIF(JournalsB!D$14:D$920,TrialBalanceB!M126,JournalsB!J$14:J$920)+SUMIF(JournalsB!E$14:E$920,TrialBalanceB!M126,JournalsB!J$14:J$920)</f>
        <v>0</v>
      </c>
      <c r="H126" s="288"/>
      <c r="I126" s="290">
        <f t="shared" si="18"/>
        <v>0</v>
      </c>
      <c r="J126" s="75"/>
      <c r="K126" s="48">
        <f t="shared" si="10"/>
        <v>0</v>
      </c>
      <c r="M126" s="140" t="str">
        <f t="shared" si="11"/>
        <v>3000/150Security</v>
      </c>
      <c r="N126" s="70"/>
      <c r="P126" s="71"/>
      <c r="Q126" s="51"/>
      <c r="R126" s="31"/>
    </row>
    <row r="127" spans="1:18" x14ac:dyDescent="0.2">
      <c r="A127" s="238"/>
      <c r="B127" s="54" t="s">
        <v>308</v>
      </c>
      <c r="C127" s="242" t="s">
        <v>729</v>
      </c>
      <c r="D127" s="284"/>
      <c r="E127" s="281"/>
      <c r="F127" s="79"/>
      <c r="G127" s="47">
        <f>SUMIF(JournalsB!D$14:D$920,TrialBalanceB!M127,JournalsB!J$14:J$920)+SUMIF(JournalsB!E$14:E$920,TrialBalanceB!M127,JournalsB!J$14:J$920)</f>
        <v>0</v>
      </c>
      <c r="H127" s="288"/>
      <c r="I127" s="290">
        <f t="shared" si="18"/>
        <v>0</v>
      </c>
      <c r="J127" s="75"/>
      <c r="K127" s="48">
        <f t="shared" si="10"/>
        <v>0</v>
      </c>
      <c r="M127" s="140" t="str">
        <f t="shared" si="11"/>
        <v>3000/160Subscriptions and membership fees</v>
      </c>
      <c r="N127" s="70"/>
      <c r="P127" s="71"/>
      <c r="Q127" s="51"/>
      <c r="R127" s="31"/>
    </row>
    <row r="128" spans="1:18" x14ac:dyDescent="0.2">
      <c r="A128" s="238"/>
      <c r="B128" s="54" t="s">
        <v>333</v>
      </c>
      <c r="C128" s="242" t="s">
        <v>765</v>
      </c>
      <c r="D128" s="282"/>
      <c r="E128" s="281"/>
      <c r="F128" s="79"/>
      <c r="G128" s="47">
        <f>SUMIF(JournalsB!D$14:D$920,TrialBalanceB!M128,JournalsB!J$14:J$920)+SUMIF(JournalsB!E$14:E$920,TrialBalanceB!M128,JournalsB!J$14:J$920)</f>
        <v>0</v>
      </c>
      <c r="H128" s="288"/>
      <c r="I128" s="290">
        <f t="shared" si="18"/>
        <v>0</v>
      </c>
      <c r="J128" s="75"/>
      <c r="K128" s="48">
        <f t="shared" si="10"/>
        <v>0</v>
      </c>
      <c r="M128" s="140" t="str">
        <f t="shared" si="11"/>
        <v>3000/170Penalties and interest - SARS</v>
      </c>
      <c r="N128" s="70"/>
      <c r="P128" s="71"/>
      <c r="Q128" s="51"/>
      <c r="R128" s="31"/>
    </row>
    <row r="129" spans="1:18" x14ac:dyDescent="0.2">
      <c r="A129" s="238"/>
      <c r="B129" s="54" t="s">
        <v>279</v>
      </c>
      <c r="C129" s="276"/>
      <c r="D129" s="281"/>
      <c r="E129" s="281"/>
      <c r="F129" s="79"/>
      <c r="G129" s="47">
        <f>SUMIF(JournalsB!D$14:D$920,TrialBalanceB!M129,JournalsB!J$14:J$920)+SUMIF(JournalsB!E$14:E$920,TrialBalanceB!M129,JournalsB!J$14:J$920)</f>
        <v>0</v>
      </c>
      <c r="H129" s="288"/>
      <c r="I129" s="290">
        <f t="shared" si="18"/>
        <v>0</v>
      </c>
      <c r="J129" s="75"/>
      <c r="K129" s="48">
        <f t="shared" si="10"/>
        <v>0</v>
      </c>
      <c r="M129" s="140" t="str">
        <f t="shared" si="11"/>
        <v>3000/180</v>
      </c>
      <c r="N129" s="70"/>
      <c r="P129" s="71"/>
      <c r="Q129" s="51"/>
      <c r="R129" s="31"/>
    </row>
    <row r="130" spans="1:18" x14ac:dyDescent="0.2">
      <c r="A130" s="238"/>
      <c r="B130" s="54" t="s">
        <v>280</v>
      </c>
      <c r="C130" s="276"/>
      <c r="D130" s="281"/>
      <c r="E130" s="281"/>
      <c r="F130" s="79"/>
      <c r="G130" s="47">
        <f>SUMIF(JournalsB!D$14:D$920,TrialBalanceB!M130,JournalsB!J$14:J$920)+SUMIF(JournalsB!E$14:E$920,TrialBalanceB!M130,JournalsB!J$14:J$920)</f>
        <v>0</v>
      </c>
      <c r="H130" s="288"/>
      <c r="I130" s="290">
        <f t="shared" si="18"/>
        <v>0</v>
      </c>
      <c r="J130" s="75"/>
      <c r="K130" s="48">
        <f t="shared" si="10"/>
        <v>0</v>
      </c>
      <c r="M130" s="140" t="str">
        <f t="shared" si="11"/>
        <v>3000/190</v>
      </c>
      <c r="N130" s="70"/>
      <c r="P130" s="71"/>
      <c r="Q130" s="51"/>
      <c r="R130" s="31"/>
    </row>
    <row r="131" spans="1:18" x14ac:dyDescent="0.2">
      <c r="A131" s="238"/>
      <c r="B131" s="54" t="s">
        <v>281</v>
      </c>
      <c r="C131" s="277"/>
      <c r="D131" s="281"/>
      <c r="E131" s="281"/>
      <c r="F131" s="79"/>
      <c r="G131" s="47">
        <f>SUMIF(JournalsB!D$14:D$920,TrialBalanceB!M131,JournalsB!J$14:J$920)+SUMIF(JournalsB!E$14:E$920,TrialBalanceB!M131,JournalsB!J$14:J$920)</f>
        <v>0</v>
      </c>
      <c r="H131" s="288"/>
      <c r="I131" s="290">
        <f t="shared" si="18"/>
        <v>0</v>
      </c>
      <c r="J131" s="75"/>
      <c r="K131" s="48">
        <f t="shared" si="10"/>
        <v>0</v>
      </c>
      <c r="M131" s="140" t="str">
        <f t="shared" si="11"/>
        <v>3000/200</v>
      </c>
      <c r="N131" s="70"/>
      <c r="P131" s="71"/>
      <c r="Q131" s="51"/>
      <c r="R131" s="31"/>
    </row>
    <row r="132" spans="1:18" x14ac:dyDescent="0.2">
      <c r="A132" s="238"/>
      <c r="B132" s="54" t="s">
        <v>282</v>
      </c>
      <c r="C132" s="277"/>
      <c r="D132" s="272"/>
      <c r="E132" s="281"/>
      <c r="F132" s="79"/>
      <c r="G132" s="47">
        <f>SUMIF(JournalsB!D$14:D$920,TrialBalanceB!M132,JournalsB!J$14:J$920)+SUMIF(JournalsB!E$14:E$920,TrialBalanceB!M132,JournalsB!J$14:J$920)</f>
        <v>0</v>
      </c>
      <c r="H132" s="288"/>
      <c r="I132" s="290">
        <f t="shared" si="18"/>
        <v>0</v>
      </c>
      <c r="J132" s="75"/>
      <c r="K132" s="48">
        <f t="shared" si="10"/>
        <v>0</v>
      </c>
      <c r="M132" s="140" t="str">
        <f t="shared" si="11"/>
        <v>3000/210</v>
      </c>
      <c r="N132" s="70"/>
      <c r="P132" s="71"/>
      <c r="Q132" s="51"/>
      <c r="R132" s="31"/>
    </row>
    <row r="133" spans="1:18" x14ac:dyDescent="0.2">
      <c r="A133" s="238"/>
      <c r="B133" s="54" t="s">
        <v>283</v>
      </c>
      <c r="C133" s="277"/>
      <c r="D133" s="281"/>
      <c r="E133" s="281"/>
      <c r="F133" s="79"/>
      <c r="G133" s="47">
        <f>SUMIF(JournalsB!D$14:D$920,TrialBalanceB!M133,JournalsB!J$14:J$920)+SUMIF(JournalsB!E$14:E$920,TrialBalanceB!M133,JournalsB!J$14:J$920)</f>
        <v>0</v>
      </c>
      <c r="H133" s="288"/>
      <c r="I133" s="290">
        <f t="shared" si="18"/>
        <v>0</v>
      </c>
      <c r="J133" s="75"/>
      <c r="K133" s="48">
        <f t="shared" si="10"/>
        <v>0</v>
      </c>
      <c r="M133" s="140" t="str">
        <f t="shared" si="11"/>
        <v>3000/220</v>
      </c>
      <c r="N133" s="70"/>
      <c r="P133" s="71"/>
      <c r="Q133" s="51"/>
      <c r="R133" s="31"/>
    </row>
    <row r="134" spans="1:18" x14ac:dyDescent="0.2">
      <c r="A134" s="238"/>
      <c r="B134" s="90" t="s">
        <v>537</v>
      </c>
      <c r="C134" s="277"/>
      <c r="D134" s="272"/>
      <c r="E134" s="281"/>
      <c r="F134" s="79"/>
      <c r="G134" s="47">
        <f>SUMIF(JournalsB!D$14:D$920,TrialBalanceB!M134,JournalsB!J$14:J$920)+SUMIF(JournalsB!E$14:E$920,TrialBalanceB!M134,JournalsB!J$14:J$920)</f>
        <v>0</v>
      </c>
      <c r="H134" s="288"/>
      <c r="I134" s="290">
        <f t="shared" si="18"/>
        <v>0</v>
      </c>
      <c r="J134" s="75"/>
      <c r="K134" s="48">
        <f t="shared" si="10"/>
        <v>0</v>
      </c>
      <c r="M134" s="140" t="str">
        <f t="shared" si="11"/>
        <v>3000/230</v>
      </c>
      <c r="N134" s="70"/>
      <c r="P134" s="71"/>
      <c r="Q134" s="51"/>
      <c r="R134" s="31"/>
    </row>
    <row r="135" spans="1:18" x14ac:dyDescent="0.2">
      <c r="A135" s="238"/>
      <c r="B135" s="90" t="s">
        <v>538</v>
      </c>
      <c r="C135" s="277"/>
      <c r="D135" s="272"/>
      <c r="E135" s="281"/>
      <c r="F135" s="79"/>
      <c r="G135" s="47">
        <f>SUMIF(JournalsB!D$14:D$920,TrialBalanceB!M135,JournalsB!J$14:J$920)+SUMIF(JournalsB!E$14:E$920,TrialBalanceB!M135,JournalsB!J$14:J$920)</f>
        <v>0</v>
      </c>
      <c r="H135" s="288"/>
      <c r="I135" s="290">
        <f t="shared" si="18"/>
        <v>0</v>
      </c>
      <c r="J135" s="75"/>
      <c r="K135" s="48">
        <f t="shared" si="10"/>
        <v>0</v>
      </c>
      <c r="M135" s="140" t="str">
        <f t="shared" si="11"/>
        <v>3000/240</v>
      </c>
      <c r="N135" s="70"/>
      <c r="P135" s="71"/>
      <c r="Q135" s="51"/>
      <c r="R135" s="31"/>
    </row>
    <row r="136" spans="1:18" x14ac:dyDescent="0.2">
      <c r="A136" s="238"/>
      <c r="B136" s="90" t="s">
        <v>539</v>
      </c>
      <c r="C136" s="277"/>
      <c r="D136" s="272"/>
      <c r="E136" s="281"/>
      <c r="F136" s="79"/>
      <c r="G136" s="47">
        <f>SUMIF(JournalsB!D$14:D$920,TrialBalanceB!M136,JournalsB!J$14:J$920)+SUMIF(JournalsB!E$14:E$920,TrialBalanceB!M136,JournalsB!J$14:J$920)</f>
        <v>0</v>
      </c>
      <c r="H136" s="288"/>
      <c r="I136" s="290">
        <f t="shared" si="18"/>
        <v>0</v>
      </c>
      <c r="J136" s="75"/>
      <c r="K136" s="48">
        <f t="shared" si="10"/>
        <v>0</v>
      </c>
      <c r="M136" s="140" t="str">
        <f t="shared" si="11"/>
        <v>3000/250</v>
      </c>
      <c r="N136" s="70"/>
      <c r="P136" s="71"/>
      <c r="Q136" s="51"/>
      <c r="R136" s="31"/>
    </row>
    <row r="137" spans="1:18" x14ac:dyDescent="0.2">
      <c r="A137" s="238"/>
      <c r="B137" s="90" t="s">
        <v>540</v>
      </c>
      <c r="C137" s="277"/>
      <c r="D137" s="272"/>
      <c r="E137" s="281"/>
      <c r="F137" s="79"/>
      <c r="G137" s="47">
        <f>SUMIF(JournalsB!D$14:D$920,TrialBalanceB!M137,JournalsB!J$14:J$920)+SUMIF(JournalsB!E$14:E$920,TrialBalanceB!M137,JournalsB!J$14:J$920)</f>
        <v>0</v>
      </c>
      <c r="H137" s="288"/>
      <c r="I137" s="290">
        <f t="shared" si="18"/>
        <v>0</v>
      </c>
      <c r="J137" s="75"/>
      <c r="K137" s="48">
        <f t="shared" ref="K137:K206" si="22">ROUND(SUM(A137),0)</f>
        <v>0</v>
      </c>
      <c r="M137" s="140" t="str">
        <f t="shared" ref="M137:M206" si="23">CONCATENATE(B137,C137)</f>
        <v>3000/260</v>
      </c>
      <c r="N137" s="70"/>
      <c r="P137" s="71"/>
      <c r="Q137" s="51"/>
      <c r="R137" s="31"/>
    </row>
    <row r="138" spans="1:18" x14ac:dyDescent="0.2">
      <c r="A138" s="238"/>
      <c r="B138" s="90" t="s">
        <v>541</v>
      </c>
      <c r="C138" s="241" t="s">
        <v>1018</v>
      </c>
      <c r="D138" s="281"/>
      <c r="E138" s="281"/>
      <c r="F138" s="79"/>
      <c r="G138" s="47">
        <f>SUMIF(JournalsB!D$14:D$920,TrialBalanceB!M138,JournalsB!J$14:J$920)+SUMIF(JournalsB!E$14:E$920,TrialBalanceB!M138,JournalsB!J$14:J$920)</f>
        <v>0</v>
      </c>
      <c r="H138" s="288"/>
      <c r="I138" s="290">
        <f t="shared" si="18"/>
        <v>0</v>
      </c>
      <c r="J138" s="75"/>
      <c r="K138" s="48">
        <f t="shared" si="22"/>
        <v>0</v>
      </c>
      <c r="M138" s="140" t="str">
        <f t="shared" si="23"/>
        <v>3000/270Amortisation of prepaid lease agreement</v>
      </c>
      <c r="N138" s="70"/>
      <c r="P138" s="71"/>
      <c r="Q138" s="51"/>
      <c r="R138" s="31"/>
    </row>
    <row r="139" spans="1:18" x14ac:dyDescent="0.2">
      <c r="A139" s="238"/>
      <c r="B139" s="90" t="s">
        <v>1019</v>
      </c>
      <c r="C139" s="242" t="s">
        <v>1020</v>
      </c>
      <c r="D139" s="281"/>
      <c r="E139" s="281"/>
      <c r="F139" s="79"/>
      <c r="G139" s="47">
        <f>SUMIF(JournalsB!D$14:D$920,TrialBalanceB!M139,JournalsB!J$14:J$920)+SUMIF(JournalsB!E$14:E$920,TrialBalanceB!M139,JournalsB!J$14:J$920)</f>
        <v>0</v>
      </c>
      <c r="H139" s="288"/>
      <c r="I139" s="290">
        <f t="shared" ref="I139" si="24">ROUND(D139-E139+G139+F139,0)</f>
        <v>0</v>
      </c>
      <c r="J139" s="75"/>
      <c r="K139" s="48">
        <f t="shared" ref="K139" si="25">ROUND(SUM(A139),0)</f>
        <v>0</v>
      </c>
      <c r="M139" s="140" t="str">
        <f t="shared" ref="M139" si="26">CONCATENATE(B139,C139)</f>
        <v>3000/280Amortisation of goodwill</v>
      </c>
      <c r="N139" s="70"/>
      <c r="P139" s="71"/>
      <c r="Q139" s="51"/>
      <c r="R139" s="31"/>
    </row>
    <row r="140" spans="1:18" x14ac:dyDescent="0.2">
      <c r="A140" s="238"/>
      <c r="B140" s="54" t="s">
        <v>309</v>
      </c>
      <c r="C140" s="239" t="s">
        <v>115</v>
      </c>
      <c r="D140" s="283"/>
      <c r="E140" s="281"/>
      <c r="F140" s="79"/>
      <c r="G140" s="47">
        <f>SUMIF(JournalsB!D$14:D$920,TrialBalanceB!M140,JournalsB!J$14:J$920)+SUMIF(JournalsB!E$14:E$920,TrialBalanceB!M140,JournalsB!J$14:J$920)</f>
        <v>0</v>
      </c>
      <c r="H140" s="288"/>
      <c r="I140" s="290">
        <f t="shared" si="18"/>
        <v>0</v>
      </c>
      <c r="J140" s="75"/>
      <c r="K140" s="48">
        <f t="shared" si="22"/>
        <v>0</v>
      </c>
      <c r="M140" s="140" t="str">
        <f t="shared" si="23"/>
        <v>4700/000FINANCE COSTS</v>
      </c>
      <c r="N140" s="70"/>
      <c r="P140" s="71"/>
      <c r="Q140" s="51"/>
      <c r="R140" s="31"/>
    </row>
    <row r="141" spans="1:18" x14ac:dyDescent="0.2">
      <c r="A141" s="238"/>
      <c r="B141" s="54" t="s">
        <v>310</v>
      </c>
      <c r="C141" s="239" t="s">
        <v>311</v>
      </c>
      <c r="D141" s="283"/>
      <c r="E141" s="281"/>
      <c r="F141" s="79"/>
      <c r="G141" s="47">
        <f>SUMIF(JournalsB!D$14:D$920,TrialBalanceB!M141,JournalsB!J$14:J$920)+SUMIF(JournalsB!E$14:E$920,TrialBalanceB!M141,JournalsB!J$14:J$920)</f>
        <v>0</v>
      </c>
      <c r="H141" s="288"/>
      <c r="I141" s="290">
        <f t="shared" si="18"/>
        <v>0</v>
      </c>
      <c r="J141" s="75"/>
      <c r="K141" s="48">
        <f t="shared" si="22"/>
        <v>0</v>
      </c>
      <c r="M141" s="140" t="str">
        <f t="shared" si="23"/>
        <v>4700/010Interest paid---------------------------</v>
      </c>
      <c r="N141" s="70"/>
      <c r="P141" s="71"/>
      <c r="Q141" s="51"/>
      <c r="R141" s="31"/>
    </row>
    <row r="142" spans="1:18" x14ac:dyDescent="0.2">
      <c r="A142" s="238"/>
      <c r="B142" s="54" t="s">
        <v>312</v>
      </c>
      <c r="C142" s="276"/>
      <c r="D142" s="281"/>
      <c r="E142" s="281"/>
      <c r="F142" s="79"/>
      <c r="G142" s="47">
        <f>SUMIF(JournalsB!D$14:D$920,TrialBalanceB!M142,JournalsB!J$14:J$920)+SUMIF(JournalsB!E$14:E$920,TrialBalanceB!M142,JournalsB!J$14:J$920)</f>
        <v>0</v>
      </c>
      <c r="H142" s="288"/>
      <c r="I142" s="290">
        <f t="shared" si="18"/>
        <v>0</v>
      </c>
      <c r="J142" s="75"/>
      <c r="K142" s="48">
        <f t="shared" si="22"/>
        <v>0</v>
      </c>
      <c r="M142" s="140" t="str">
        <f t="shared" si="23"/>
        <v>4700/011</v>
      </c>
      <c r="N142" s="70"/>
      <c r="P142" s="71"/>
      <c r="Q142" s="51"/>
      <c r="R142" s="31"/>
    </row>
    <row r="143" spans="1:18" x14ac:dyDescent="0.2">
      <c r="A143" s="238"/>
      <c r="B143" s="54" t="s">
        <v>313</v>
      </c>
      <c r="C143" s="277"/>
      <c r="D143" s="272"/>
      <c r="E143" s="281"/>
      <c r="F143" s="79"/>
      <c r="G143" s="47">
        <f>SUMIF(JournalsB!D$14:D$920,TrialBalanceB!M143,JournalsB!J$14:J$920)+SUMIF(JournalsB!E$14:E$920,TrialBalanceB!M143,JournalsB!J$14:J$920)</f>
        <v>0</v>
      </c>
      <c r="H143" s="288"/>
      <c r="I143" s="290">
        <f t="shared" si="18"/>
        <v>0</v>
      </c>
      <c r="J143" s="75"/>
      <c r="K143" s="48">
        <f t="shared" si="22"/>
        <v>0</v>
      </c>
      <c r="M143" s="140" t="str">
        <f t="shared" si="23"/>
        <v>4700/012</v>
      </c>
      <c r="N143" s="70"/>
      <c r="P143" s="71"/>
      <c r="Q143" s="51"/>
      <c r="R143" s="31"/>
    </row>
    <row r="144" spans="1:18" x14ac:dyDescent="0.2">
      <c r="A144" s="238"/>
      <c r="B144" s="54" t="s">
        <v>314</v>
      </c>
      <c r="C144" s="277"/>
      <c r="D144" s="272"/>
      <c r="E144" s="281"/>
      <c r="F144" s="79"/>
      <c r="G144" s="47">
        <f>SUMIF(JournalsB!D$14:D$920,TrialBalanceB!M144,JournalsB!J$14:J$920)+SUMIF(JournalsB!E$14:E$920,TrialBalanceB!M144,JournalsB!J$14:J$920)</f>
        <v>0</v>
      </c>
      <c r="H144" s="288"/>
      <c r="I144" s="290">
        <f t="shared" si="18"/>
        <v>0</v>
      </c>
      <c r="J144" s="75"/>
      <c r="K144" s="48">
        <f t="shared" si="22"/>
        <v>0</v>
      </c>
      <c r="M144" s="140" t="str">
        <f t="shared" si="23"/>
        <v>4700/013</v>
      </c>
      <c r="N144" s="70"/>
      <c r="P144" s="71"/>
      <c r="Q144" s="51"/>
      <c r="R144" s="31"/>
    </row>
    <row r="145" spans="1:18" x14ac:dyDescent="0.2">
      <c r="A145" s="238"/>
      <c r="B145" s="54" t="s">
        <v>315</v>
      </c>
      <c r="C145" s="277"/>
      <c r="D145" s="272"/>
      <c r="E145" s="281"/>
      <c r="F145" s="79"/>
      <c r="G145" s="47">
        <f>SUMIF(JournalsB!D$14:D$920,TrialBalanceB!M145,JournalsB!J$14:J$920)+SUMIF(JournalsB!E$14:E$920,TrialBalanceB!M145,JournalsB!J$14:J$920)</f>
        <v>0</v>
      </c>
      <c r="H145" s="288"/>
      <c r="I145" s="290">
        <f t="shared" si="18"/>
        <v>0</v>
      </c>
      <c r="J145" s="75"/>
      <c r="K145" s="48">
        <f t="shared" si="22"/>
        <v>0</v>
      </c>
      <c r="M145" s="140" t="str">
        <f t="shared" si="23"/>
        <v>4700/014</v>
      </c>
      <c r="N145" s="70"/>
      <c r="P145" s="71"/>
      <c r="Q145" s="51"/>
      <c r="R145" s="31"/>
    </row>
    <row r="146" spans="1:18" x14ac:dyDescent="0.2">
      <c r="A146" s="238"/>
      <c r="B146" s="54" t="s">
        <v>514</v>
      </c>
      <c r="C146" s="277"/>
      <c r="D146" s="272"/>
      <c r="E146" s="281"/>
      <c r="F146" s="79"/>
      <c r="G146" s="47">
        <f>SUMIF(JournalsB!D$14:D$920,TrialBalanceB!M146,JournalsB!J$14:J$920)+SUMIF(JournalsB!E$14:E$920,TrialBalanceB!M146,JournalsB!J$14:J$920)</f>
        <v>0</v>
      </c>
      <c r="H146" s="288"/>
      <c r="I146" s="290">
        <f t="shared" si="18"/>
        <v>0</v>
      </c>
      <c r="J146" s="75"/>
      <c r="K146" s="48">
        <f t="shared" si="22"/>
        <v>0</v>
      </c>
      <c r="M146" s="140" t="str">
        <f t="shared" si="23"/>
        <v>4700/015</v>
      </c>
      <c r="N146" s="70"/>
      <c r="P146" s="71"/>
      <c r="Q146" s="51"/>
      <c r="R146" s="31"/>
    </row>
    <row r="147" spans="1:18" x14ac:dyDescent="0.2">
      <c r="A147" s="238"/>
      <c r="B147" s="54" t="s">
        <v>522</v>
      </c>
      <c r="C147" s="277"/>
      <c r="D147" s="272"/>
      <c r="E147" s="281"/>
      <c r="F147" s="79"/>
      <c r="G147" s="47">
        <f>SUMIF(JournalsB!D$14:D$920,TrialBalanceB!M147,JournalsB!J$14:J$920)+SUMIF(JournalsB!E$14:E$920,TrialBalanceB!M147,JournalsB!J$14:J$920)</f>
        <v>0</v>
      </c>
      <c r="H147" s="288"/>
      <c r="I147" s="290">
        <f t="shared" si="18"/>
        <v>0</v>
      </c>
      <c r="J147" s="75"/>
      <c r="K147" s="48">
        <f t="shared" si="22"/>
        <v>0</v>
      </c>
      <c r="M147" s="140" t="str">
        <f t="shared" si="23"/>
        <v>4700/016</v>
      </c>
      <c r="N147" s="70"/>
      <c r="P147" s="71"/>
      <c r="Q147" s="51"/>
      <c r="R147" s="31"/>
    </row>
    <row r="148" spans="1:18" x14ac:dyDescent="0.2">
      <c r="A148" s="238"/>
      <c r="B148" s="90" t="s">
        <v>578</v>
      </c>
      <c r="C148" s="277"/>
      <c r="D148" s="272"/>
      <c r="E148" s="281"/>
      <c r="F148" s="79"/>
      <c r="G148" s="47">
        <f>SUMIF(JournalsB!D$14:D$920,TrialBalanceB!M148,JournalsB!J$14:J$920)+SUMIF(JournalsB!E$14:E$920,TrialBalanceB!M148,JournalsB!J$14:J$920)</f>
        <v>0</v>
      </c>
      <c r="H148" s="288"/>
      <c r="I148" s="290">
        <f t="shared" ref="I148:I150" si="27">ROUND(D148-E148+G148+F148,0)</f>
        <v>0</v>
      </c>
      <c r="J148" s="75"/>
      <c r="K148" s="48">
        <f t="shared" ref="K148:K150" si="28">ROUND(SUM(A148),0)</f>
        <v>0</v>
      </c>
      <c r="M148" s="140" t="str">
        <f t="shared" ref="M148:M150" si="29">CONCATENATE(B148,C148)</f>
        <v>4700/017</v>
      </c>
      <c r="N148" s="70"/>
      <c r="P148" s="71"/>
      <c r="Q148" s="51"/>
      <c r="R148" s="31"/>
    </row>
    <row r="149" spans="1:18" x14ac:dyDescent="0.2">
      <c r="A149" s="238"/>
      <c r="B149" s="90" t="s">
        <v>658</v>
      </c>
      <c r="C149" s="277"/>
      <c r="D149" s="272"/>
      <c r="E149" s="281"/>
      <c r="F149" s="79"/>
      <c r="G149" s="47">
        <f>SUMIF(JournalsB!D$14:D$920,TrialBalanceB!M149,JournalsB!J$14:J$920)+SUMIF(JournalsB!E$14:E$920,TrialBalanceB!M149,JournalsB!J$14:J$920)</f>
        <v>0</v>
      </c>
      <c r="H149" s="288"/>
      <c r="I149" s="290">
        <f t="shared" si="27"/>
        <v>0</v>
      </c>
      <c r="J149" s="75"/>
      <c r="K149" s="48">
        <f t="shared" si="28"/>
        <v>0</v>
      </c>
      <c r="M149" s="140" t="str">
        <f t="shared" si="29"/>
        <v>4700/018</v>
      </c>
      <c r="N149" s="70"/>
      <c r="P149" s="71"/>
      <c r="Q149" s="51"/>
      <c r="R149" s="31"/>
    </row>
    <row r="150" spans="1:18" x14ac:dyDescent="0.2">
      <c r="A150" s="238"/>
      <c r="B150" s="90" t="s">
        <v>659</v>
      </c>
      <c r="C150" s="277"/>
      <c r="D150" s="272"/>
      <c r="E150" s="281"/>
      <c r="F150" s="79"/>
      <c r="G150" s="47">
        <f>SUMIF(JournalsB!D$14:D$920,TrialBalanceB!M150,JournalsB!J$14:J$920)+SUMIF(JournalsB!E$14:E$920,TrialBalanceB!M150,JournalsB!J$14:J$920)</f>
        <v>0</v>
      </c>
      <c r="H150" s="288"/>
      <c r="I150" s="290">
        <f t="shared" si="27"/>
        <v>0</v>
      </c>
      <c r="J150" s="75"/>
      <c r="K150" s="48">
        <f t="shared" si="28"/>
        <v>0</v>
      </c>
      <c r="M150" s="140" t="str">
        <f t="shared" si="29"/>
        <v>4700/019</v>
      </c>
      <c r="N150" s="70"/>
      <c r="P150" s="71"/>
      <c r="Q150" s="51"/>
      <c r="R150" s="31"/>
    </row>
    <row r="151" spans="1:18" x14ac:dyDescent="0.2">
      <c r="A151" s="238"/>
      <c r="B151" s="90" t="s">
        <v>316</v>
      </c>
      <c r="C151" s="277"/>
      <c r="D151" s="272"/>
      <c r="E151" s="281"/>
      <c r="F151" s="79"/>
      <c r="G151" s="47">
        <f>SUMIF(JournalsB!D$14:D$920,TrialBalanceB!M151,JournalsB!J$14:J$920)+SUMIF(JournalsB!E$14:E$920,TrialBalanceB!M151,JournalsB!J$14:J$920)</f>
        <v>0</v>
      </c>
      <c r="H151" s="288"/>
      <c r="I151" s="290">
        <f t="shared" si="18"/>
        <v>0</v>
      </c>
      <c r="J151" s="75"/>
      <c r="K151" s="48">
        <f t="shared" si="22"/>
        <v>0</v>
      </c>
      <c r="M151" s="140" t="str">
        <f t="shared" si="23"/>
        <v>4700/020</v>
      </c>
      <c r="N151" s="70"/>
      <c r="P151" s="71"/>
      <c r="Q151" s="51"/>
      <c r="R151" s="31"/>
    </row>
    <row r="152" spans="1:18" x14ac:dyDescent="0.2">
      <c r="A152" s="238"/>
      <c r="B152" s="90" t="s">
        <v>660</v>
      </c>
      <c r="C152" s="240" t="str">
        <f>CONCATENATE("Interest on finance leases - ",Criteria!H15)</f>
        <v>Interest on finance leases - Subsidiary Two 15 (Pty) Ltd</v>
      </c>
      <c r="D152" s="282"/>
      <c r="E152" s="281"/>
      <c r="F152" s="79"/>
      <c r="G152" s="47">
        <f>SUMIF(JournalsB!D$14:D$920,TrialBalanceB!M152,JournalsB!J$14:J$920)+SUMIF(JournalsB!E$14:E$920,TrialBalanceB!M152,JournalsB!J$14:J$920)</f>
        <v>0</v>
      </c>
      <c r="H152" s="288"/>
      <c r="I152" s="290">
        <f t="shared" si="18"/>
        <v>0</v>
      </c>
      <c r="J152" s="75"/>
      <c r="K152" s="48">
        <f t="shared" si="22"/>
        <v>0</v>
      </c>
      <c r="M152" s="140" t="str">
        <f t="shared" si="23"/>
        <v>4700/021Interest on finance leases - Subsidiary Two 15 (Pty) Ltd</v>
      </c>
      <c r="N152" s="70"/>
      <c r="P152" s="71"/>
      <c r="Q152" s="51"/>
      <c r="R152" s="31"/>
    </row>
    <row r="153" spans="1:18" x14ac:dyDescent="0.2">
      <c r="A153" s="238"/>
      <c r="B153" s="54" t="s">
        <v>449</v>
      </c>
      <c r="C153" s="239" t="s">
        <v>351</v>
      </c>
      <c r="D153" s="283"/>
      <c r="E153" s="281"/>
      <c r="F153" s="79"/>
      <c r="G153" s="47">
        <f>SUMIF(JournalsB!D$14:D$920,TrialBalanceB!M153,JournalsB!J$14:J$920)+SUMIF(JournalsB!E$14:E$920,TrialBalanceB!M153,JournalsB!J$14:J$920)</f>
        <v>0</v>
      </c>
      <c r="H153" s="288"/>
      <c r="I153" s="290">
        <f t="shared" si="18"/>
        <v>0</v>
      </c>
      <c r="J153" s="75"/>
      <c r="K153" s="48">
        <f t="shared" si="22"/>
        <v>0</v>
      </c>
      <c r="M153" s="140" t="str">
        <f t="shared" si="23"/>
        <v>4750/000OTHER</v>
      </c>
      <c r="N153" s="70"/>
      <c r="P153" s="71"/>
      <c r="Q153" s="51"/>
      <c r="R153" s="31"/>
    </row>
    <row r="154" spans="1:18" x14ac:dyDescent="0.2">
      <c r="A154" s="238"/>
      <c r="B154" s="54" t="s">
        <v>450</v>
      </c>
      <c r="C154" s="241" t="s">
        <v>1062</v>
      </c>
      <c r="D154" s="272"/>
      <c r="E154" s="281"/>
      <c r="F154" s="79"/>
      <c r="G154" s="47">
        <f>SUMIF(JournalsB!D$14:D$920,TrialBalanceB!M154,JournalsB!J$14:J$920)+SUMIF(JournalsB!E$14:E$920,TrialBalanceB!M154,JournalsB!J$14:J$920)</f>
        <v>0</v>
      </c>
      <c r="H154" s="288"/>
      <c r="I154" s="290">
        <f t="shared" si="18"/>
        <v>0</v>
      </c>
      <c r="J154" s="75"/>
      <c r="K154" s="48">
        <f t="shared" si="22"/>
        <v>0</v>
      </c>
      <c r="M154" s="140" t="str">
        <f t="shared" si="23"/>
        <v>4750/010Impairment losses</v>
      </c>
      <c r="N154" s="70"/>
      <c r="P154" s="71"/>
      <c r="Q154" s="51"/>
      <c r="R154" s="31"/>
    </row>
    <row r="155" spans="1:18" x14ac:dyDescent="0.2">
      <c r="A155" s="238"/>
      <c r="B155" s="90" t="s">
        <v>1080</v>
      </c>
      <c r="C155" s="241" t="s">
        <v>1081</v>
      </c>
      <c r="D155" s="272"/>
      <c r="E155" s="281"/>
      <c r="F155" s="79"/>
      <c r="G155" s="47">
        <f>SUMIF(JournalsB!D$14:D$920,TrialBalanceB!M155,JournalsB!J$14:J$920)+SUMIF(JournalsB!E$14:E$920,TrialBalanceB!M155,JournalsB!J$14:J$920)</f>
        <v>0</v>
      </c>
      <c r="H155" s="288"/>
      <c r="I155" s="290">
        <f t="shared" ref="I155" si="30">ROUND(D155-E155+G155+F155,0)</f>
        <v>0</v>
      </c>
      <c r="J155" s="75"/>
      <c r="K155" s="48">
        <f t="shared" ref="K155" si="31">ROUND(SUM(A155),0)</f>
        <v>0</v>
      </c>
      <c r="M155" s="140" t="str">
        <f t="shared" ref="M155" si="32">CONCATENATE(B155,C155)</f>
        <v>4750/020Reversal - revaluation of investment property</v>
      </c>
      <c r="N155" s="70"/>
      <c r="P155" s="71"/>
      <c r="Q155" s="51"/>
      <c r="R155" s="31"/>
    </row>
    <row r="156" spans="1:18" x14ac:dyDescent="0.2">
      <c r="A156" s="238"/>
      <c r="B156" s="54" t="s">
        <v>317</v>
      </c>
      <c r="C156" s="239" t="s">
        <v>318</v>
      </c>
      <c r="D156" s="283"/>
      <c r="E156" s="281"/>
      <c r="F156" s="79"/>
      <c r="G156" s="47">
        <f>SUMIF(JournalsB!D$14:D$920,TrialBalanceB!M156,JournalsB!J$14:J$920)+SUMIF(JournalsB!E$14:E$920,TrialBalanceB!M156,JournalsB!J$14:J$920)</f>
        <v>0</v>
      </c>
      <c r="H156" s="288"/>
      <c r="I156" s="290">
        <f t="shared" si="18"/>
        <v>0</v>
      </c>
      <c r="J156" s="75"/>
      <c r="K156" s="48">
        <f t="shared" si="22"/>
        <v>0</v>
      </c>
      <c r="M156" s="140" t="str">
        <f t="shared" si="23"/>
        <v>4800/000NORMAL TAXATION</v>
      </c>
      <c r="N156" s="70"/>
      <c r="P156" s="71"/>
      <c r="Q156" s="51"/>
      <c r="R156" s="31"/>
    </row>
    <row r="157" spans="1:18" x14ac:dyDescent="0.2">
      <c r="A157" s="238"/>
      <c r="B157" s="54" t="s">
        <v>319</v>
      </c>
      <c r="C157" s="240" t="s">
        <v>320</v>
      </c>
      <c r="D157" s="282"/>
      <c r="E157" s="281"/>
      <c r="F157" s="79"/>
      <c r="G157" s="47">
        <f>SUMIF(JournalsB!D$14:D$920,TrialBalanceB!M157,JournalsB!J$14:J$920)+SUMIF(JournalsB!E$14:E$920,TrialBalanceB!M157,JournalsB!J$14:J$920)</f>
        <v>0</v>
      </c>
      <c r="H157" s="288"/>
      <c r="I157" s="290">
        <f t="shared" si="18"/>
        <v>0</v>
      </c>
      <c r="J157" s="75"/>
      <c r="K157" s="48">
        <f t="shared" si="22"/>
        <v>0</v>
      </c>
      <c r="M157" s="140" t="str">
        <f t="shared" si="23"/>
        <v>4800/001Tax provided this year</v>
      </c>
      <c r="N157" s="70"/>
      <c r="P157" s="71"/>
      <c r="Q157" s="51"/>
      <c r="R157" s="31"/>
    </row>
    <row r="158" spans="1:18" x14ac:dyDescent="0.2">
      <c r="A158" s="238"/>
      <c r="B158" s="54" t="s">
        <v>321</v>
      </c>
      <c r="C158" s="240" t="s">
        <v>322</v>
      </c>
      <c r="D158" s="282"/>
      <c r="E158" s="281"/>
      <c r="F158" s="79"/>
      <c r="G158" s="47">
        <f>SUMIF(JournalsB!D$14:D$920,TrialBalanceB!M158,JournalsB!J$14:J$920)+SUMIF(JournalsB!E$14:E$920,TrialBalanceB!M158,JournalsB!J$14:J$920)</f>
        <v>0</v>
      </c>
      <c r="H158" s="288"/>
      <c r="I158" s="290">
        <f t="shared" si="18"/>
        <v>0</v>
      </c>
      <c r="J158" s="75"/>
      <c r="K158" s="48">
        <f t="shared" si="22"/>
        <v>0</v>
      </c>
      <c r="M158" s="140" t="str">
        <f t="shared" si="23"/>
        <v>4800/002Tax adjustment previous year</v>
      </c>
      <c r="N158" s="70"/>
      <c r="P158" s="71"/>
      <c r="Q158" s="51"/>
      <c r="R158" s="31"/>
    </row>
    <row r="159" spans="1:18" x14ac:dyDescent="0.2">
      <c r="A159" s="238"/>
      <c r="B159" s="54" t="s">
        <v>193</v>
      </c>
      <c r="C159" s="239" t="s">
        <v>194</v>
      </c>
      <c r="D159" s="283"/>
      <c r="E159" s="281"/>
      <c r="F159" s="79"/>
      <c r="G159" s="47">
        <f>SUMIF(JournalsB!D$14:D$920,TrialBalanceB!M159,JournalsB!J$14:J$920)+SUMIF(JournalsB!E$14:E$920,TrialBalanceB!M159,JournalsB!J$14:J$920)</f>
        <v>0</v>
      </c>
      <c r="H159" s="288"/>
      <c r="I159" s="290">
        <f t="shared" si="18"/>
        <v>0</v>
      </c>
      <c r="J159" s="75"/>
      <c r="K159" s="48">
        <f t="shared" si="22"/>
        <v>0</v>
      </c>
      <c r="M159" s="140" t="str">
        <f t="shared" si="23"/>
        <v>4820/000DEFERRED TAX</v>
      </c>
      <c r="N159" s="70"/>
      <c r="P159" s="71"/>
      <c r="Q159" s="51"/>
      <c r="R159" s="31"/>
    </row>
    <row r="160" spans="1:18" x14ac:dyDescent="0.2">
      <c r="A160" s="238"/>
      <c r="B160" s="54" t="s">
        <v>195</v>
      </c>
      <c r="C160" s="240" t="s">
        <v>196</v>
      </c>
      <c r="D160" s="282"/>
      <c r="E160" s="281"/>
      <c r="F160" s="79"/>
      <c r="G160" s="47">
        <f>SUMIF(JournalsB!D$14:D$920,TrialBalanceB!M160,JournalsB!J$14:J$920)+SUMIF(JournalsB!E$14:E$920,TrialBalanceB!M160,JournalsB!J$14:J$920)</f>
        <v>0</v>
      </c>
      <c r="H160" s="288"/>
      <c r="I160" s="290">
        <f t="shared" si="18"/>
        <v>0</v>
      </c>
      <c r="J160" s="75"/>
      <c r="K160" s="48">
        <f t="shared" si="22"/>
        <v>0</v>
      </c>
      <c r="M160" s="140" t="str">
        <f t="shared" si="23"/>
        <v>4820/001Deferred tax this year</v>
      </c>
      <c r="N160" s="70"/>
      <c r="P160" s="71"/>
      <c r="Q160" s="51"/>
      <c r="R160" s="31"/>
    </row>
    <row r="161" spans="1:18" x14ac:dyDescent="0.2">
      <c r="A161" s="238"/>
      <c r="B161" s="90" t="s">
        <v>197</v>
      </c>
      <c r="C161" s="242" t="s">
        <v>1100</v>
      </c>
      <c r="D161" s="282"/>
      <c r="E161" s="281"/>
      <c r="F161" s="79"/>
      <c r="G161" s="47">
        <f>SUMIF(JournalsB!D$14:D$920,TrialBalanceB!M161,JournalsB!J$14:J$920)+SUMIF(JournalsB!E$14:E$920,TrialBalanceB!M161,JournalsB!J$14:J$920)</f>
        <v>0</v>
      </c>
      <c r="H161" s="288"/>
      <c r="I161" s="290">
        <f t="shared" ref="I161" si="33">ROUND(D161-E161+G161+F161,0)</f>
        <v>0</v>
      </c>
      <c r="J161" s="75"/>
      <c r="K161" s="48">
        <f t="shared" ref="K161" si="34">ROUND(SUM(A161),0)</f>
        <v>0</v>
      </c>
      <c r="M161" s="140" t="str">
        <f t="shared" ref="M161" si="35">CONCATENATE(B161,C161)</f>
        <v>4820/002Deferred tax adjustment on income tax rate change</v>
      </c>
      <c r="N161" s="70"/>
      <c r="P161" s="71"/>
      <c r="Q161" s="51"/>
      <c r="R161" s="31"/>
    </row>
    <row r="162" spans="1:18" x14ac:dyDescent="0.2">
      <c r="A162" s="238"/>
      <c r="B162" s="90" t="s">
        <v>1101</v>
      </c>
      <c r="C162" s="240" t="s">
        <v>198</v>
      </c>
      <c r="D162" s="282"/>
      <c r="E162" s="281"/>
      <c r="F162" s="79"/>
      <c r="G162" s="47">
        <f>SUMIF(JournalsB!D$14:D$920,TrialBalanceB!M162,JournalsB!J$14:J$920)+SUMIF(JournalsB!E$14:E$920,TrialBalanceB!M162,JournalsB!J$14:J$920)</f>
        <v>0</v>
      </c>
      <c r="H162" s="288"/>
      <c r="I162" s="290">
        <f t="shared" si="18"/>
        <v>0</v>
      </c>
      <c r="J162" s="75"/>
      <c r="K162" s="48">
        <f t="shared" si="22"/>
        <v>0</v>
      </c>
      <c r="M162" s="140" t="str">
        <f t="shared" si="23"/>
        <v>4820/003Deferred tax adjustment previous year</v>
      </c>
      <c r="N162" s="70"/>
      <c r="P162" s="71"/>
      <c r="Q162" s="51"/>
      <c r="R162" s="31"/>
    </row>
    <row r="163" spans="1:18" x14ac:dyDescent="0.2">
      <c r="A163" s="238"/>
      <c r="B163" s="54" t="s">
        <v>199</v>
      </c>
      <c r="C163" s="242" t="s">
        <v>487</v>
      </c>
      <c r="D163" s="282"/>
      <c r="E163" s="281"/>
      <c r="F163" s="79"/>
      <c r="G163" s="47">
        <f>SUMIF(JournalsB!D$14:D$920,TrialBalanceB!M163,JournalsB!J$14:J$920)+SUMIF(JournalsB!E$14:E$920,TrialBalanceB!M163,JournalsB!J$14:J$920)</f>
        <v>0</v>
      </c>
      <c r="H163" s="288"/>
      <c r="I163" s="290">
        <f t="shared" si="18"/>
        <v>0</v>
      </c>
      <c r="J163" s="75"/>
      <c r="K163" s="48">
        <f t="shared" si="22"/>
        <v>0</v>
      </c>
      <c r="M163" s="140" t="str">
        <f t="shared" si="23"/>
        <v>4850/000Dividends declared</v>
      </c>
      <c r="N163" s="70"/>
      <c r="P163" s="71"/>
      <c r="Q163" s="51"/>
      <c r="R163" s="31"/>
    </row>
    <row r="164" spans="1:18" x14ac:dyDescent="0.2">
      <c r="A164" s="238"/>
      <c r="B164" s="54" t="s">
        <v>200</v>
      </c>
      <c r="C164" s="240" t="s">
        <v>225</v>
      </c>
      <c r="D164" s="282"/>
      <c r="E164" s="281"/>
      <c r="F164" s="79"/>
      <c r="G164" s="47">
        <f>SUMIF(JournalsB!D$14:D$920,TrialBalanceB!M164,JournalsB!J$14:J$920)+SUMIF(JournalsB!E$14:E$920,TrialBalanceB!M164,JournalsB!J$14:J$920)</f>
        <v>0</v>
      </c>
      <c r="H164" s="288"/>
      <c r="I164" s="290">
        <f t="shared" si="18"/>
        <v>0</v>
      </c>
      <c r="J164" s="75"/>
      <c r="K164" s="48">
        <f t="shared" si="22"/>
        <v>0</v>
      </c>
      <c r="M164" s="140" t="str">
        <f t="shared" si="23"/>
        <v>4860/000Dividends paid</v>
      </c>
      <c r="N164" s="70"/>
      <c r="P164" s="71"/>
      <c r="Q164" s="51"/>
      <c r="R164" s="31"/>
    </row>
    <row r="165" spans="1:18" x14ac:dyDescent="0.2">
      <c r="A165" s="238"/>
      <c r="B165" s="54" t="s">
        <v>228</v>
      </c>
      <c r="C165" s="240"/>
      <c r="D165" s="282"/>
      <c r="E165" s="272"/>
      <c r="F165" s="79"/>
      <c r="G165" s="47"/>
      <c r="H165" s="288"/>
      <c r="I165" s="290">
        <f t="shared" si="18"/>
        <v>0</v>
      </c>
      <c r="J165" s="75"/>
      <c r="K165" s="48">
        <f t="shared" si="22"/>
        <v>0</v>
      </c>
      <c r="M165" s="140" t="str">
        <f t="shared" si="23"/>
        <v/>
      </c>
      <c r="N165" s="70"/>
      <c r="P165" s="71"/>
      <c r="Q165" s="51"/>
      <c r="R165" s="31"/>
    </row>
    <row r="166" spans="1:18" x14ac:dyDescent="0.2">
      <c r="A166" s="238"/>
      <c r="B166" s="54" t="s">
        <v>228</v>
      </c>
      <c r="C166" s="240" t="s">
        <v>228</v>
      </c>
      <c r="D166" s="282"/>
      <c r="E166" s="272"/>
      <c r="F166" s="79"/>
      <c r="G166" s="47"/>
      <c r="H166" s="288"/>
      <c r="I166" s="290">
        <f t="shared" si="18"/>
        <v>0</v>
      </c>
      <c r="J166" s="75"/>
      <c r="K166" s="48">
        <f t="shared" si="22"/>
        <v>0</v>
      </c>
      <c r="M166" s="140" t="str">
        <f t="shared" si="23"/>
        <v/>
      </c>
      <c r="N166" s="70"/>
      <c r="P166" s="71"/>
      <c r="Q166" s="51"/>
      <c r="R166" s="31"/>
    </row>
    <row r="167" spans="1:18" x14ac:dyDescent="0.2">
      <c r="A167" s="238"/>
      <c r="B167" s="54" t="s">
        <v>228</v>
      </c>
      <c r="C167" s="240"/>
      <c r="D167" s="282"/>
      <c r="E167" s="272"/>
      <c r="F167" s="79"/>
      <c r="G167" s="47"/>
      <c r="H167" s="288"/>
      <c r="I167" s="290">
        <f t="shared" si="18"/>
        <v>0</v>
      </c>
      <c r="J167" s="75"/>
      <c r="K167" s="48">
        <f t="shared" si="22"/>
        <v>0</v>
      </c>
      <c r="M167" s="140" t="str">
        <f t="shared" si="23"/>
        <v/>
      </c>
      <c r="N167" s="70"/>
      <c r="P167" s="71"/>
      <c r="Q167" s="51"/>
      <c r="R167" s="31"/>
    </row>
    <row r="168" spans="1:18" x14ac:dyDescent="0.2">
      <c r="A168" s="238"/>
      <c r="B168" s="54" t="s">
        <v>504</v>
      </c>
      <c r="C168" s="239" t="s">
        <v>493</v>
      </c>
      <c r="D168" s="283"/>
      <c r="E168" s="272"/>
      <c r="F168" s="79"/>
      <c r="G168" s="47">
        <f>SUMIF(JournalsB!D$14:D$920,TrialBalanceB!M168,JournalsB!J$14:J$920)+SUMIF(JournalsB!E$14:E$920,TrialBalanceB!M168,JournalsB!J$14:J$920)</f>
        <v>0</v>
      </c>
      <c r="H168" s="288"/>
      <c r="I168" s="290">
        <f t="shared" si="18"/>
        <v>0</v>
      </c>
      <c r="J168" s="75"/>
      <c r="K168" s="48">
        <f t="shared" si="22"/>
        <v>0</v>
      </c>
      <c r="M168" s="140" t="str">
        <f t="shared" si="23"/>
        <v>5100/000SHARE CAPITAL</v>
      </c>
      <c r="N168" s="70"/>
      <c r="P168" s="71"/>
      <c r="Q168" s="51"/>
      <c r="R168" s="31"/>
    </row>
    <row r="169" spans="1:18" x14ac:dyDescent="0.2">
      <c r="A169" s="238"/>
      <c r="B169" s="54" t="s">
        <v>505</v>
      </c>
      <c r="C169" s="242" t="s">
        <v>768</v>
      </c>
      <c r="D169" s="282"/>
      <c r="E169" s="272"/>
      <c r="F169" s="79">
        <f>SUM(K169:K170)</f>
        <v>0</v>
      </c>
      <c r="G169" s="47">
        <f>SUMIF(JournalsB!D$14:D$920,TrialBalanceB!M169,JournalsB!J$14:J$920)+SUMIF(JournalsB!E$14:E$920,TrialBalanceB!M169,JournalsB!J$14:J$920)</f>
        <v>0</v>
      </c>
      <c r="H169" s="288"/>
      <c r="I169" s="290">
        <f t="shared" si="18"/>
        <v>0</v>
      </c>
      <c r="J169" s="75"/>
      <c r="K169" s="48">
        <f t="shared" si="22"/>
        <v>0</v>
      </c>
      <c r="M169" s="140" t="str">
        <f t="shared" si="23"/>
        <v>5100/001Share capital - balance b/fwd</v>
      </c>
      <c r="N169" s="70"/>
      <c r="P169" s="71"/>
      <c r="Q169" s="51"/>
      <c r="R169" s="31"/>
    </row>
    <row r="170" spans="1:18" x14ac:dyDescent="0.2">
      <c r="A170" s="238"/>
      <c r="B170" s="54" t="s">
        <v>506</v>
      </c>
      <c r="C170" s="242" t="s">
        <v>769</v>
      </c>
      <c r="D170" s="282"/>
      <c r="E170" s="272"/>
      <c r="F170" s="79"/>
      <c r="G170" s="47">
        <f>SUMIF(JournalsB!D$14:D$920,TrialBalanceB!M170,JournalsB!J$14:J$920)+SUMIF(JournalsB!E$14:E$920,TrialBalanceB!M170,JournalsB!J$14:J$920)</f>
        <v>0</v>
      </c>
      <c r="H170" s="288"/>
      <c r="I170" s="290">
        <f t="shared" si="18"/>
        <v>0</v>
      </c>
      <c r="J170" s="75"/>
      <c r="K170" s="48">
        <f t="shared" si="22"/>
        <v>0</v>
      </c>
      <c r="M170" s="140" t="str">
        <f t="shared" si="23"/>
        <v>5100/002Share capital - additions</v>
      </c>
      <c r="N170" s="70"/>
      <c r="P170" s="71"/>
      <c r="Q170" s="51"/>
      <c r="R170" s="31"/>
    </row>
    <row r="171" spans="1:18" x14ac:dyDescent="0.2">
      <c r="A171" s="238"/>
      <c r="B171" s="86" t="s">
        <v>507</v>
      </c>
      <c r="C171" s="280" t="s">
        <v>498</v>
      </c>
      <c r="D171" s="289"/>
      <c r="E171" s="272"/>
      <c r="F171" s="79"/>
      <c r="G171" s="47">
        <f>SUMIF(JournalsB!D$14:D$920,TrialBalanceB!M171,JournalsB!J$14:J$920)+SUMIF(JournalsB!E$14:E$920,TrialBalanceB!M171,JournalsB!J$14:J$920)</f>
        <v>0</v>
      </c>
      <c r="H171" s="288"/>
      <c r="I171" s="290">
        <f t="shared" ref="I171:I252" si="36">ROUND(D171-E171+G171+F171,0)</f>
        <v>0</v>
      </c>
      <c r="J171" s="75"/>
      <c r="K171" s="48">
        <f t="shared" si="22"/>
        <v>0</v>
      </c>
      <c r="M171" s="140" t="str">
        <f t="shared" si="23"/>
        <v>5110/000SHARE PREMIUM</v>
      </c>
      <c r="N171" s="70"/>
      <c r="P171" s="71"/>
      <c r="Q171" s="51"/>
      <c r="R171" s="31"/>
    </row>
    <row r="172" spans="1:18" x14ac:dyDescent="0.2">
      <c r="A172" s="238"/>
      <c r="B172" s="86" t="s">
        <v>508</v>
      </c>
      <c r="C172" s="242" t="s">
        <v>770</v>
      </c>
      <c r="D172" s="286"/>
      <c r="E172" s="272"/>
      <c r="F172" s="79">
        <f>SUM(K172:K174)</f>
        <v>0</v>
      </c>
      <c r="G172" s="47">
        <f>SUMIF(JournalsB!D$14:D$920,TrialBalanceB!M172,JournalsB!J$14:J$920)+SUMIF(JournalsB!E$14:E$920,TrialBalanceB!M172,JournalsB!J$14:J$920)</f>
        <v>0</v>
      </c>
      <c r="H172" s="288"/>
      <c r="I172" s="290">
        <f t="shared" si="36"/>
        <v>0</v>
      </c>
      <c r="J172" s="75"/>
      <c r="K172" s="48">
        <f t="shared" si="22"/>
        <v>0</v>
      </c>
      <c r="M172" s="140" t="str">
        <f t="shared" si="23"/>
        <v>5110/001Share premium - balance b/fwd</v>
      </c>
      <c r="N172" s="70"/>
      <c r="P172" s="71"/>
      <c r="Q172" s="51"/>
      <c r="R172" s="31"/>
    </row>
    <row r="173" spans="1:18" x14ac:dyDescent="0.2">
      <c r="A173" s="238"/>
      <c r="B173" s="86" t="s">
        <v>509</v>
      </c>
      <c r="C173" s="242" t="s">
        <v>771</v>
      </c>
      <c r="D173" s="286"/>
      <c r="E173" s="272"/>
      <c r="F173" s="79"/>
      <c r="G173" s="47">
        <f>SUMIF(JournalsB!D$14:D$920,TrialBalanceB!M173,JournalsB!J$14:J$920)+SUMIF(JournalsB!E$14:E$920,TrialBalanceB!M173,JournalsB!J$14:J$920)</f>
        <v>0</v>
      </c>
      <c r="H173" s="288"/>
      <c r="I173" s="290">
        <f t="shared" si="36"/>
        <v>0</v>
      </c>
      <c r="J173" s="75"/>
      <c r="K173" s="48">
        <f t="shared" si="22"/>
        <v>0</v>
      </c>
      <c r="M173" s="140" t="str">
        <f t="shared" si="23"/>
        <v>5110/002Share premium - additions</v>
      </c>
      <c r="N173" s="70"/>
      <c r="P173" s="71"/>
      <c r="Q173" s="51"/>
      <c r="R173" s="31"/>
    </row>
    <row r="174" spans="1:18" x14ac:dyDescent="0.2">
      <c r="A174" s="238"/>
      <c r="B174" s="86" t="s">
        <v>510</v>
      </c>
      <c r="C174" s="248" t="s">
        <v>511</v>
      </c>
      <c r="D174" s="286"/>
      <c r="E174" s="272"/>
      <c r="F174" s="79"/>
      <c r="G174" s="47">
        <f>SUMIF(JournalsB!D$14:D$920,TrialBalanceB!M174,JournalsB!J$14:J$920)+SUMIF(JournalsB!E$14:E$920,TrialBalanceB!M174,JournalsB!J$14:J$920)</f>
        <v>0</v>
      </c>
      <c r="H174" s="288"/>
      <c r="I174" s="290">
        <f t="shared" si="36"/>
        <v>0</v>
      </c>
      <c r="J174" s="75"/>
      <c r="K174" s="48">
        <f t="shared" si="22"/>
        <v>0</v>
      </c>
      <c r="M174" s="140" t="str">
        <f t="shared" si="23"/>
        <v>5110/003Share premium - transfer</v>
      </c>
      <c r="N174" s="70"/>
      <c r="P174" s="71"/>
      <c r="Q174" s="51"/>
      <c r="R174" s="31"/>
    </row>
    <row r="175" spans="1:18" x14ac:dyDescent="0.2">
      <c r="A175" s="238"/>
      <c r="B175" s="54" t="s">
        <v>459</v>
      </c>
      <c r="C175" s="239" t="s">
        <v>923</v>
      </c>
      <c r="D175" s="283"/>
      <c r="E175" s="272"/>
      <c r="F175" s="79"/>
      <c r="G175" s="47">
        <f>SUMIF(JournalsB!D$14:D$920,TrialBalanceB!M175,JournalsB!J$14:J$920)+SUMIF(JournalsB!E$14:E$920,TrialBalanceB!M175,JournalsB!J$14:J$920)</f>
        <v>0</v>
      </c>
      <c r="H175" s="288"/>
      <c r="I175" s="290">
        <f t="shared" si="36"/>
        <v>0</v>
      </c>
      <c r="J175" s="75"/>
      <c r="K175" s="48">
        <f t="shared" si="22"/>
        <v>0</v>
      </c>
      <c r="M175" s="140" t="str">
        <f t="shared" si="23"/>
        <v>5120/000REVALUATION RESERVE</v>
      </c>
      <c r="N175" s="70"/>
      <c r="P175" s="71"/>
      <c r="Q175" s="51"/>
      <c r="R175" s="31"/>
    </row>
    <row r="176" spans="1:18" x14ac:dyDescent="0.2">
      <c r="A176" s="238"/>
      <c r="B176" s="54" t="s">
        <v>460</v>
      </c>
      <c r="C176" s="242" t="s">
        <v>924</v>
      </c>
      <c r="D176" s="282"/>
      <c r="E176" s="272"/>
      <c r="F176" s="79">
        <f>SUM(K176:K178)</f>
        <v>0</v>
      </c>
      <c r="G176" s="47">
        <f>SUMIF(JournalsB!D$14:D$920,TrialBalanceB!M176,JournalsB!J$14:J$920)+SUMIF(JournalsB!E$14:E$920,TrialBalanceB!M176,JournalsB!J$14:J$920)</f>
        <v>0</v>
      </c>
      <c r="H176" s="288"/>
      <c r="I176" s="290">
        <f t="shared" si="36"/>
        <v>0</v>
      </c>
      <c r="J176" s="75"/>
      <c r="K176" s="48">
        <f t="shared" si="22"/>
        <v>0</v>
      </c>
      <c r="M176" s="140" t="str">
        <f t="shared" si="23"/>
        <v>5120/001Revaluation reserve - balance b/fwd</v>
      </c>
      <c r="N176" s="70"/>
      <c r="P176" s="71"/>
      <c r="Q176" s="51"/>
      <c r="R176" s="31"/>
    </row>
    <row r="177" spans="1:18" x14ac:dyDescent="0.2">
      <c r="A177" s="238"/>
      <c r="B177" s="54" t="s">
        <v>461</v>
      </c>
      <c r="C177" s="242" t="s">
        <v>925</v>
      </c>
      <c r="D177" s="282"/>
      <c r="E177" s="272"/>
      <c r="F177" s="79"/>
      <c r="G177" s="47">
        <f>SUMIF(JournalsB!D$14:D$920,TrialBalanceB!M177,JournalsB!J$14:J$920)+SUMIF(JournalsB!E$14:E$920,TrialBalanceB!M177,JournalsB!J$14:J$920)</f>
        <v>0</v>
      </c>
      <c r="H177" s="288"/>
      <c r="I177" s="290">
        <f t="shared" si="36"/>
        <v>0</v>
      </c>
      <c r="J177" s="75"/>
      <c r="K177" s="48">
        <f t="shared" si="22"/>
        <v>0</v>
      </c>
      <c r="M177" s="140" t="str">
        <f t="shared" si="23"/>
        <v>5120/002Revaluation reserve - additions</v>
      </c>
      <c r="N177" s="70"/>
      <c r="P177" s="71"/>
      <c r="Q177" s="51"/>
      <c r="R177" s="31"/>
    </row>
    <row r="178" spans="1:18" x14ac:dyDescent="0.2">
      <c r="A178" s="238"/>
      <c r="B178" s="54" t="s">
        <v>462</v>
      </c>
      <c r="C178" s="242" t="s">
        <v>926</v>
      </c>
      <c r="D178" s="282"/>
      <c r="E178" s="272"/>
      <c r="F178" s="79"/>
      <c r="G178" s="47">
        <f>SUMIF(JournalsB!D$14:D$920,TrialBalanceB!M178,JournalsB!J$14:J$920)+SUMIF(JournalsB!E$14:E$920,TrialBalanceB!M178,JournalsB!J$14:J$920)</f>
        <v>0</v>
      </c>
      <c r="H178" s="288"/>
      <c r="I178" s="290">
        <f t="shared" si="36"/>
        <v>0</v>
      </c>
      <c r="J178" s="75"/>
      <c r="K178" s="48">
        <f t="shared" si="22"/>
        <v>0</v>
      </c>
      <c r="M178" s="140" t="str">
        <f t="shared" si="23"/>
        <v>5120/003Revaluation reserve - transfer</v>
      </c>
      <c r="N178" s="70"/>
      <c r="P178" s="71"/>
      <c r="Q178" s="51"/>
      <c r="R178" s="31"/>
    </row>
    <row r="179" spans="1:18" x14ac:dyDescent="0.2">
      <c r="A179" s="238"/>
      <c r="B179" s="54" t="s">
        <v>84</v>
      </c>
      <c r="C179" s="239" t="s">
        <v>248</v>
      </c>
      <c r="D179" s="283"/>
      <c r="E179" s="272"/>
      <c r="F179" s="79"/>
      <c r="G179" s="47">
        <f>SUMIF(JournalsB!D$14:D$920,TrialBalanceB!M179,JournalsB!J$14:J$920)+SUMIF(JournalsB!E$14:E$920,TrialBalanceB!M179,JournalsB!J$14:J$920)</f>
        <v>0</v>
      </c>
      <c r="H179" s="288"/>
      <c r="I179" s="290">
        <f t="shared" si="36"/>
        <v>0</v>
      </c>
      <c r="J179" s="75"/>
      <c r="K179" s="48">
        <f t="shared" si="22"/>
        <v>0</v>
      </c>
      <c r="M179" s="140" t="str">
        <f t="shared" si="23"/>
        <v>5130/000OTHER RESERVES</v>
      </c>
      <c r="N179" s="70"/>
      <c r="P179" s="71"/>
      <c r="Q179" s="51"/>
      <c r="R179" s="31"/>
    </row>
    <row r="180" spans="1:18" x14ac:dyDescent="0.2">
      <c r="A180" s="238"/>
      <c r="B180" s="54" t="s">
        <v>249</v>
      </c>
      <c r="C180" s="242" t="s">
        <v>772</v>
      </c>
      <c r="D180" s="282"/>
      <c r="E180" s="272"/>
      <c r="F180" s="79">
        <f>SUM(K180:K182)</f>
        <v>0</v>
      </c>
      <c r="G180" s="47">
        <f>SUMIF(JournalsB!D$14:D$920,TrialBalanceB!M180,JournalsB!J$14:J$920)+SUMIF(JournalsB!E$14:E$920,TrialBalanceB!M180,JournalsB!J$14:J$920)</f>
        <v>0</v>
      </c>
      <c r="H180" s="288"/>
      <c r="I180" s="290">
        <f t="shared" si="36"/>
        <v>0</v>
      </c>
      <c r="J180" s="75"/>
      <c r="K180" s="48">
        <f t="shared" si="22"/>
        <v>0</v>
      </c>
      <c r="M180" s="140" t="str">
        <f t="shared" si="23"/>
        <v>5130/001Other reserves - balance b/fwd</v>
      </c>
      <c r="N180" s="70"/>
      <c r="P180" s="71"/>
      <c r="Q180" s="51"/>
      <c r="R180" s="31"/>
    </row>
    <row r="181" spans="1:18" x14ac:dyDescent="0.2">
      <c r="A181" s="238"/>
      <c r="B181" s="54" t="s">
        <v>250</v>
      </c>
      <c r="C181" s="242" t="s">
        <v>773</v>
      </c>
      <c r="D181" s="282"/>
      <c r="E181" s="272"/>
      <c r="F181" s="79"/>
      <c r="G181" s="47">
        <f>SUMIF(JournalsB!D$14:D$920,TrialBalanceB!M181,JournalsB!J$14:J$920)+SUMIF(JournalsB!E$14:E$920,TrialBalanceB!M181,JournalsB!J$14:J$920)</f>
        <v>0</v>
      </c>
      <c r="H181" s="288"/>
      <c r="I181" s="290">
        <f t="shared" si="36"/>
        <v>0</v>
      </c>
      <c r="J181" s="75"/>
      <c r="K181" s="48">
        <f t="shared" si="22"/>
        <v>0</v>
      </c>
      <c r="M181" s="140" t="str">
        <f t="shared" si="23"/>
        <v>5130/002Other reserves - additions</v>
      </c>
      <c r="N181" s="70"/>
      <c r="P181" s="71"/>
      <c r="Q181" s="51"/>
      <c r="R181" s="31"/>
    </row>
    <row r="182" spans="1:18" x14ac:dyDescent="0.2">
      <c r="A182" s="238"/>
      <c r="B182" s="54" t="s">
        <v>331</v>
      </c>
      <c r="C182" s="240" t="s">
        <v>385</v>
      </c>
      <c r="D182" s="282"/>
      <c r="E182" s="272"/>
      <c r="F182" s="79"/>
      <c r="G182" s="47">
        <f>SUMIF(JournalsB!D$14:D$920,TrialBalanceB!M182,JournalsB!J$14:J$920)+SUMIF(JournalsB!E$14:E$920,TrialBalanceB!M182,JournalsB!J$14:J$920)</f>
        <v>0</v>
      </c>
      <c r="H182" s="288"/>
      <c r="I182" s="290">
        <f t="shared" si="36"/>
        <v>0</v>
      </c>
      <c r="J182" s="75"/>
      <c r="K182" s="48">
        <f t="shared" si="22"/>
        <v>0</v>
      </c>
      <c r="M182" s="140" t="str">
        <f t="shared" si="23"/>
        <v>5130/003Other reserves - transfer</v>
      </c>
      <c r="N182" s="70"/>
      <c r="P182" s="71"/>
      <c r="Q182" s="51"/>
      <c r="R182" s="31"/>
    </row>
    <row r="183" spans="1:18" x14ac:dyDescent="0.2">
      <c r="A183" s="238"/>
      <c r="B183" s="54" t="s">
        <v>386</v>
      </c>
      <c r="C183" s="239" t="s">
        <v>774</v>
      </c>
      <c r="D183" s="283"/>
      <c r="E183" s="272"/>
      <c r="F183" s="79">
        <f>K183+SUM(K5:K164)</f>
        <v>0</v>
      </c>
      <c r="G183" s="47">
        <f>SUMIF(JournalsB!D$14:D$920,TrialBalanceB!M183,JournalsB!J$14:J$920)+SUMIF(JournalsB!E$14:E$920,TrialBalanceB!M183,JournalsB!J$14:J$920)</f>
        <v>0</v>
      </c>
      <c r="H183" s="288"/>
      <c r="I183" s="290">
        <f t="shared" si="36"/>
        <v>0</v>
      </c>
      <c r="J183" s="75"/>
      <c r="K183" s="48">
        <f t="shared" si="22"/>
        <v>0</v>
      </c>
      <c r="M183" s="140" t="str">
        <f t="shared" si="23"/>
        <v>5200/000(Retained income) / Accumulated loss</v>
      </c>
      <c r="N183" s="70"/>
      <c r="P183" s="71"/>
      <c r="Q183" s="51"/>
      <c r="R183" s="31"/>
    </row>
    <row r="184" spans="1:18" x14ac:dyDescent="0.2">
      <c r="A184" s="238"/>
      <c r="B184" s="54" t="s">
        <v>129</v>
      </c>
      <c r="C184" s="239" t="s">
        <v>130</v>
      </c>
      <c r="D184" s="283"/>
      <c r="E184" s="272"/>
      <c r="F184" s="79"/>
      <c r="G184" s="47">
        <f>SUMIF(JournalsB!D$14:D$920,TrialBalanceB!M184,JournalsB!J$14:J$920)+SUMIF(JournalsB!E$14:E$920,TrialBalanceB!M184,JournalsB!J$14:J$920)</f>
        <v>0</v>
      </c>
      <c r="H184" s="288"/>
      <c r="I184" s="290">
        <f t="shared" si="36"/>
        <v>0</v>
      </c>
      <c r="J184" s="75"/>
      <c r="K184" s="48">
        <f t="shared" si="22"/>
        <v>0</v>
      </c>
      <c r="M184" s="140" t="str">
        <f t="shared" si="23"/>
        <v>5500/000LONG TERM  INTEREST LIABILITIES</v>
      </c>
      <c r="N184" s="70"/>
      <c r="P184" s="71"/>
      <c r="Q184" s="51"/>
      <c r="R184" s="31"/>
    </row>
    <row r="185" spans="1:18" x14ac:dyDescent="0.2">
      <c r="A185" s="238"/>
      <c r="B185" s="54" t="s">
        <v>131</v>
      </c>
      <c r="C185" s="276">
        <f>TrialBalance!C185</f>
        <v>0</v>
      </c>
      <c r="D185" s="281"/>
      <c r="E185" s="272"/>
      <c r="F185" s="79">
        <f>K185</f>
        <v>0</v>
      </c>
      <c r="G185" s="47">
        <f>SUMIF(JournalsB!D$14:D$920,TrialBalanceB!M185,JournalsB!J$14:J$920)+SUMIF(JournalsB!E$14:E$920,TrialBalanceB!M185,JournalsB!J$14:J$920)</f>
        <v>0</v>
      </c>
      <c r="H185" s="288"/>
      <c r="I185" s="290">
        <f t="shared" si="36"/>
        <v>0</v>
      </c>
      <c r="J185" s="75"/>
      <c r="K185" s="48">
        <f t="shared" si="22"/>
        <v>0</v>
      </c>
      <c r="M185" s="140" t="str">
        <f t="shared" si="23"/>
        <v>5500/0010</v>
      </c>
      <c r="N185" s="70"/>
      <c r="P185" s="71"/>
      <c r="Q185" s="51"/>
      <c r="R185" s="31"/>
    </row>
    <row r="186" spans="1:18" x14ac:dyDescent="0.2">
      <c r="A186" s="238"/>
      <c r="B186" s="54" t="s">
        <v>132</v>
      </c>
      <c r="C186" s="276">
        <f>TrialBalance!C186</f>
        <v>0</v>
      </c>
      <c r="D186" s="281"/>
      <c r="E186" s="272"/>
      <c r="F186" s="79">
        <f>K186</f>
        <v>0</v>
      </c>
      <c r="G186" s="47">
        <f>SUMIF(JournalsB!D$14:D$920,TrialBalanceB!M186,JournalsB!J$14:J$920)+SUMIF(JournalsB!E$14:E$920,TrialBalanceB!M186,JournalsB!J$14:J$920)</f>
        <v>0</v>
      </c>
      <c r="H186" s="288"/>
      <c r="I186" s="290">
        <f t="shared" si="36"/>
        <v>0</v>
      </c>
      <c r="J186" s="75"/>
      <c r="K186" s="48">
        <f t="shared" si="22"/>
        <v>0</v>
      </c>
      <c r="M186" s="140" t="str">
        <f t="shared" si="23"/>
        <v>5500/0020</v>
      </c>
      <c r="N186" s="70"/>
      <c r="P186" s="71"/>
      <c r="Q186" s="51"/>
      <c r="R186" s="31"/>
    </row>
    <row r="187" spans="1:18" x14ac:dyDescent="0.2">
      <c r="A187" s="238"/>
      <c r="B187" s="54" t="s">
        <v>133</v>
      </c>
      <c r="C187" s="276">
        <f>TrialBalance!C187</f>
        <v>0</v>
      </c>
      <c r="D187" s="284"/>
      <c r="E187" s="272"/>
      <c r="F187" s="79">
        <f>K187</f>
        <v>0</v>
      </c>
      <c r="G187" s="47">
        <f>SUMIF(JournalsB!D$14:D$920,TrialBalanceB!M187,JournalsB!J$14:J$920)+SUMIF(JournalsB!E$14:E$920,TrialBalanceB!M187,JournalsB!J$14:J$920)</f>
        <v>0</v>
      </c>
      <c r="H187" s="288"/>
      <c r="I187" s="290">
        <f t="shared" si="36"/>
        <v>0</v>
      </c>
      <c r="J187" s="75"/>
      <c r="K187" s="48">
        <f t="shared" si="22"/>
        <v>0</v>
      </c>
      <c r="M187" s="140" t="str">
        <f t="shared" si="23"/>
        <v>5500/0030</v>
      </c>
      <c r="N187" s="70"/>
      <c r="P187" s="71"/>
      <c r="Q187" s="51"/>
      <c r="R187" s="31"/>
    </row>
    <row r="188" spans="1:18" x14ac:dyDescent="0.2">
      <c r="A188" s="238"/>
      <c r="B188" s="54" t="s">
        <v>134</v>
      </c>
      <c r="C188" s="276">
        <f>TrialBalance!C188</f>
        <v>0</v>
      </c>
      <c r="D188" s="282"/>
      <c r="E188" s="272"/>
      <c r="F188" s="79">
        <f>K188</f>
        <v>0</v>
      </c>
      <c r="G188" s="47">
        <f>SUMIF(JournalsB!D$14:D$920,TrialBalanceB!M188,JournalsB!J$14:J$920)+SUMIF(JournalsB!E$14:E$920,TrialBalanceB!M188,JournalsB!J$14:J$920)</f>
        <v>0</v>
      </c>
      <c r="H188" s="288"/>
      <c r="I188" s="290">
        <f t="shared" si="36"/>
        <v>0</v>
      </c>
      <c r="J188" s="75"/>
      <c r="K188" s="48">
        <f t="shared" si="22"/>
        <v>0</v>
      </c>
      <c r="M188" s="140" t="str">
        <f t="shared" si="23"/>
        <v>5500/0040</v>
      </c>
      <c r="N188" s="70"/>
      <c r="P188" s="71"/>
      <c r="Q188" s="51"/>
      <c r="R188" s="31"/>
    </row>
    <row r="189" spans="1:18" x14ac:dyDescent="0.2">
      <c r="A189" s="238"/>
      <c r="B189" s="54" t="s">
        <v>135</v>
      </c>
      <c r="C189" s="276">
        <f>TrialBalance!C189</f>
        <v>0</v>
      </c>
      <c r="D189" s="282"/>
      <c r="E189" s="272"/>
      <c r="F189" s="79">
        <f>K189</f>
        <v>0</v>
      </c>
      <c r="G189" s="47">
        <f>SUMIF(JournalsB!D$14:D$920,TrialBalanceB!M189,JournalsB!J$14:J$920)+SUMIF(JournalsB!E$14:E$920,TrialBalanceB!M189,JournalsB!J$14:J$920)</f>
        <v>0</v>
      </c>
      <c r="H189" s="288"/>
      <c r="I189" s="290">
        <f t="shared" si="36"/>
        <v>0</v>
      </c>
      <c r="J189" s="75"/>
      <c r="K189" s="48">
        <f t="shared" si="22"/>
        <v>0</v>
      </c>
      <c r="M189" s="140" t="str">
        <f t="shared" si="23"/>
        <v>5500/0050</v>
      </c>
      <c r="N189" s="70"/>
      <c r="P189" s="71"/>
      <c r="Q189" s="51"/>
      <c r="R189" s="31"/>
    </row>
    <row r="190" spans="1:18" x14ac:dyDescent="0.2">
      <c r="A190" s="238"/>
      <c r="B190" s="90" t="s">
        <v>604</v>
      </c>
      <c r="C190" s="276">
        <f>TrialBalance!C190</f>
        <v>0</v>
      </c>
      <c r="D190" s="282"/>
      <c r="E190" s="272"/>
      <c r="F190" s="79">
        <f t="shared" ref="F190:F215" si="37">K190</f>
        <v>0</v>
      </c>
      <c r="G190" s="47">
        <f>SUMIF(JournalsB!D$14:D$920,TrialBalanceB!M190,JournalsB!J$14:J$920)+SUMIF(JournalsB!E$14:E$920,TrialBalanceB!M190,JournalsB!J$14:J$920)</f>
        <v>0</v>
      </c>
      <c r="H190" s="288"/>
      <c r="I190" s="290">
        <f t="shared" si="36"/>
        <v>0</v>
      </c>
      <c r="J190" s="75"/>
      <c r="K190" s="48">
        <f t="shared" si="22"/>
        <v>0</v>
      </c>
      <c r="M190" s="140" t="str">
        <f t="shared" si="23"/>
        <v>5500/0060</v>
      </c>
      <c r="N190" s="70"/>
      <c r="P190" s="71"/>
      <c r="Q190" s="51"/>
      <c r="R190" s="31"/>
    </row>
    <row r="191" spans="1:18" x14ac:dyDescent="0.2">
      <c r="A191" s="238"/>
      <c r="B191" s="90" t="s">
        <v>605</v>
      </c>
      <c r="C191" s="276">
        <f>TrialBalance!C191</f>
        <v>0</v>
      </c>
      <c r="D191" s="282"/>
      <c r="E191" s="272"/>
      <c r="F191" s="79">
        <f t="shared" si="37"/>
        <v>0</v>
      </c>
      <c r="G191" s="47">
        <f>SUMIF(JournalsB!D$14:D$920,TrialBalanceB!M191,JournalsB!J$14:J$920)+SUMIF(JournalsB!E$14:E$920,TrialBalanceB!M191,JournalsB!J$14:J$920)</f>
        <v>0</v>
      </c>
      <c r="H191" s="288"/>
      <c r="I191" s="290">
        <f t="shared" si="36"/>
        <v>0</v>
      </c>
      <c r="J191" s="75"/>
      <c r="K191" s="48">
        <f t="shared" si="22"/>
        <v>0</v>
      </c>
      <c r="M191" s="140" t="str">
        <f t="shared" si="23"/>
        <v>5500/0070</v>
      </c>
      <c r="N191" s="70"/>
      <c r="P191" s="71"/>
      <c r="Q191" s="51"/>
      <c r="R191" s="31"/>
    </row>
    <row r="192" spans="1:18" x14ac:dyDescent="0.2">
      <c r="A192" s="238"/>
      <c r="B192" s="90" t="s">
        <v>606</v>
      </c>
      <c r="C192" s="276">
        <f>TrialBalance!C192</f>
        <v>0</v>
      </c>
      <c r="D192" s="282"/>
      <c r="E192" s="272"/>
      <c r="F192" s="79">
        <f t="shared" si="37"/>
        <v>0</v>
      </c>
      <c r="G192" s="47">
        <f>SUMIF(JournalsB!D$14:D$920,TrialBalanceB!M192,JournalsB!J$14:J$920)+SUMIF(JournalsB!E$14:E$920,TrialBalanceB!M192,JournalsB!J$14:J$920)</f>
        <v>0</v>
      </c>
      <c r="H192" s="288"/>
      <c r="I192" s="290">
        <f t="shared" si="36"/>
        <v>0</v>
      </c>
      <c r="J192" s="75"/>
      <c r="K192" s="48">
        <f t="shared" si="22"/>
        <v>0</v>
      </c>
      <c r="M192" s="140" t="str">
        <f t="shared" si="23"/>
        <v>5500/0080</v>
      </c>
      <c r="N192" s="70"/>
      <c r="P192" s="71"/>
      <c r="Q192" s="51"/>
      <c r="R192" s="31"/>
    </row>
    <row r="193" spans="1:18" x14ac:dyDescent="0.2">
      <c r="A193" s="238"/>
      <c r="B193" s="90" t="s">
        <v>607</v>
      </c>
      <c r="C193" s="276">
        <f>TrialBalance!C193</f>
        <v>0</v>
      </c>
      <c r="D193" s="282"/>
      <c r="E193" s="272"/>
      <c r="F193" s="79">
        <f t="shared" si="37"/>
        <v>0</v>
      </c>
      <c r="G193" s="47">
        <f>SUMIF(JournalsB!D$14:D$920,TrialBalanceB!M193,JournalsB!J$14:J$920)+SUMIF(JournalsB!E$14:E$920,TrialBalanceB!M193,JournalsB!J$14:J$920)</f>
        <v>0</v>
      </c>
      <c r="H193" s="288"/>
      <c r="I193" s="290">
        <f t="shared" si="36"/>
        <v>0</v>
      </c>
      <c r="J193" s="75"/>
      <c r="K193" s="48">
        <f t="shared" si="22"/>
        <v>0</v>
      </c>
      <c r="M193" s="140" t="str">
        <f t="shared" si="23"/>
        <v>5500/0090</v>
      </c>
      <c r="N193" s="70"/>
      <c r="P193" s="71"/>
      <c r="Q193" s="51"/>
      <c r="R193" s="31"/>
    </row>
    <row r="194" spans="1:18" x14ac:dyDescent="0.2">
      <c r="A194" s="238"/>
      <c r="B194" s="90" t="s">
        <v>608</v>
      </c>
      <c r="C194" s="276">
        <f>TrialBalance!C194</f>
        <v>0</v>
      </c>
      <c r="D194" s="282"/>
      <c r="E194" s="272"/>
      <c r="F194" s="79">
        <f t="shared" si="37"/>
        <v>0</v>
      </c>
      <c r="G194" s="47">
        <f>SUMIF(JournalsB!D$14:D$920,TrialBalanceB!M194,JournalsB!J$14:J$920)+SUMIF(JournalsB!E$14:E$920,TrialBalanceB!M194,JournalsB!J$14:J$920)</f>
        <v>0</v>
      </c>
      <c r="H194" s="288"/>
      <c r="I194" s="290">
        <f t="shared" si="36"/>
        <v>0</v>
      </c>
      <c r="J194" s="75"/>
      <c r="K194" s="48">
        <f t="shared" si="22"/>
        <v>0</v>
      </c>
      <c r="M194" s="140" t="str">
        <f t="shared" si="23"/>
        <v>5500/0100</v>
      </c>
      <c r="N194" s="70"/>
      <c r="P194" s="71"/>
      <c r="Q194" s="51"/>
      <c r="R194" s="31"/>
    </row>
    <row r="195" spans="1:18" x14ac:dyDescent="0.2">
      <c r="A195" s="238"/>
      <c r="B195" s="90" t="s">
        <v>609</v>
      </c>
      <c r="C195" s="276">
        <f>TrialBalance!C195</f>
        <v>0</v>
      </c>
      <c r="D195" s="282"/>
      <c r="E195" s="272"/>
      <c r="F195" s="79">
        <f t="shared" si="37"/>
        <v>0</v>
      </c>
      <c r="G195" s="47">
        <f>SUMIF(JournalsB!D$14:D$920,TrialBalanceB!M195,JournalsB!J$14:J$920)+SUMIF(JournalsB!E$14:E$920,TrialBalanceB!M195,JournalsB!J$14:J$920)</f>
        <v>0</v>
      </c>
      <c r="H195" s="288"/>
      <c r="I195" s="290">
        <f t="shared" si="36"/>
        <v>0</v>
      </c>
      <c r="J195" s="75"/>
      <c r="K195" s="48">
        <f t="shared" si="22"/>
        <v>0</v>
      </c>
      <c r="M195" s="140" t="str">
        <f t="shared" si="23"/>
        <v>5500/0110</v>
      </c>
      <c r="N195" s="70"/>
      <c r="P195" s="71"/>
      <c r="Q195" s="51"/>
      <c r="R195" s="31"/>
    </row>
    <row r="196" spans="1:18" x14ac:dyDescent="0.2">
      <c r="A196" s="238"/>
      <c r="B196" s="90" t="s">
        <v>610</v>
      </c>
      <c r="C196" s="276">
        <f>TrialBalance!C196</f>
        <v>0</v>
      </c>
      <c r="D196" s="282"/>
      <c r="E196" s="272"/>
      <c r="F196" s="79">
        <f t="shared" si="37"/>
        <v>0</v>
      </c>
      <c r="G196" s="47">
        <f>SUMIF(JournalsB!D$14:D$920,TrialBalanceB!M196,JournalsB!J$14:J$920)+SUMIF(JournalsB!E$14:E$920,TrialBalanceB!M196,JournalsB!J$14:J$920)</f>
        <v>0</v>
      </c>
      <c r="H196" s="288"/>
      <c r="I196" s="290">
        <f t="shared" si="36"/>
        <v>0</v>
      </c>
      <c r="J196" s="75"/>
      <c r="K196" s="48">
        <f t="shared" si="22"/>
        <v>0</v>
      </c>
      <c r="M196" s="140" t="str">
        <f t="shared" si="23"/>
        <v>5500/0120</v>
      </c>
      <c r="N196" s="70"/>
      <c r="P196" s="71"/>
      <c r="Q196" s="51"/>
      <c r="R196" s="31"/>
    </row>
    <row r="197" spans="1:18" x14ac:dyDescent="0.2">
      <c r="A197" s="238"/>
      <c r="B197" s="90" t="s">
        <v>611</v>
      </c>
      <c r="C197" s="276">
        <f>TrialBalance!C197</f>
        <v>0</v>
      </c>
      <c r="D197" s="282"/>
      <c r="E197" s="272"/>
      <c r="F197" s="79">
        <f t="shared" ref="F197:F198" si="38">K197</f>
        <v>0</v>
      </c>
      <c r="G197" s="47">
        <f>SUMIF(JournalsB!D$14:D$920,TrialBalanceB!M197,JournalsB!J$14:J$920)+SUMIF(JournalsB!E$14:E$920,TrialBalanceB!M197,JournalsB!J$14:J$920)</f>
        <v>0</v>
      </c>
      <c r="H197" s="288"/>
      <c r="I197" s="290">
        <f t="shared" ref="I197:I198" si="39">ROUND(D197-E197+G197+F197,0)</f>
        <v>0</v>
      </c>
      <c r="J197" s="75"/>
      <c r="K197" s="48">
        <f t="shared" ref="K197:K198" si="40">ROUND(SUM(A197),0)</f>
        <v>0</v>
      </c>
      <c r="M197" s="140" t="str">
        <f t="shared" ref="M197:M198" si="41">CONCATENATE(B197,C197)</f>
        <v>5500/0130</v>
      </c>
      <c r="N197" s="70"/>
      <c r="P197" s="71"/>
      <c r="Q197" s="51"/>
      <c r="R197" s="31"/>
    </row>
    <row r="198" spans="1:18" x14ac:dyDescent="0.2">
      <c r="A198" s="238"/>
      <c r="B198" s="90" t="s">
        <v>661</v>
      </c>
      <c r="C198" s="276">
        <f>TrialBalance!C198</f>
        <v>0</v>
      </c>
      <c r="D198" s="282"/>
      <c r="E198" s="272"/>
      <c r="F198" s="79">
        <f t="shared" si="38"/>
        <v>0</v>
      </c>
      <c r="G198" s="47">
        <f>SUMIF(JournalsB!D$14:D$920,TrialBalanceB!M198,JournalsB!J$14:J$920)+SUMIF(JournalsB!E$14:E$920,TrialBalanceB!M198,JournalsB!J$14:J$920)</f>
        <v>0</v>
      </c>
      <c r="H198" s="288"/>
      <c r="I198" s="290">
        <f t="shared" si="39"/>
        <v>0</v>
      </c>
      <c r="J198" s="75"/>
      <c r="K198" s="48">
        <f t="shared" si="40"/>
        <v>0</v>
      </c>
      <c r="M198" s="140" t="str">
        <f t="shared" si="41"/>
        <v>5500/0140</v>
      </c>
      <c r="N198" s="70"/>
      <c r="P198" s="71"/>
      <c r="Q198" s="51"/>
      <c r="R198" s="31"/>
    </row>
    <row r="199" spans="1:18" x14ac:dyDescent="0.2">
      <c r="A199" s="238"/>
      <c r="B199" s="90" t="s">
        <v>662</v>
      </c>
      <c r="C199" s="276">
        <f>TrialBalance!C199</f>
        <v>0</v>
      </c>
      <c r="D199" s="282"/>
      <c r="E199" s="272"/>
      <c r="F199" s="79">
        <f t="shared" si="37"/>
        <v>0</v>
      </c>
      <c r="G199" s="47">
        <f>SUMIF(JournalsB!D$14:D$920,TrialBalanceB!M199,JournalsB!J$14:J$920)+SUMIF(JournalsB!E$14:E$920,TrialBalanceB!M199,JournalsB!J$14:J$920)</f>
        <v>0</v>
      </c>
      <c r="H199" s="288"/>
      <c r="I199" s="290">
        <f t="shared" si="36"/>
        <v>0</v>
      </c>
      <c r="J199" s="75"/>
      <c r="K199" s="48">
        <f t="shared" si="22"/>
        <v>0</v>
      </c>
      <c r="M199" s="140" t="str">
        <f t="shared" si="23"/>
        <v>5500/0150</v>
      </c>
      <c r="N199" s="70"/>
      <c r="P199" s="71"/>
      <c r="Q199" s="51"/>
      <c r="R199" s="31"/>
    </row>
    <row r="200" spans="1:18" x14ac:dyDescent="0.2">
      <c r="A200" s="238"/>
      <c r="B200" s="54" t="s">
        <v>136</v>
      </c>
      <c r="C200" s="240" t="s">
        <v>255</v>
      </c>
      <c r="D200" s="282"/>
      <c r="E200" s="272"/>
      <c r="F200" s="79">
        <f t="shared" si="37"/>
        <v>0</v>
      </c>
      <c r="G200" s="47">
        <f>SUMIF(JournalsB!D$14:D$920,TrialBalanceB!M200,JournalsB!J$14:J$920)+SUMIF(JournalsB!E$14:E$920,TrialBalanceB!M200,JournalsB!J$14:J$920)</f>
        <v>0</v>
      </c>
      <c r="H200" s="288"/>
      <c r="I200" s="290">
        <f t="shared" si="36"/>
        <v>0</v>
      </c>
      <c r="J200" s="75"/>
      <c r="K200" s="48">
        <f t="shared" si="22"/>
        <v>0</v>
      </c>
      <c r="M200" s="140" t="str">
        <f t="shared" si="23"/>
        <v>5520/000Short term portion of long term loans</v>
      </c>
      <c r="N200" s="70"/>
      <c r="P200" s="71"/>
      <c r="Q200" s="51"/>
      <c r="R200" s="31"/>
    </row>
    <row r="201" spans="1:18" x14ac:dyDescent="0.2">
      <c r="A201" s="238"/>
      <c r="B201" s="54" t="s">
        <v>138</v>
      </c>
      <c r="C201" s="239" t="s">
        <v>139</v>
      </c>
      <c r="D201" s="283"/>
      <c r="E201" s="272"/>
      <c r="F201" s="79">
        <f t="shared" si="37"/>
        <v>0</v>
      </c>
      <c r="G201" s="47">
        <f>SUMIF(JournalsB!D$14:D$920,TrialBalanceB!M201,JournalsB!J$14:J$920)+SUMIF(JournalsB!E$14:E$920,TrialBalanceB!M201,JournalsB!J$14:J$920)</f>
        <v>0</v>
      </c>
      <c r="H201" s="288"/>
      <c r="I201" s="290">
        <f t="shared" si="36"/>
        <v>0</v>
      </c>
      <c r="J201" s="75"/>
      <c r="K201" s="48">
        <f t="shared" si="22"/>
        <v>0</v>
      </c>
      <c r="M201" s="140" t="str">
        <f t="shared" si="23"/>
        <v>5550/000LONG TERM INTEREST FREE LOANS</v>
      </c>
      <c r="N201" s="70"/>
      <c r="P201" s="71"/>
      <c r="Q201" s="51"/>
      <c r="R201" s="31"/>
    </row>
    <row r="202" spans="1:18" x14ac:dyDescent="0.2">
      <c r="A202" s="238"/>
      <c r="B202" s="54" t="s">
        <v>140</v>
      </c>
      <c r="C202" s="276">
        <f>TrialBalance!C202</f>
        <v>0</v>
      </c>
      <c r="D202" s="272"/>
      <c r="E202" s="272"/>
      <c r="F202" s="79">
        <f t="shared" si="37"/>
        <v>0</v>
      </c>
      <c r="G202" s="47">
        <f>SUMIF(JournalsB!D$14:D$920,TrialBalanceB!M202,JournalsB!J$14:J$920)+SUMIF(JournalsB!E$14:E$920,TrialBalanceB!M202,JournalsB!J$14:J$920)</f>
        <v>0</v>
      </c>
      <c r="H202" s="288"/>
      <c r="I202" s="290">
        <f t="shared" si="36"/>
        <v>0</v>
      </c>
      <c r="J202" s="91"/>
      <c r="K202" s="48">
        <f t="shared" si="22"/>
        <v>0</v>
      </c>
      <c r="M202" s="140" t="str">
        <f t="shared" si="23"/>
        <v>5550/0010</v>
      </c>
      <c r="N202" s="70"/>
      <c r="P202" s="71"/>
      <c r="Q202" s="51"/>
      <c r="R202" s="31"/>
    </row>
    <row r="203" spans="1:18" x14ac:dyDescent="0.2">
      <c r="A203" s="238"/>
      <c r="B203" s="54" t="s">
        <v>141</v>
      </c>
      <c r="C203" s="276">
        <f>TrialBalance!C203</f>
        <v>0</v>
      </c>
      <c r="D203" s="284"/>
      <c r="E203" s="272"/>
      <c r="F203" s="79">
        <f t="shared" si="37"/>
        <v>0</v>
      </c>
      <c r="G203" s="47">
        <f>SUMIF(JournalsB!D$14:D$920,TrialBalanceB!M203,JournalsB!J$14:J$920)+SUMIF(JournalsB!E$14:E$920,TrialBalanceB!M203,JournalsB!J$14:J$920)</f>
        <v>0</v>
      </c>
      <c r="H203" s="288"/>
      <c r="I203" s="290">
        <f t="shared" si="36"/>
        <v>0</v>
      </c>
      <c r="J203" s="75"/>
      <c r="K203" s="48">
        <f t="shared" si="22"/>
        <v>0</v>
      </c>
      <c r="M203" s="140" t="str">
        <f t="shared" si="23"/>
        <v>5550/0020</v>
      </c>
      <c r="N203" s="70"/>
      <c r="P203" s="71"/>
      <c r="Q203" s="51"/>
      <c r="R203" s="31"/>
    </row>
    <row r="204" spans="1:18" x14ac:dyDescent="0.2">
      <c r="A204" s="238"/>
      <c r="B204" s="54" t="s">
        <v>142</v>
      </c>
      <c r="C204" s="276">
        <f>TrialBalance!C204</f>
        <v>0</v>
      </c>
      <c r="D204" s="284"/>
      <c r="E204" s="272"/>
      <c r="F204" s="79">
        <f t="shared" si="37"/>
        <v>0</v>
      </c>
      <c r="G204" s="47">
        <f>SUMIF(JournalsB!D$14:D$920,TrialBalanceB!M204,JournalsB!J$14:J$920)+SUMIF(JournalsB!E$14:E$920,TrialBalanceB!M204,JournalsB!J$14:J$920)</f>
        <v>0</v>
      </c>
      <c r="H204" s="288"/>
      <c r="I204" s="290">
        <f t="shared" si="36"/>
        <v>0</v>
      </c>
      <c r="J204" s="91"/>
      <c r="K204" s="48">
        <f t="shared" si="22"/>
        <v>0</v>
      </c>
      <c r="M204" s="140" t="str">
        <f t="shared" si="23"/>
        <v>5550/0030</v>
      </c>
      <c r="N204" s="70"/>
      <c r="P204" s="71"/>
      <c r="Q204" s="51"/>
      <c r="R204" s="31"/>
    </row>
    <row r="205" spans="1:18" x14ac:dyDescent="0.2">
      <c r="A205" s="238"/>
      <c r="B205" s="54" t="s">
        <v>143</v>
      </c>
      <c r="C205" s="276">
        <f>TrialBalance!C205</f>
        <v>0</v>
      </c>
      <c r="D205" s="284"/>
      <c r="E205" s="272"/>
      <c r="F205" s="79">
        <f t="shared" si="37"/>
        <v>0</v>
      </c>
      <c r="G205" s="47">
        <f>SUMIF(JournalsB!D$14:D$920,TrialBalanceB!M205,JournalsB!J$14:J$920)+SUMIF(JournalsB!E$14:E$920,TrialBalanceB!M205,JournalsB!J$14:J$920)</f>
        <v>0</v>
      </c>
      <c r="H205" s="288"/>
      <c r="I205" s="290">
        <f t="shared" si="36"/>
        <v>0</v>
      </c>
      <c r="J205" s="91"/>
      <c r="K205" s="48">
        <f t="shared" si="22"/>
        <v>0</v>
      </c>
      <c r="M205" s="140" t="str">
        <f t="shared" si="23"/>
        <v>5550/0040</v>
      </c>
      <c r="N205" s="70"/>
      <c r="P205" s="71"/>
      <c r="Q205" s="51"/>
      <c r="R205" s="31"/>
    </row>
    <row r="206" spans="1:18" x14ac:dyDescent="0.2">
      <c r="A206" s="238"/>
      <c r="B206" s="54" t="s">
        <v>144</v>
      </c>
      <c r="C206" s="276">
        <f>TrialBalance!C206</f>
        <v>0</v>
      </c>
      <c r="D206" s="281"/>
      <c r="E206" s="272"/>
      <c r="F206" s="79">
        <f t="shared" si="37"/>
        <v>0</v>
      </c>
      <c r="G206" s="47">
        <f>SUMIF(JournalsB!D$14:D$920,TrialBalanceB!M206,JournalsB!J$14:J$920)+SUMIF(JournalsB!E$14:E$920,TrialBalanceB!M206,JournalsB!J$14:J$920)</f>
        <v>0</v>
      </c>
      <c r="H206" s="288"/>
      <c r="I206" s="290">
        <f t="shared" si="36"/>
        <v>0</v>
      </c>
      <c r="J206" s="75"/>
      <c r="K206" s="48">
        <f t="shared" si="22"/>
        <v>0</v>
      </c>
      <c r="M206" s="140" t="str">
        <f t="shared" si="23"/>
        <v>5550/0050</v>
      </c>
      <c r="N206" s="70"/>
      <c r="P206" s="71"/>
      <c r="Q206" s="51"/>
      <c r="R206" s="31"/>
    </row>
    <row r="207" spans="1:18" x14ac:dyDescent="0.2">
      <c r="A207" s="238"/>
      <c r="B207" s="90" t="s">
        <v>631</v>
      </c>
      <c r="C207" s="276">
        <f>TrialBalance!C207</f>
        <v>0</v>
      </c>
      <c r="D207" s="284"/>
      <c r="E207" s="272"/>
      <c r="F207" s="79">
        <f t="shared" si="37"/>
        <v>0</v>
      </c>
      <c r="G207" s="47">
        <f>SUMIF(JournalsB!D$14:D$920,TrialBalanceB!M207,JournalsB!J$14:J$920)+SUMIF(JournalsB!E$14:E$920,TrialBalanceB!M207,JournalsB!J$14:J$920)</f>
        <v>0</v>
      </c>
      <c r="H207" s="288"/>
      <c r="I207" s="290">
        <f t="shared" si="36"/>
        <v>0</v>
      </c>
      <c r="J207" s="91"/>
      <c r="K207" s="48">
        <f t="shared" ref="K207:K282" si="42">ROUND(SUM(A207),0)</f>
        <v>0</v>
      </c>
      <c r="M207" s="140" t="str">
        <f t="shared" ref="M207:M282" si="43">CONCATENATE(B207,C207)</f>
        <v>5550/0060</v>
      </c>
      <c r="N207" s="70"/>
      <c r="P207" s="71"/>
      <c r="Q207" s="51"/>
      <c r="R207" s="31"/>
    </row>
    <row r="208" spans="1:18" x14ac:dyDescent="0.2">
      <c r="A208" s="238"/>
      <c r="B208" s="90" t="s">
        <v>632</v>
      </c>
      <c r="C208" s="276">
        <f>TrialBalance!C208</f>
        <v>0</v>
      </c>
      <c r="D208" s="281"/>
      <c r="E208" s="272"/>
      <c r="F208" s="79">
        <f t="shared" si="37"/>
        <v>0</v>
      </c>
      <c r="G208" s="47">
        <f>SUMIF(JournalsB!D$14:D$920,TrialBalanceB!M208,JournalsB!J$14:J$920)+SUMIF(JournalsB!E$14:E$920,TrialBalanceB!M208,JournalsB!J$14:J$920)</f>
        <v>0</v>
      </c>
      <c r="H208" s="288"/>
      <c r="I208" s="290">
        <f t="shared" si="36"/>
        <v>0</v>
      </c>
      <c r="J208" s="91"/>
      <c r="K208" s="48">
        <f t="shared" si="42"/>
        <v>0</v>
      </c>
      <c r="M208" s="140" t="str">
        <f t="shared" si="43"/>
        <v>5550/0070</v>
      </c>
      <c r="N208" s="70"/>
      <c r="P208" s="71"/>
      <c r="Q208" s="51"/>
      <c r="R208" s="31"/>
    </row>
    <row r="209" spans="1:18" x14ac:dyDescent="0.2">
      <c r="A209" s="238"/>
      <c r="B209" s="90" t="s">
        <v>633</v>
      </c>
      <c r="C209" s="276">
        <f>TrialBalance!C209</f>
        <v>0</v>
      </c>
      <c r="D209" s="281"/>
      <c r="E209" s="272"/>
      <c r="F209" s="79">
        <f t="shared" si="37"/>
        <v>0</v>
      </c>
      <c r="G209" s="47">
        <f>SUMIF(JournalsB!D$14:D$920,TrialBalanceB!M209,JournalsB!J$14:J$920)+SUMIF(JournalsB!E$14:E$920,TrialBalanceB!M209,JournalsB!J$14:J$920)</f>
        <v>0</v>
      </c>
      <c r="H209" s="288"/>
      <c r="I209" s="290">
        <f>ROUND(D209-E209+G209+F209,0)</f>
        <v>0</v>
      </c>
      <c r="J209" s="75"/>
      <c r="K209" s="48">
        <f t="shared" si="42"/>
        <v>0</v>
      </c>
      <c r="M209" s="140" t="str">
        <f t="shared" si="43"/>
        <v>5550/0080</v>
      </c>
      <c r="N209" s="70"/>
      <c r="P209" s="71"/>
      <c r="Q209" s="51"/>
      <c r="R209" s="31"/>
    </row>
    <row r="210" spans="1:18" x14ac:dyDescent="0.2">
      <c r="A210" s="238"/>
      <c r="B210" s="90" t="s">
        <v>634</v>
      </c>
      <c r="C210" s="276">
        <f>TrialBalance!C210</f>
        <v>0</v>
      </c>
      <c r="D210" s="274"/>
      <c r="E210" s="272"/>
      <c r="F210" s="79">
        <f t="shared" si="37"/>
        <v>0</v>
      </c>
      <c r="G210" s="47">
        <f>SUMIF(JournalsB!D$14:D$920,TrialBalanceB!M210,JournalsB!J$14:J$920)+SUMIF(JournalsB!E$14:E$920,TrialBalanceB!M210,JournalsB!J$14:J$920)</f>
        <v>0</v>
      </c>
      <c r="H210" s="288"/>
      <c r="I210" s="290">
        <f t="shared" si="36"/>
        <v>0</v>
      </c>
      <c r="J210" s="91"/>
      <c r="K210" s="48">
        <f t="shared" si="42"/>
        <v>0</v>
      </c>
      <c r="M210" s="140" t="str">
        <f t="shared" si="43"/>
        <v>5550/0090</v>
      </c>
      <c r="N210" s="70"/>
      <c r="P210" s="71"/>
      <c r="Q210" s="51"/>
      <c r="R210" s="31"/>
    </row>
    <row r="211" spans="1:18" x14ac:dyDescent="0.2">
      <c r="A211" s="238"/>
      <c r="B211" s="90" t="s">
        <v>655</v>
      </c>
      <c r="C211" s="276">
        <f>TrialBalance!C211</f>
        <v>0</v>
      </c>
      <c r="D211" s="287"/>
      <c r="E211" s="272"/>
      <c r="F211" s="79">
        <f t="shared" si="37"/>
        <v>0</v>
      </c>
      <c r="G211" s="47">
        <f>SUMIF(JournalsB!D$14:D$920,TrialBalanceB!M211,JournalsB!J$14:J$920)+SUMIF(JournalsB!E$14:E$920,TrialBalanceB!M211,JournalsB!J$14:J$920)</f>
        <v>0</v>
      </c>
      <c r="H211" s="288"/>
      <c r="I211" s="290">
        <f t="shared" si="36"/>
        <v>0</v>
      </c>
      <c r="J211" s="75"/>
      <c r="K211" s="48">
        <f t="shared" si="42"/>
        <v>0</v>
      </c>
      <c r="M211" s="140" t="str">
        <f t="shared" si="43"/>
        <v>5550/0100</v>
      </c>
      <c r="N211" s="70"/>
      <c r="P211" s="71"/>
      <c r="Q211" s="51"/>
      <c r="R211" s="31"/>
    </row>
    <row r="212" spans="1:18" x14ac:dyDescent="0.2">
      <c r="A212" s="238"/>
      <c r="B212" s="90" t="s">
        <v>668</v>
      </c>
      <c r="C212" s="276">
        <f>TrialBalance!C212</f>
        <v>0</v>
      </c>
      <c r="D212" s="287"/>
      <c r="E212" s="272"/>
      <c r="F212" s="79">
        <f t="shared" si="37"/>
        <v>0</v>
      </c>
      <c r="G212" s="47">
        <f>SUMIF(JournalsB!D$14:D$920,TrialBalanceB!M212,JournalsB!J$14:J$920)+SUMIF(JournalsB!E$14:E$920,TrialBalanceB!M212,JournalsB!J$14:J$920)</f>
        <v>0</v>
      </c>
      <c r="H212" s="288"/>
      <c r="I212" s="290">
        <f t="shared" si="36"/>
        <v>0</v>
      </c>
      <c r="J212" s="75"/>
      <c r="K212" s="48">
        <f t="shared" si="42"/>
        <v>0</v>
      </c>
      <c r="M212" s="140" t="str">
        <f t="shared" si="43"/>
        <v>5550/0110</v>
      </c>
      <c r="N212" s="70"/>
      <c r="P212" s="71"/>
      <c r="Q212" s="51"/>
      <c r="R212" s="31"/>
    </row>
    <row r="213" spans="1:18" x14ac:dyDescent="0.2">
      <c r="A213" s="238"/>
      <c r="B213" s="90" t="s">
        <v>669</v>
      </c>
      <c r="C213" s="276">
        <f>TrialBalance!C213</f>
        <v>0</v>
      </c>
      <c r="D213" s="287"/>
      <c r="E213" s="272"/>
      <c r="F213" s="79">
        <f t="shared" si="37"/>
        <v>0</v>
      </c>
      <c r="G213" s="47">
        <f>SUMIF(JournalsB!D$14:D$920,TrialBalanceB!M213,JournalsB!J$14:J$920)+SUMIF(JournalsB!E$14:E$920,TrialBalanceB!M213,JournalsB!J$14:J$920)</f>
        <v>0</v>
      </c>
      <c r="H213" s="288"/>
      <c r="I213" s="290">
        <f t="shared" si="36"/>
        <v>0</v>
      </c>
      <c r="J213" s="75"/>
      <c r="K213" s="48">
        <f t="shared" si="42"/>
        <v>0</v>
      </c>
      <c r="M213" s="140" t="str">
        <f t="shared" si="43"/>
        <v>5550/0120</v>
      </c>
      <c r="N213" s="70"/>
      <c r="P213" s="71"/>
      <c r="Q213" s="51"/>
      <c r="R213" s="31"/>
    </row>
    <row r="214" spans="1:18" x14ac:dyDescent="0.2">
      <c r="A214" s="238"/>
      <c r="B214" s="90" t="s">
        <v>670</v>
      </c>
      <c r="C214" s="276">
        <f>TrialBalance!C214</f>
        <v>0</v>
      </c>
      <c r="D214" s="287"/>
      <c r="E214" s="272"/>
      <c r="F214" s="79">
        <f t="shared" si="37"/>
        <v>0</v>
      </c>
      <c r="G214" s="47">
        <f>SUMIF(JournalsB!D$14:D$920,TrialBalanceB!M214,JournalsB!J$14:J$920)+SUMIF(JournalsB!E$14:E$920,TrialBalanceB!M214,JournalsB!J$14:J$920)</f>
        <v>0</v>
      </c>
      <c r="H214" s="288"/>
      <c r="I214" s="290">
        <f t="shared" si="36"/>
        <v>0</v>
      </c>
      <c r="J214" s="75"/>
      <c r="K214" s="48">
        <f t="shared" si="42"/>
        <v>0</v>
      </c>
      <c r="M214" s="140" t="str">
        <f t="shared" si="43"/>
        <v>5550/0130</v>
      </c>
      <c r="N214" s="70"/>
      <c r="P214" s="71"/>
      <c r="Q214" s="51"/>
      <c r="R214" s="31"/>
    </row>
    <row r="215" spans="1:18" x14ac:dyDescent="0.2">
      <c r="A215" s="238"/>
      <c r="B215" s="90" t="s">
        <v>671</v>
      </c>
      <c r="C215" s="276">
        <f>TrialBalance!C215</f>
        <v>0</v>
      </c>
      <c r="D215" s="283"/>
      <c r="E215" s="272"/>
      <c r="F215" s="79">
        <f t="shared" si="37"/>
        <v>0</v>
      </c>
      <c r="G215" s="47">
        <f>SUMIF(JournalsB!D$14:D$920,TrialBalanceB!M215,JournalsB!J$14:J$920)+SUMIF(JournalsB!E$14:E$920,TrialBalanceB!M215,JournalsB!J$14:J$920)</f>
        <v>0</v>
      </c>
      <c r="H215" s="288"/>
      <c r="I215" s="290">
        <f t="shared" si="36"/>
        <v>0</v>
      </c>
      <c r="J215" s="75"/>
      <c r="K215" s="48">
        <f t="shared" si="42"/>
        <v>0</v>
      </c>
      <c r="M215" s="140" t="str">
        <f t="shared" si="43"/>
        <v>5550/0140</v>
      </c>
      <c r="N215" s="70"/>
      <c r="P215" s="71"/>
      <c r="Q215" s="51"/>
      <c r="R215" s="31"/>
    </row>
    <row r="216" spans="1:18" x14ac:dyDescent="0.2">
      <c r="A216" s="238"/>
      <c r="B216" s="90" t="s">
        <v>672</v>
      </c>
      <c r="C216" s="276">
        <f>TrialBalance!C216</f>
        <v>0</v>
      </c>
      <c r="D216" s="282"/>
      <c r="E216" s="272"/>
      <c r="F216" s="79">
        <f>K216</f>
        <v>0</v>
      </c>
      <c r="G216" s="47">
        <f>SUMIF(JournalsB!D$14:D$920,TrialBalanceB!M216,JournalsB!J$14:J$920)+SUMIF(JournalsB!E$14:E$920,TrialBalanceB!M216,JournalsB!J$14:J$920)</f>
        <v>0</v>
      </c>
      <c r="H216" s="288"/>
      <c r="I216" s="290">
        <f t="shared" si="36"/>
        <v>0</v>
      </c>
      <c r="J216" s="75"/>
      <c r="K216" s="48">
        <f t="shared" si="42"/>
        <v>0</v>
      </c>
      <c r="M216" s="140" t="str">
        <f t="shared" si="43"/>
        <v>5550/0150</v>
      </c>
      <c r="N216" s="70"/>
      <c r="P216" s="71"/>
      <c r="Q216" s="51"/>
      <c r="R216" s="31"/>
    </row>
    <row r="217" spans="1:18" x14ac:dyDescent="0.2">
      <c r="A217" s="238"/>
      <c r="B217" s="90" t="s">
        <v>673</v>
      </c>
      <c r="C217" s="276">
        <f>TrialBalance!C217</f>
        <v>0</v>
      </c>
      <c r="D217" s="272"/>
      <c r="E217" s="272"/>
      <c r="F217" s="79">
        <f>K217</f>
        <v>0</v>
      </c>
      <c r="G217" s="47">
        <f>SUMIF(JournalsB!D$14:D$920,TrialBalanceB!M217,JournalsB!J$14:J$920)+SUMIF(JournalsB!E$14:E$920,TrialBalanceB!M217,JournalsB!J$14:J$920)</f>
        <v>0</v>
      </c>
      <c r="H217" s="288"/>
      <c r="I217" s="290">
        <f t="shared" si="36"/>
        <v>0</v>
      </c>
      <c r="J217" s="75"/>
      <c r="K217" s="48">
        <f t="shared" si="42"/>
        <v>0</v>
      </c>
      <c r="M217" s="140" t="str">
        <f t="shared" si="43"/>
        <v>5550/0160</v>
      </c>
      <c r="N217" s="70"/>
      <c r="P217" s="71"/>
      <c r="Q217" s="51"/>
      <c r="R217" s="31"/>
    </row>
    <row r="218" spans="1:18" x14ac:dyDescent="0.2">
      <c r="A218" s="238"/>
      <c r="B218" s="90" t="s">
        <v>674</v>
      </c>
      <c r="C218" s="276">
        <f>TrialBalance!C218</f>
        <v>0</v>
      </c>
      <c r="D218" s="274"/>
      <c r="E218" s="272"/>
      <c r="F218" s="79">
        <f>K218</f>
        <v>0</v>
      </c>
      <c r="G218" s="47">
        <f>SUMIF(JournalsB!D$14:D$920,TrialBalanceB!M218,JournalsB!J$14:J$920)+SUMIF(JournalsB!E$14:E$920,TrialBalanceB!M218,JournalsB!J$14:J$920)</f>
        <v>0</v>
      </c>
      <c r="H218" s="288"/>
      <c r="I218" s="290">
        <f t="shared" si="36"/>
        <v>0</v>
      </c>
      <c r="J218" s="75"/>
      <c r="K218" s="48">
        <f t="shared" si="42"/>
        <v>0</v>
      </c>
      <c r="M218" s="140" t="str">
        <f t="shared" si="43"/>
        <v>5550/0170</v>
      </c>
      <c r="N218" s="70"/>
      <c r="P218" s="71"/>
      <c r="Q218" s="51"/>
      <c r="R218" s="31"/>
    </row>
    <row r="219" spans="1:18" x14ac:dyDescent="0.2">
      <c r="A219" s="238"/>
      <c r="B219" s="54" t="s">
        <v>145</v>
      </c>
      <c r="C219" s="240" t="s">
        <v>194</v>
      </c>
      <c r="D219" s="282"/>
      <c r="E219" s="272"/>
      <c r="F219" s="79"/>
      <c r="G219" s="47">
        <f>SUMIF(JournalsB!D$14:D$920,TrialBalanceB!M219,JournalsB!J$14:J$920)+SUMIF(JournalsB!E$14:E$920,TrialBalanceB!M219,JournalsB!J$14:J$920)</f>
        <v>0</v>
      </c>
      <c r="H219" s="288"/>
      <c r="I219" s="290">
        <f t="shared" si="36"/>
        <v>0</v>
      </c>
      <c r="J219" s="75"/>
      <c r="K219" s="48">
        <f t="shared" si="42"/>
        <v>0</v>
      </c>
      <c r="M219" s="140" t="str">
        <f t="shared" si="43"/>
        <v>5700/000DEFERRED TAX</v>
      </c>
      <c r="N219" s="70"/>
      <c r="P219" s="71"/>
      <c r="Q219" s="51"/>
      <c r="R219" s="31"/>
    </row>
    <row r="220" spans="1:18" x14ac:dyDescent="0.2">
      <c r="A220" s="238"/>
      <c r="B220" s="54" t="s">
        <v>146</v>
      </c>
      <c r="C220" s="242" t="s">
        <v>533</v>
      </c>
      <c r="D220" s="284"/>
      <c r="E220" s="272"/>
      <c r="F220" s="79">
        <f>K220+K222+K224+K226</f>
        <v>0</v>
      </c>
      <c r="G220" s="47">
        <f>SUMIF(JournalsB!D$14:D$920,TrialBalanceB!M220,JournalsB!J$14:J$920)+SUMIF(JournalsB!E$14:E$920,TrialBalanceB!M220,JournalsB!J$14:J$920)</f>
        <v>0</v>
      </c>
      <c r="H220" s="288"/>
      <c r="I220" s="290">
        <f t="shared" si="36"/>
        <v>0</v>
      </c>
      <c r="J220" s="75"/>
      <c r="K220" s="48">
        <f t="shared" si="42"/>
        <v>0</v>
      </c>
      <c r="M220" s="140" t="str">
        <f t="shared" si="43"/>
        <v>5700/010Deferred tax balance  depreciation b/fwd</v>
      </c>
      <c r="N220" s="70"/>
      <c r="P220" s="71"/>
      <c r="Q220" s="51"/>
      <c r="R220" s="31"/>
    </row>
    <row r="221" spans="1:18" x14ac:dyDescent="0.2">
      <c r="A221" s="238"/>
      <c r="B221" s="90" t="s">
        <v>635</v>
      </c>
      <c r="C221" s="242" t="s">
        <v>534</v>
      </c>
      <c r="D221" s="284"/>
      <c r="E221" s="272"/>
      <c r="F221" s="79">
        <f>K221+K223+K225+K227</f>
        <v>0</v>
      </c>
      <c r="G221" s="47">
        <f>SUMIF(JournalsB!D$14:D$920,TrialBalanceB!M221,JournalsB!J$14:J$920)+SUMIF(JournalsB!E$14:E$920,TrialBalanceB!M221,JournalsB!J$14:J$920)</f>
        <v>0</v>
      </c>
      <c r="H221" s="288"/>
      <c r="I221" s="290">
        <f t="shared" si="36"/>
        <v>0</v>
      </c>
      <c r="J221" s="75"/>
      <c r="K221" s="48">
        <f t="shared" si="42"/>
        <v>0</v>
      </c>
      <c r="M221" s="140" t="str">
        <f t="shared" si="43"/>
        <v>5700/020Deferred tax balance  tax loss b/fwd</v>
      </c>
      <c r="N221" s="70"/>
      <c r="P221" s="71"/>
      <c r="Q221" s="51"/>
      <c r="R221" s="31"/>
    </row>
    <row r="222" spans="1:18" x14ac:dyDescent="0.2">
      <c r="A222" s="238"/>
      <c r="B222" s="90" t="s">
        <v>1096</v>
      </c>
      <c r="C222" s="242" t="s">
        <v>1097</v>
      </c>
      <c r="D222" s="284"/>
      <c r="E222" s="272"/>
      <c r="F222" s="79"/>
      <c r="G222" s="47">
        <f>SUMIF(JournalsB!D$14:D$920,TrialBalanceB!M222,JournalsB!J$14:J$920)+SUMIF(JournalsB!E$14:E$920,TrialBalanceB!M222,JournalsB!J$14:J$920)</f>
        <v>0</v>
      </c>
      <c r="H222" s="288"/>
      <c r="I222" s="290">
        <f t="shared" ref="I222:I223" si="44">ROUND(D222-E222+G222+F222,0)</f>
        <v>0</v>
      </c>
      <c r="J222" s="75"/>
      <c r="K222" s="48">
        <f t="shared" ref="K222:K223" si="45">ROUND(SUM(A222),0)</f>
        <v>0</v>
      </c>
      <c r="M222" s="140" t="str">
        <f t="shared" ref="M222:M223" si="46">CONCATENATE(B222,C222)</f>
        <v>5700/021Opening balance depreciation tax rate change</v>
      </c>
      <c r="N222" s="70"/>
      <c r="P222" s="71"/>
      <c r="Q222" s="51"/>
      <c r="R222" s="31"/>
    </row>
    <row r="223" spans="1:18" x14ac:dyDescent="0.2">
      <c r="A223" s="238"/>
      <c r="B223" s="90" t="s">
        <v>1098</v>
      </c>
      <c r="C223" s="242" t="s">
        <v>1099</v>
      </c>
      <c r="D223" s="284"/>
      <c r="E223" s="272"/>
      <c r="F223" s="79"/>
      <c r="G223" s="47">
        <f>SUMIF(JournalsB!D$14:D$920,TrialBalanceB!M223,JournalsB!J$14:J$920)+SUMIF(JournalsB!E$14:E$920,TrialBalanceB!M223,JournalsB!J$14:J$920)</f>
        <v>0</v>
      </c>
      <c r="H223" s="288"/>
      <c r="I223" s="290">
        <f t="shared" si="44"/>
        <v>0</v>
      </c>
      <c r="J223" s="75"/>
      <c r="K223" s="48">
        <f t="shared" si="45"/>
        <v>0</v>
      </c>
      <c r="M223" s="140" t="str">
        <f t="shared" si="46"/>
        <v>5700/022Opening balance tax loss tax rate change</v>
      </c>
      <c r="N223" s="70"/>
      <c r="P223" s="71"/>
      <c r="Q223" s="51"/>
      <c r="R223" s="31"/>
    </row>
    <row r="224" spans="1:18" x14ac:dyDescent="0.2">
      <c r="A224" s="238"/>
      <c r="B224" s="90" t="s">
        <v>636</v>
      </c>
      <c r="C224" s="240" t="s">
        <v>147</v>
      </c>
      <c r="D224" s="282"/>
      <c r="E224" s="272"/>
      <c r="F224" s="79"/>
      <c r="G224" s="47">
        <f>SUMIF(JournalsB!D$14:D$920,TrialBalanceB!M224,JournalsB!J$14:J$920)+SUMIF(JournalsB!E$14:E$920,TrialBalanceB!M224,JournalsB!J$14:J$920)</f>
        <v>0</v>
      </c>
      <c r="H224" s="288"/>
      <c r="I224" s="290">
        <f t="shared" si="36"/>
        <v>0</v>
      </c>
      <c r="J224" s="75"/>
      <c r="K224" s="48">
        <f t="shared" si="42"/>
        <v>0</v>
      </c>
      <c r="M224" s="140" t="str">
        <f t="shared" si="43"/>
        <v>5700/030Deferred tax on depreciation for year</v>
      </c>
      <c r="N224" s="70"/>
      <c r="P224" s="71"/>
      <c r="Q224" s="51"/>
      <c r="R224" s="31"/>
    </row>
    <row r="225" spans="1:18" x14ac:dyDescent="0.2">
      <c r="A225" s="238"/>
      <c r="B225" s="90" t="s">
        <v>637</v>
      </c>
      <c r="C225" s="240" t="s">
        <v>148</v>
      </c>
      <c r="D225" s="282"/>
      <c r="E225" s="272"/>
      <c r="F225" s="79"/>
      <c r="G225" s="47">
        <f>SUMIF(JournalsB!D$14:D$920,TrialBalanceB!M225,JournalsB!J$14:J$920)+SUMIF(JournalsB!E$14:E$920,TrialBalanceB!M225,JournalsB!J$14:J$920)</f>
        <v>0</v>
      </c>
      <c r="H225" s="288"/>
      <c r="I225" s="290">
        <f t="shared" si="36"/>
        <v>0</v>
      </c>
      <c r="J225" s="75"/>
      <c r="K225" s="48">
        <f t="shared" si="42"/>
        <v>0</v>
      </c>
      <c r="M225" s="140" t="str">
        <f t="shared" si="43"/>
        <v>5700/040Deferred tax on tax loss for year</v>
      </c>
      <c r="N225" s="70"/>
      <c r="P225" s="71"/>
      <c r="Q225" s="51"/>
      <c r="R225" s="31"/>
    </row>
    <row r="226" spans="1:18" x14ac:dyDescent="0.2">
      <c r="A226" s="238"/>
      <c r="B226" s="90" t="s">
        <v>638</v>
      </c>
      <c r="C226" s="242" t="s">
        <v>617</v>
      </c>
      <c r="D226" s="284"/>
      <c r="E226" s="272"/>
      <c r="F226" s="79"/>
      <c r="G226" s="47">
        <f>SUMIF(JournalsB!D$14:D$920,TrialBalanceB!M226,JournalsB!J$14:J$920)+SUMIF(JournalsB!E$14:E$920,TrialBalanceB!M226,JournalsB!J$14:J$920)</f>
        <v>0</v>
      </c>
      <c r="H226" s="288"/>
      <c r="I226" s="290">
        <f t="shared" si="36"/>
        <v>0</v>
      </c>
      <c r="J226" s="75"/>
      <c r="K226" s="48">
        <f t="shared" si="42"/>
        <v>0</v>
      </c>
      <c r="M226" s="140" t="str">
        <f t="shared" si="43"/>
        <v>5700/050Def tax adj  depreciation previous year</v>
      </c>
      <c r="N226" s="70"/>
      <c r="P226" s="71"/>
      <c r="Q226" s="51"/>
      <c r="R226" s="31"/>
    </row>
    <row r="227" spans="1:18" x14ac:dyDescent="0.2">
      <c r="A227" s="238"/>
      <c r="B227" s="90" t="s">
        <v>639</v>
      </c>
      <c r="C227" s="242" t="s">
        <v>618</v>
      </c>
      <c r="D227" s="284"/>
      <c r="E227" s="272"/>
      <c r="F227" s="79"/>
      <c r="G227" s="47">
        <f>SUMIF(JournalsB!D$14:D$920,TrialBalanceB!M227,JournalsB!J$14:J$920)+SUMIF(JournalsB!E$14:E$920,TrialBalanceB!M227,JournalsB!J$14:J$920)</f>
        <v>0</v>
      </c>
      <c r="H227" s="288"/>
      <c r="I227" s="290">
        <f t="shared" si="36"/>
        <v>0</v>
      </c>
      <c r="J227" s="75"/>
      <c r="K227" s="48">
        <f t="shared" si="42"/>
        <v>0</v>
      </c>
      <c r="M227" s="140" t="str">
        <f t="shared" si="43"/>
        <v>5700/060Def tax adj tax loss previous year</v>
      </c>
      <c r="N227" s="70"/>
      <c r="P227" s="71"/>
      <c r="Q227" s="51"/>
      <c r="R227" s="31"/>
    </row>
    <row r="228" spans="1:18" x14ac:dyDescent="0.2">
      <c r="A228" s="238"/>
      <c r="B228" s="54" t="s">
        <v>149</v>
      </c>
      <c r="C228" s="239" t="s">
        <v>1129</v>
      </c>
      <c r="D228" s="283"/>
      <c r="E228" s="272"/>
      <c r="F228" s="79"/>
      <c r="G228" s="47">
        <f>SUMIF(JournalsB!D$14:D$920,TrialBalanceB!M228,JournalsB!J$14:J$920)+SUMIF(JournalsB!E$14:E$920,TrialBalanceB!M228,JournalsB!J$14:J$920)</f>
        <v>0</v>
      </c>
      <c r="H228" s="288"/>
      <c r="I228" s="290">
        <f t="shared" si="36"/>
        <v>0</v>
      </c>
      <c r="J228" s="75"/>
      <c r="K228" s="48">
        <f t="shared" si="42"/>
        <v>0</v>
      </c>
      <c r="M228" s="140" t="str">
        <f t="shared" si="43"/>
        <v>6100/000PROPERTY - COST</v>
      </c>
      <c r="N228" s="70"/>
      <c r="P228" s="71"/>
      <c r="Q228" s="51"/>
      <c r="R228" s="31"/>
    </row>
    <row r="229" spans="1:18" x14ac:dyDescent="0.2">
      <c r="A229" s="238"/>
      <c r="B229" s="54" t="s">
        <v>150</v>
      </c>
      <c r="C229" s="242" t="s">
        <v>1124</v>
      </c>
      <c r="D229" s="282"/>
      <c r="E229" s="272"/>
      <c r="F229" s="79">
        <f>SUM(K229:K233)</f>
        <v>0</v>
      </c>
      <c r="G229" s="47">
        <f>SUMIF(JournalsB!D$14:D$920,TrialBalanceB!M229,JournalsB!J$14:J$920)+SUMIF(JournalsB!E$14:E$920,TrialBalanceB!M229,JournalsB!J$14:J$920)</f>
        <v>0</v>
      </c>
      <c r="H229" s="288"/>
      <c r="I229" s="290">
        <f t="shared" si="36"/>
        <v>0</v>
      </c>
      <c r="J229" s="75"/>
      <c r="K229" s="48">
        <f t="shared" si="42"/>
        <v>0</v>
      </c>
      <c r="M229" s="140" t="str">
        <f t="shared" si="43"/>
        <v>6100/001Property - cost b/fwd</v>
      </c>
      <c r="N229" s="70"/>
      <c r="P229" s="71"/>
      <c r="Q229" s="51"/>
      <c r="R229" s="31"/>
    </row>
    <row r="230" spans="1:18" x14ac:dyDescent="0.2">
      <c r="A230" s="238"/>
      <c r="B230" s="54" t="s">
        <v>151</v>
      </c>
      <c r="C230" s="242" t="s">
        <v>1125</v>
      </c>
      <c r="D230" s="282"/>
      <c r="E230" s="272"/>
      <c r="F230" s="79"/>
      <c r="G230" s="47">
        <f>SUMIF(JournalsB!D$14:D$920,TrialBalanceB!M230,JournalsB!J$14:J$920)+SUMIF(JournalsB!E$14:E$920,TrialBalanceB!M230,JournalsB!J$14:J$920)</f>
        <v>0</v>
      </c>
      <c r="H230" s="288"/>
      <c r="I230" s="290">
        <f t="shared" si="36"/>
        <v>0</v>
      </c>
      <c r="J230" s="75"/>
      <c r="K230" s="48">
        <f t="shared" si="42"/>
        <v>0</v>
      </c>
      <c r="M230" s="140" t="str">
        <f t="shared" si="43"/>
        <v>6100/002Property - additions</v>
      </c>
      <c r="N230" s="70"/>
      <c r="P230" s="71"/>
      <c r="Q230" s="51"/>
      <c r="R230" s="31"/>
    </row>
    <row r="231" spans="1:18" x14ac:dyDescent="0.2">
      <c r="A231" s="238"/>
      <c r="B231" s="54" t="s">
        <v>152</v>
      </c>
      <c r="C231" s="242" t="s">
        <v>1126</v>
      </c>
      <c r="D231" s="282"/>
      <c r="E231" s="272"/>
      <c r="F231" s="79"/>
      <c r="G231" s="47">
        <f>SUMIF(JournalsB!D$14:D$920,TrialBalanceB!M231,JournalsB!J$14:J$920)+SUMIF(JournalsB!E$14:E$920,TrialBalanceB!M231,JournalsB!J$14:J$920)</f>
        <v>0</v>
      </c>
      <c r="H231" s="288"/>
      <c r="I231" s="290">
        <f t="shared" si="36"/>
        <v>0</v>
      </c>
      <c r="J231" s="75"/>
      <c r="K231" s="48">
        <f t="shared" si="42"/>
        <v>0</v>
      </c>
      <c r="M231" s="140" t="str">
        <f t="shared" si="43"/>
        <v>6100/003Property - cost of sales</v>
      </c>
      <c r="N231" s="70"/>
      <c r="P231" s="71"/>
      <c r="Q231" s="51"/>
      <c r="R231" s="31"/>
    </row>
    <row r="232" spans="1:18" x14ac:dyDescent="0.2">
      <c r="A232" s="238"/>
      <c r="B232" s="90" t="s">
        <v>994</v>
      </c>
      <c r="C232" s="242" t="s">
        <v>1127</v>
      </c>
      <c r="D232" s="282"/>
      <c r="E232" s="272"/>
      <c r="F232" s="79"/>
      <c r="G232" s="47">
        <f>SUMIF(JournalsB!D$14:D$920,TrialBalanceB!M232,JournalsB!J$14:J$920)+SUMIF(JournalsB!E$14:E$920,TrialBalanceB!M232,JournalsB!J$14:J$920)</f>
        <v>0</v>
      </c>
      <c r="H232" s="288"/>
      <c r="I232" s="290">
        <f t="shared" ref="I232" si="47">ROUND(D232-E232+G232+F232,0)</f>
        <v>0</v>
      </c>
      <c r="J232" s="75"/>
      <c r="K232" s="48">
        <f t="shared" ref="K232" si="48">ROUND(SUM(A232),0)</f>
        <v>0</v>
      </c>
      <c r="M232" s="140" t="str">
        <f t="shared" ref="M232" si="49">CONCATENATE(B232,C232)</f>
        <v>6100/004Property - transfer to investment property</v>
      </c>
      <c r="N232" s="70"/>
      <c r="P232" s="71"/>
      <c r="Q232" s="51"/>
      <c r="R232" s="31"/>
    </row>
    <row r="233" spans="1:18" x14ac:dyDescent="0.2">
      <c r="A233" s="238"/>
      <c r="B233" s="90" t="s">
        <v>1082</v>
      </c>
      <c r="C233" s="242" t="s">
        <v>1128</v>
      </c>
      <c r="D233" s="282"/>
      <c r="E233" s="272"/>
      <c r="F233" s="79"/>
      <c r="G233" s="47">
        <f>SUMIF(JournalsB!D$14:D$920,TrialBalanceB!M233,JournalsB!J$14:J$920)+SUMIF(JournalsB!E$14:E$920,TrialBalanceB!M233,JournalsB!J$14:J$920)</f>
        <v>0</v>
      </c>
      <c r="H233" s="288"/>
      <c r="I233" s="290">
        <f t="shared" ref="I233" si="50">ROUND(D233-E233+G233+F233,0)</f>
        <v>0</v>
      </c>
      <c r="J233" s="75"/>
      <c r="K233" s="48">
        <f t="shared" ref="K233" si="51">ROUND(SUM(A233),0)</f>
        <v>0</v>
      </c>
      <c r="M233" s="140" t="str">
        <f t="shared" ref="M233" si="52">CONCATENATE(B233,C233)</f>
        <v>6100/005Property - transfer from investment property</v>
      </c>
      <c r="N233" s="70"/>
      <c r="P233" s="71"/>
      <c r="Q233" s="51"/>
      <c r="R233" s="31"/>
    </row>
    <row r="234" spans="1:18" x14ac:dyDescent="0.2">
      <c r="A234" s="238"/>
      <c r="B234" s="54" t="s">
        <v>284</v>
      </c>
      <c r="C234" s="239" t="s">
        <v>1130</v>
      </c>
      <c r="D234" s="283"/>
      <c r="E234" s="272"/>
      <c r="F234" s="79"/>
      <c r="G234" s="47">
        <f>SUMIF(JournalsB!D$14:D$920,TrialBalanceB!M234,JournalsB!J$14:J$920)+SUMIF(JournalsB!E$14:E$920,TrialBalanceB!M234,JournalsB!J$14:J$920)</f>
        <v>0</v>
      </c>
      <c r="H234" s="288"/>
      <c r="I234" s="290">
        <f t="shared" si="36"/>
        <v>0</v>
      </c>
      <c r="J234" s="75"/>
      <c r="K234" s="48">
        <f t="shared" si="42"/>
        <v>0</v>
      </c>
      <c r="M234" s="140" t="str">
        <f t="shared" si="43"/>
        <v>6100/020PROPERTY - ACC DEPR</v>
      </c>
      <c r="N234" s="70"/>
      <c r="P234" s="71"/>
      <c r="Q234" s="51"/>
      <c r="R234" s="31"/>
    </row>
    <row r="235" spans="1:18" x14ac:dyDescent="0.2">
      <c r="A235" s="238"/>
      <c r="B235" s="54" t="s">
        <v>285</v>
      </c>
      <c r="C235" s="242" t="s">
        <v>1131</v>
      </c>
      <c r="D235" s="282"/>
      <c r="E235" s="272"/>
      <c r="F235" s="79">
        <f>SUM(K235:K238)</f>
        <v>0</v>
      </c>
      <c r="G235" s="47">
        <f>SUMIF(JournalsB!D$14:D$920,TrialBalanceB!M235,JournalsB!J$14:J$920)+SUMIF(JournalsB!E$14:E$920,TrialBalanceB!M235,JournalsB!J$14:J$920)</f>
        <v>0</v>
      </c>
      <c r="H235" s="288"/>
      <c r="I235" s="290">
        <f t="shared" si="36"/>
        <v>0</v>
      </c>
      <c r="J235" s="75"/>
      <c r="K235" s="48">
        <f t="shared" si="42"/>
        <v>0</v>
      </c>
      <c r="M235" s="140" t="str">
        <f t="shared" si="43"/>
        <v>6100/021Property - acc depr b/fwd</v>
      </c>
      <c r="N235" s="70"/>
      <c r="P235" s="71"/>
      <c r="Q235" s="51"/>
      <c r="R235" s="31"/>
    </row>
    <row r="236" spans="1:18" x14ac:dyDescent="0.2">
      <c r="A236" s="238"/>
      <c r="B236" s="54" t="s">
        <v>286</v>
      </c>
      <c r="C236" s="242" t="s">
        <v>1132</v>
      </c>
      <c r="D236" s="282"/>
      <c r="E236" s="272"/>
      <c r="F236" s="79"/>
      <c r="G236" s="47">
        <f>SUMIF(JournalsB!D$14:D$920,TrialBalanceB!M236,JournalsB!J$14:J$920)+SUMIF(JournalsB!E$14:E$920,TrialBalanceB!M236,JournalsB!J$14:J$920)</f>
        <v>0</v>
      </c>
      <c r="H236" s="288"/>
      <c r="I236" s="290">
        <f t="shared" si="36"/>
        <v>0</v>
      </c>
      <c r="J236" s="75"/>
      <c r="K236" s="48">
        <f t="shared" si="42"/>
        <v>0</v>
      </c>
      <c r="M236" s="140" t="str">
        <f t="shared" si="43"/>
        <v>6100/022Property - depr this year</v>
      </c>
      <c r="N236" s="70"/>
      <c r="P236" s="71"/>
      <c r="Q236" s="51"/>
      <c r="R236" s="31"/>
    </row>
    <row r="237" spans="1:18" x14ac:dyDescent="0.2">
      <c r="A237" s="238"/>
      <c r="B237" s="54" t="s">
        <v>288</v>
      </c>
      <c r="C237" s="242" t="s">
        <v>1133</v>
      </c>
      <c r="D237" s="282"/>
      <c r="E237" s="272"/>
      <c r="F237" s="79"/>
      <c r="G237" s="47">
        <f>SUMIF(JournalsB!D$14:D$920,TrialBalanceB!M237,JournalsB!J$14:J$920)+SUMIF(JournalsB!E$14:E$920,TrialBalanceB!M237,JournalsB!J$14:J$920)</f>
        <v>0</v>
      </c>
      <c r="H237" s="288"/>
      <c r="I237" s="290">
        <f t="shared" si="36"/>
        <v>0</v>
      </c>
      <c r="J237" s="75"/>
      <c r="K237" s="48">
        <f t="shared" si="42"/>
        <v>0</v>
      </c>
      <c r="M237" s="140" t="str">
        <f t="shared" si="43"/>
        <v>6100/023Property - acc depr on sales</v>
      </c>
      <c r="N237" s="70"/>
      <c r="P237" s="71"/>
      <c r="Q237" s="51"/>
      <c r="R237" s="31"/>
    </row>
    <row r="238" spans="1:18" x14ac:dyDescent="0.2">
      <c r="A238" s="238"/>
      <c r="B238" s="90" t="s">
        <v>1072</v>
      </c>
      <c r="C238" s="242" t="s">
        <v>1134</v>
      </c>
      <c r="D238" s="282"/>
      <c r="E238" s="272"/>
      <c r="F238" s="79"/>
      <c r="G238" s="47">
        <f>SUMIF(JournalsB!D$14:D$920,TrialBalanceB!M238,JournalsB!J$14:J$920)+SUMIF(JournalsB!E$14:E$920,TrialBalanceB!M238,JournalsB!J$14:J$920)</f>
        <v>0</v>
      </c>
      <c r="H238" s="288"/>
      <c r="I238" s="290">
        <f t="shared" ref="I238" si="53">ROUND(D238-E238+G238+F238,0)</f>
        <v>0</v>
      </c>
      <c r="J238" s="75"/>
      <c r="K238" s="48">
        <f t="shared" ref="K238" si="54">ROUND(SUM(A238),0)</f>
        <v>0</v>
      </c>
      <c r="M238" s="140" t="str">
        <f t="shared" ref="M238" si="55">CONCATENATE(B238,C238)</f>
        <v>6100/024Property - recoupment of depr</v>
      </c>
      <c r="N238" s="70"/>
      <c r="P238" s="71"/>
      <c r="Q238" s="51"/>
      <c r="R238" s="31"/>
    </row>
    <row r="239" spans="1:18" x14ac:dyDescent="0.2">
      <c r="A239" s="238"/>
      <c r="B239" s="90" t="s">
        <v>696</v>
      </c>
      <c r="C239" s="239" t="s">
        <v>989</v>
      </c>
      <c r="D239" s="282"/>
      <c r="E239" s="272"/>
      <c r="F239" s="79"/>
      <c r="G239" s="47">
        <f>SUMIF(JournalsB!D$14:D$920,TrialBalanceB!M239,JournalsB!J$14:J$920)+SUMIF(JournalsB!E$14:E$920,TrialBalanceB!M239,JournalsB!J$14:J$920)</f>
        <v>0</v>
      </c>
      <c r="H239" s="288"/>
      <c r="I239" s="290">
        <f t="shared" ref="I239:I243" si="56">ROUND(D239-E239+G239+F239,0)</f>
        <v>0</v>
      </c>
      <c r="J239" s="75"/>
      <c r="K239" s="48">
        <f t="shared" ref="K239:K243" si="57">ROUND(SUM(A239),0)</f>
        <v>0</v>
      </c>
      <c r="M239" s="140" t="str">
        <f t="shared" ref="M239:M243" si="58">CONCATENATE(B239,C239)</f>
        <v>6100/030INVESTMENT PROPERTY - COST</v>
      </c>
      <c r="N239" s="70"/>
      <c r="P239" s="71"/>
      <c r="Q239" s="51"/>
      <c r="R239" s="31"/>
    </row>
    <row r="240" spans="1:18" x14ac:dyDescent="0.2">
      <c r="A240" s="238"/>
      <c r="B240" s="90" t="s">
        <v>697</v>
      </c>
      <c r="C240" s="242" t="s">
        <v>990</v>
      </c>
      <c r="D240" s="282"/>
      <c r="E240" s="272"/>
      <c r="F240" s="79">
        <f>SUM(K240:K244)</f>
        <v>0</v>
      </c>
      <c r="G240" s="47">
        <f>SUMIF(JournalsB!D$14:D$920,TrialBalanceB!M240,JournalsB!J$14:J$920)+SUMIF(JournalsB!E$14:E$920,TrialBalanceB!M240,JournalsB!J$14:J$920)</f>
        <v>0</v>
      </c>
      <c r="H240" s="288"/>
      <c r="I240" s="290">
        <f t="shared" si="56"/>
        <v>0</v>
      </c>
      <c r="J240" s="75"/>
      <c r="K240" s="48">
        <f t="shared" si="57"/>
        <v>0</v>
      </c>
      <c r="M240" s="140" t="str">
        <f t="shared" si="58"/>
        <v>6100/031Investment property - cost b/fwd</v>
      </c>
      <c r="N240" s="70"/>
      <c r="P240" s="71"/>
      <c r="Q240" s="51"/>
      <c r="R240" s="31"/>
    </row>
    <row r="241" spans="1:18" x14ac:dyDescent="0.2">
      <c r="A241" s="238"/>
      <c r="B241" s="90" t="s">
        <v>698</v>
      </c>
      <c r="C241" s="242" t="s">
        <v>991</v>
      </c>
      <c r="D241" s="282"/>
      <c r="E241" s="272"/>
      <c r="F241" s="79"/>
      <c r="G241" s="47">
        <f>SUMIF(JournalsB!D$14:D$920,TrialBalanceB!M241,JournalsB!J$14:J$920)+SUMIF(JournalsB!E$14:E$920,TrialBalanceB!M241,JournalsB!J$14:J$920)</f>
        <v>0</v>
      </c>
      <c r="H241" s="288"/>
      <c r="I241" s="290">
        <f t="shared" si="56"/>
        <v>0</v>
      </c>
      <c r="J241" s="75"/>
      <c r="K241" s="48">
        <f t="shared" si="57"/>
        <v>0</v>
      </c>
      <c r="M241" s="140" t="str">
        <f t="shared" si="58"/>
        <v>6100/032Investment property - additions</v>
      </c>
      <c r="N241" s="70"/>
      <c r="P241" s="71"/>
      <c r="Q241" s="51"/>
      <c r="R241" s="31"/>
    </row>
    <row r="242" spans="1:18" x14ac:dyDescent="0.2">
      <c r="A242" s="238"/>
      <c r="B242" s="90" t="s">
        <v>699</v>
      </c>
      <c r="C242" s="242" t="s">
        <v>992</v>
      </c>
      <c r="D242" s="282"/>
      <c r="E242" s="272"/>
      <c r="F242" s="79"/>
      <c r="G242" s="47">
        <f>SUMIF(JournalsB!D$14:D$920,TrialBalanceB!M242,JournalsB!J$14:J$920)+SUMIF(JournalsB!E$14:E$920,TrialBalanceB!M242,JournalsB!J$14:J$920)</f>
        <v>0</v>
      </c>
      <c r="H242" s="288"/>
      <c r="I242" s="290">
        <f t="shared" si="56"/>
        <v>0</v>
      </c>
      <c r="J242" s="75"/>
      <c r="K242" s="48">
        <f t="shared" si="57"/>
        <v>0</v>
      </c>
      <c r="M242" s="140" t="str">
        <f t="shared" si="58"/>
        <v>6100/033Investment property - cost of sales</v>
      </c>
      <c r="N242" s="70"/>
      <c r="P242" s="71"/>
      <c r="Q242" s="51"/>
      <c r="R242" s="31"/>
    </row>
    <row r="243" spans="1:18" x14ac:dyDescent="0.2">
      <c r="A243" s="238"/>
      <c r="B243" s="90" t="s">
        <v>1064</v>
      </c>
      <c r="C243" s="242" t="s">
        <v>993</v>
      </c>
      <c r="D243" s="282"/>
      <c r="E243" s="272"/>
      <c r="F243" s="79"/>
      <c r="G243" s="47">
        <f>SUMIF(JournalsB!D$14:D$920,TrialBalanceB!M243,JournalsB!J$14:J$920)+SUMIF(JournalsB!E$14:E$920,TrialBalanceB!M243,JournalsB!J$14:J$920)</f>
        <v>0</v>
      </c>
      <c r="H243" s="288"/>
      <c r="I243" s="290">
        <f t="shared" si="56"/>
        <v>0</v>
      </c>
      <c r="J243" s="75"/>
      <c r="K243" s="48">
        <f t="shared" si="57"/>
        <v>0</v>
      </c>
      <c r="M243" s="140" t="str">
        <f t="shared" si="58"/>
        <v>6100/034Investment property - transfer from property</v>
      </c>
      <c r="N243" s="70"/>
      <c r="P243" s="71"/>
      <c r="Q243" s="51"/>
      <c r="R243" s="31"/>
    </row>
    <row r="244" spans="1:18" x14ac:dyDescent="0.2">
      <c r="A244" s="238"/>
      <c r="B244" s="90" t="s">
        <v>1083</v>
      </c>
      <c r="C244" s="242" t="s">
        <v>1084</v>
      </c>
      <c r="D244" s="282"/>
      <c r="E244" s="272"/>
      <c r="F244" s="79"/>
      <c r="G244" s="47">
        <f>SUMIF(JournalsB!D$14:D$920,TrialBalanceB!M244,JournalsB!J$14:J$920)+SUMIF(JournalsB!E$14:E$920,TrialBalanceB!M244,JournalsB!J$14:J$920)</f>
        <v>0</v>
      </c>
      <c r="H244" s="288"/>
      <c r="I244" s="290">
        <f t="shared" ref="I244" si="59">ROUND(D244-E244+G244+F244,0)</f>
        <v>0</v>
      </c>
      <c r="J244" s="75"/>
      <c r="K244" s="48">
        <f t="shared" ref="K244" si="60">ROUND(SUM(A244),0)</f>
        <v>0</v>
      </c>
      <c r="M244" s="140" t="str">
        <f t="shared" ref="M244" si="61">CONCATENATE(B244,C244)</f>
        <v>6100/035Investment property - transfer to property</v>
      </c>
      <c r="N244" s="70"/>
      <c r="P244" s="71"/>
      <c r="Q244" s="51"/>
      <c r="R244" s="31"/>
    </row>
    <row r="245" spans="1:18" x14ac:dyDescent="0.2">
      <c r="A245" s="238"/>
      <c r="B245" s="90" t="s">
        <v>1065</v>
      </c>
      <c r="C245" s="239" t="s">
        <v>1069</v>
      </c>
      <c r="D245" s="282"/>
      <c r="E245" s="272"/>
      <c r="F245" s="79"/>
      <c r="G245" s="47">
        <f>SUMIF(JournalsB!D$14:D$920,TrialBalanceB!M245,JournalsB!J$14:J$920)+SUMIF(JournalsB!E$14:E$920,TrialBalanceB!M245,JournalsB!J$14:J$920)</f>
        <v>0</v>
      </c>
      <c r="H245" s="288"/>
      <c r="I245" s="290">
        <f t="shared" ref="I245:I249" si="62">ROUND(D245-E245+G245+F245,0)</f>
        <v>0</v>
      </c>
      <c r="J245" s="75"/>
      <c r="K245" s="48">
        <f t="shared" ref="K245:K249" si="63">ROUND(SUM(A245),0)</f>
        <v>0</v>
      </c>
      <c r="M245" s="140" t="str">
        <f t="shared" ref="M245:M249" si="64">CONCATENATE(B245,C245)</f>
        <v>6100/040INVESTMENT PROPERTY - VALUATION</v>
      </c>
      <c r="N245" s="70"/>
      <c r="P245" s="71"/>
      <c r="Q245" s="51"/>
      <c r="R245" s="31"/>
    </row>
    <row r="246" spans="1:18" x14ac:dyDescent="0.2">
      <c r="A246" s="238"/>
      <c r="B246" s="90" t="s">
        <v>1066</v>
      </c>
      <c r="C246" s="242" t="s">
        <v>1070</v>
      </c>
      <c r="D246" s="282"/>
      <c r="E246" s="272"/>
      <c r="F246" s="79">
        <f>SUM(K246:K249)</f>
        <v>0</v>
      </c>
      <c r="G246" s="47">
        <f>SUMIF(JournalsB!D$14:D$920,TrialBalanceB!M246,JournalsB!J$14:J$920)+SUMIF(JournalsB!E$14:E$920,TrialBalanceB!M246,JournalsB!J$14:J$920)</f>
        <v>0</v>
      </c>
      <c r="H246" s="288"/>
      <c r="I246" s="290">
        <f t="shared" si="62"/>
        <v>0</v>
      </c>
      <c r="J246" s="75"/>
      <c r="K246" s="48">
        <f t="shared" si="63"/>
        <v>0</v>
      </c>
      <c r="M246" s="140" t="str">
        <f t="shared" si="64"/>
        <v>6100/041Investment property - valuation b/fwd</v>
      </c>
      <c r="N246" s="70"/>
      <c r="P246" s="71"/>
      <c r="Q246" s="51"/>
      <c r="R246" s="31"/>
    </row>
    <row r="247" spans="1:18" x14ac:dyDescent="0.2">
      <c r="A247" s="238"/>
      <c r="B247" s="90" t="s">
        <v>1067</v>
      </c>
      <c r="C247" s="242" t="s">
        <v>1071</v>
      </c>
      <c r="D247" s="282"/>
      <c r="E247" s="272"/>
      <c r="F247" s="79"/>
      <c r="G247" s="47">
        <f>SUMIF(JournalsB!D$14:D$920,TrialBalanceB!M247,JournalsB!J$14:J$920)+SUMIF(JournalsB!E$14:E$920,TrialBalanceB!M247,JournalsB!J$14:J$920)</f>
        <v>0</v>
      </c>
      <c r="H247" s="288"/>
      <c r="I247" s="290">
        <f t="shared" si="62"/>
        <v>0</v>
      </c>
      <c r="J247" s="75"/>
      <c r="K247" s="48">
        <f t="shared" si="63"/>
        <v>0</v>
      </c>
      <c r="M247" s="140" t="str">
        <f t="shared" si="64"/>
        <v>6100/042Investment property - valuation additions</v>
      </c>
      <c r="N247" s="70"/>
      <c r="P247" s="71"/>
      <c r="Q247" s="51"/>
      <c r="R247" s="31"/>
    </row>
    <row r="248" spans="1:18" x14ac:dyDescent="0.2">
      <c r="A248" s="238"/>
      <c r="B248" s="90" t="s">
        <v>1068</v>
      </c>
      <c r="C248" s="242" t="s">
        <v>1086</v>
      </c>
      <c r="D248" s="282"/>
      <c r="E248" s="272"/>
      <c r="F248" s="79"/>
      <c r="G248" s="47">
        <f>SUMIF(JournalsB!D$14:D$920,TrialBalanceB!M248,JournalsB!J$14:J$920)+SUMIF(JournalsB!E$14:E$920,TrialBalanceB!M248,JournalsB!J$14:J$920)</f>
        <v>0</v>
      </c>
      <c r="H248" s="288"/>
      <c r="I248" s="290">
        <f t="shared" ref="I248" si="65">ROUND(D248-E248+G248+F248,0)</f>
        <v>0</v>
      </c>
      <c r="J248" s="75"/>
      <c r="K248" s="48">
        <f t="shared" ref="K248" si="66">ROUND(SUM(A248),0)</f>
        <v>0</v>
      </c>
      <c r="M248" s="140" t="str">
        <f t="shared" ref="M248" si="67">CONCATENATE(B248,C248)</f>
        <v>6100/043Investment property - valuation reduction on sales</v>
      </c>
      <c r="N248" s="70"/>
      <c r="P248" s="71"/>
      <c r="Q248" s="51"/>
      <c r="R248" s="31"/>
    </row>
    <row r="249" spans="1:18" x14ac:dyDescent="0.2">
      <c r="A249" s="238"/>
      <c r="B249" s="90" t="s">
        <v>1087</v>
      </c>
      <c r="C249" s="242" t="s">
        <v>1088</v>
      </c>
      <c r="D249" s="282"/>
      <c r="E249" s="272"/>
      <c r="F249" s="79"/>
      <c r="G249" s="47">
        <f>SUMIF(JournalsB!D$14:D$920,TrialBalanceB!M249,JournalsB!J$14:J$920)+SUMIF(JournalsB!E$14:E$920,TrialBalanceB!M249,JournalsB!J$14:J$920)</f>
        <v>0</v>
      </c>
      <c r="H249" s="288"/>
      <c r="I249" s="290">
        <f t="shared" si="62"/>
        <v>0</v>
      </c>
      <c r="J249" s="75"/>
      <c r="K249" s="48">
        <f t="shared" si="63"/>
        <v>0</v>
      </c>
      <c r="M249" s="140" t="str">
        <f t="shared" si="64"/>
        <v>6100/044Investment property - valuation reduction on transfers</v>
      </c>
      <c r="N249" s="70"/>
      <c r="P249" s="71"/>
      <c r="Q249" s="51"/>
      <c r="R249" s="31"/>
    </row>
    <row r="250" spans="1:18" x14ac:dyDescent="0.2">
      <c r="A250" s="238"/>
      <c r="B250" s="54" t="s">
        <v>289</v>
      </c>
      <c r="C250" s="239" t="s">
        <v>775</v>
      </c>
      <c r="D250" s="283"/>
      <c r="E250" s="272"/>
      <c r="F250" s="79"/>
      <c r="G250" s="47">
        <f>SUMIF(JournalsB!D$14:D$920,TrialBalanceB!M250,JournalsB!J$14:J$920)+SUMIF(JournalsB!E$14:E$920,TrialBalanceB!M250,JournalsB!J$14:J$920)</f>
        <v>0</v>
      </c>
      <c r="H250" s="288"/>
      <c r="I250" s="290">
        <f t="shared" si="36"/>
        <v>0</v>
      </c>
      <c r="J250" s="75"/>
      <c r="K250" s="48">
        <f t="shared" si="42"/>
        <v>0</v>
      </c>
      <c r="M250" s="140" t="str">
        <f t="shared" si="43"/>
        <v>6150/000PLANT AND MACHINERY - COST</v>
      </c>
      <c r="N250" s="70"/>
      <c r="P250" s="71"/>
      <c r="Q250" s="51"/>
      <c r="R250" s="31"/>
    </row>
    <row r="251" spans="1:18" x14ac:dyDescent="0.2">
      <c r="A251" s="238"/>
      <c r="B251" s="54" t="s">
        <v>41</v>
      </c>
      <c r="C251" s="242" t="s">
        <v>776</v>
      </c>
      <c r="D251" s="282"/>
      <c r="E251" s="272"/>
      <c r="F251" s="79">
        <f>SUM(K251:K253)</f>
        <v>0</v>
      </c>
      <c r="G251" s="47">
        <f>SUMIF(JournalsB!D$14:D$920,TrialBalanceB!M251,JournalsB!J$14:J$920)+SUMIF(JournalsB!E$14:E$920,TrialBalanceB!M251,JournalsB!J$14:J$920)</f>
        <v>0</v>
      </c>
      <c r="H251" s="288"/>
      <c r="I251" s="290">
        <f t="shared" si="36"/>
        <v>0</v>
      </c>
      <c r="J251" s="75"/>
      <c r="K251" s="48">
        <f t="shared" si="42"/>
        <v>0</v>
      </c>
      <c r="M251" s="140" t="str">
        <f t="shared" si="43"/>
        <v>6150/001Plant and machinery - cost b/fwd</v>
      </c>
      <c r="N251" s="70"/>
      <c r="P251" s="71"/>
      <c r="Q251" s="51"/>
      <c r="R251" s="31"/>
    </row>
    <row r="252" spans="1:18" x14ac:dyDescent="0.2">
      <c r="A252" s="238"/>
      <c r="B252" s="54" t="s">
        <v>42</v>
      </c>
      <c r="C252" s="242" t="s">
        <v>777</v>
      </c>
      <c r="D252" s="282"/>
      <c r="E252" s="272"/>
      <c r="F252" s="79"/>
      <c r="G252" s="47">
        <f>SUMIF(JournalsB!D$14:D$920,TrialBalanceB!M252,JournalsB!J$14:J$920)+SUMIF(JournalsB!E$14:E$920,TrialBalanceB!M252,JournalsB!J$14:J$920)</f>
        <v>0</v>
      </c>
      <c r="H252" s="288"/>
      <c r="I252" s="290">
        <f t="shared" si="36"/>
        <v>0</v>
      </c>
      <c r="J252" s="75"/>
      <c r="K252" s="48">
        <f t="shared" si="42"/>
        <v>0</v>
      </c>
      <c r="M252" s="140" t="str">
        <f t="shared" si="43"/>
        <v>6150/002Plant and machinery - additions</v>
      </c>
      <c r="N252" s="70"/>
      <c r="P252" s="71"/>
      <c r="Q252" s="51"/>
      <c r="R252" s="31"/>
    </row>
    <row r="253" spans="1:18" x14ac:dyDescent="0.2">
      <c r="A253" s="238"/>
      <c r="B253" s="54" t="s">
        <v>43</v>
      </c>
      <c r="C253" s="242" t="s">
        <v>778</v>
      </c>
      <c r="D253" s="282"/>
      <c r="E253" s="272"/>
      <c r="F253" s="79"/>
      <c r="G253" s="47">
        <f>SUMIF(JournalsB!D$14:D$920,TrialBalanceB!M253,JournalsB!J$14:J$920)+SUMIF(JournalsB!E$14:E$920,TrialBalanceB!M253,JournalsB!J$14:J$920)</f>
        <v>0</v>
      </c>
      <c r="H253" s="288"/>
      <c r="I253" s="290">
        <f t="shared" ref="I253:I354" si="68">ROUND(D253-E253+G253+F253,0)</f>
        <v>0</v>
      </c>
      <c r="J253" s="75"/>
      <c r="K253" s="48">
        <f t="shared" si="42"/>
        <v>0</v>
      </c>
      <c r="M253" s="140" t="str">
        <f t="shared" si="43"/>
        <v>6150/003Plant and machinery - cost of sales</v>
      </c>
      <c r="N253" s="70"/>
      <c r="P253" s="71"/>
      <c r="Q253" s="51"/>
      <c r="R253" s="31"/>
    </row>
    <row r="254" spans="1:18" x14ac:dyDescent="0.2">
      <c r="A254" s="238"/>
      <c r="B254" s="54" t="s">
        <v>18</v>
      </c>
      <c r="C254" s="239" t="s">
        <v>779</v>
      </c>
      <c r="D254" s="283"/>
      <c r="E254" s="272"/>
      <c r="F254" s="79"/>
      <c r="G254" s="47">
        <f>SUMIF(JournalsB!D$14:D$920,TrialBalanceB!M254,JournalsB!J$14:J$920)+SUMIF(JournalsB!E$14:E$920,TrialBalanceB!M254,JournalsB!J$14:J$920)</f>
        <v>0</v>
      </c>
      <c r="H254" s="288"/>
      <c r="I254" s="290">
        <f t="shared" si="68"/>
        <v>0</v>
      </c>
      <c r="J254" s="75"/>
      <c r="K254" s="48">
        <f t="shared" si="42"/>
        <v>0</v>
      </c>
      <c r="M254" s="140" t="str">
        <f t="shared" si="43"/>
        <v>6150/020PLANT AND MACHINERY - ACC DEPR</v>
      </c>
      <c r="N254" s="70"/>
      <c r="P254" s="71"/>
      <c r="Q254" s="51"/>
      <c r="R254" s="31"/>
    </row>
    <row r="255" spans="1:18" x14ac:dyDescent="0.2">
      <c r="A255" s="238"/>
      <c r="B255" s="54" t="s">
        <v>19</v>
      </c>
      <c r="C255" s="242" t="s">
        <v>780</v>
      </c>
      <c r="D255" s="282"/>
      <c r="E255" s="272"/>
      <c r="F255" s="79">
        <f>SUM(K255:K257)</f>
        <v>0</v>
      </c>
      <c r="G255" s="47">
        <f>SUMIF(JournalsB!D$14:D$920,TrialBalanceB!M255,JournalsB!J$14:J$920)+SUMIF(JournalsB!E$14:E$920,TrialBalanceB!M255,JournalsB!J$14:J$920)</f>
        <v>0</v>
      </c>
      <c r="H255" s="288"/>
      <c r="I255" s="290">
        <f t="shared" si="68"/>
        <v>0</v>
      </c>
      <c r="J255" s="75"/>
      <c r="K255" s="48">
        <f t="shared" si="42"/>
        <v>0</v>
      </c>
      <c r="M255" s="140" t="str">
        <f t="shared" si="43"/>
        <v>6150/021Plant and machinery - acc depr b/fwd</v>
      </c>
      <c r="N255" s="70"/>
      <c r="P255" s="71"/>
      <c r="Q255" s="51"/>
      <c r="R255" s="31"/>
    </row>
    <row r="256" spans="1:18" x14ac:dyDescent="0.2">
      <c r="A256" s="238"/>
      <c r="B256" s="54" t="s">
        <v>35</v>
      </c>
      <c r="C256" s="242" t="s">
        <v>781</v>
      </c>
      <c r="D256" s="282"/>
      <c r="E256" s="272"/>
      <c r="F256" s="79"/>
      <c r="G256" s="47">
        <f>SUMIF(JournalsB!D$14:D$920,TrialBalanceB!M256,JournalsB!J$14:J$920)+SUMIF(JournalsB!E$14:E$920,TrialBalanceB!M256,JournalsB!J$14:J$920)</f>
        <v>0</v>
      </c>
      <c r="H256" s="288"/>
      <c r="I256" s="290">
        <f t="shared" si="68"/>
        <v>0</v>
      </c>
      <c r="J256" s="75"/>
      <c r="K256" s="48">
        <f t="shared" si="42"/>
        <v>0</v>
      </c>
      <c r="M256" s="140" t="str">
        <f t="shared" si="43"/>
        <v>6150/022Plant and machinery - depr this year</v>
      </c>
      <c r="N256" s="70"/>
      <c r="P256" s="71"/>
      <c r="Q256" s="51"/>
      <c r="R256" s="31"/>
    </row>
    <row r="257" spans="1:18" x14ac:dyDescent="0.2">
      <c r="A257" s="238"/>
      <c r="B257" s="54" t="s">
        <v>36</v>
      </c>
      <c r="C257" s="242" t="s">
        <v>782</v>
      </c>
      <c r="D257" s="282"/>
      <c r="E257" s="272"/>
      <c r="F257" s="79"/>
      <c r="G257" s="47">
        <f>SUMIF(JournalsB!D$14:D$920,TrialBalanceB!M257,JournalsB!J$14:J$920)+SUMIF(JournalsB!E$14:E$920,TrialBalanceB!M257,JournalsB!J$14:J$920)</f>
        <v>0</v>
      </c>
      <c r="H257" s="288"/>
      <c r="I257" s="290">
        <f t="shared" si="68"/>
        <v>0</v>
      </c>
      <c r="J257" s="75"/>
      <c r="K257" s="48">
        <f t="shared" si="42"/>
        <v>0</v>
      </c>
      <c r="M257" s="140" t="str">
        <f t="shared" si="43"/>
        <v>6150/023Plant and machinery - acc depr on sales</v>
      </c>
      <c r="N257" s="70"/>
      <c r="P257" s="71"/>
      <c r="Q257" s="51"/>
      <c r="R257" s="31"/>
    </row>
    <row r="258" spans="1:18" x14ac:dyDescent="0.2">
      <c r="A258" s="238"/>
      <c r="B258" s="54" t="s">
        <v>37</v>
      </c>
      <c r="C258" s="239" t="s">
        <v>38</v>
      </c>
      <c r="D258" s="283"/>
      <c r="E258" s="272"/>
      <c r="F258" s="79"/>
      <c r="G258" s="47">
        <f>SUMIF(JournalsB!D$14:D$920,TrialBalanceB!M258,JournalsB!J$14:J$920)+SUMIF(JournalsB!E$14:E$920,TrialBalanceB!M258,JournalsB!J$14:J$920)</f>
        <v>0</v>
      </c>
      <c r="H258" s="288"/>
      <c r="I258" s="290">
        <f t="shared" si="68"/>
        <v>0</v>
      </c>
      <c r="J258" s="75"/>
      <c r="K258" s="48">
        <f t="shared" si="42"/>
        <v>0</v>
      </c>
      <c r="M258" s="140" t="str">
        <f t="shared" si="43"/>
        <v>6200/000MOTOR VEHICLES - COST</v>
      </c>
      <c r="N258" s="70"/>
      <c r="P258" s="71"/>
      <c r="Q258" s="51"/>
      <c r="R258" s="31"/>
    </row>
    <row r="259" spans="1:18" x14ac:dyDescent="0.2">
      <c r="A259" s="238"/>
      <c r="B259" s="54" t="s">
        <v>39</v>
      </c>
      <c r="C259" s="242" t="s">
        <v>783</v>
      </c>
      <c r="D259" s="282"/>
      <c r="E259" s="272"/>
      <c r="F259" s="79">
        <f>SUM(K259:K261)</f>
        <v>0</v>
      </c>
      <c r="G259" s="47">
        <f>SUMIF(JournalsB!D$14:D$920,TrialBalanceB!M259,JournalsB!J$14:J$920)+SUMIF(JournalsB!E$14:E$920,TrialBalanceB!M259,JournalsB!J$14:J$920)</f>
        <v>0</v>
      </c>
      <c r="H259" s="288"/>
      <c r="I259" s="290">
        <f t="shared" si="68"/>
        <v>0</v>
      </c>
      <c r="J259" s="75"/>
      <c r="K259" s="48">
        <f t="shared" si="42"/>
        <v>0</v>
      </c>
      <c r="M259" s="140" t="str">
        <f t="shared" si="43"/>
        <v>6200/001Motor vehicles - cost b/fwd</v>
      </c>
      <c r="N259" s="70"/>
      <c r="P259" s="71"/>
      <c r="Q259" s="51"/>
      <c r="R259" s="31"/>
    </row>
    <row r="260" spans="1:18" x14ac:dyDescent="0.2">
      <c r="A260" s="238"/>
      <c r="B260" s="54" t="s">
        <v>40</v>
      </c>
      <c r="C260" s="242" t="s">
        <v>784</v>
      </c>
      <c r="D260" s="282"/>
      <c r="E260" s="272"/>
      <c r="F260" s="79"/>
      <c r="G260" s="47">
        <f>SUMIF(JournalsB!D$14:D$920,TrialBalanceB!M260,JournalsB!J$14:J$920)+SUMIF(JournalsB!E$14:E$920,TrialBalanceB!M260,JournalsB!J$14:J$920)</f>
        <v>0</v>
      </c>
      <c r="H260" s="288"/>
      <c r="I260" s="290">
        <f t="shared" si="68"/>
        <v>0</v>
      </c>
      <c r="J260" s="75"/>
      <c r="K260" s="48">
        <f t="shared" si="42"/>
        <v>0</v>
      </c>
      <c r="M260" s="140" t="str">
        <f t="shared" si="43"/>
        <v>6200/002Motor vehicles - additions</v>
      </c>
      <c r="N260" s="70"/>
      <c r="P260" s="71"/>
      <c r="Q260" s="51"/>
      <c r="R260" s="31"/>
    </row>
    <row r="261" spans="1:18" x14ac:dyDescent="0.2">
      <c r="A261" s="238"/>
      <c r="B261" s="54" t="s">
        <v>481</v>
      </c>
      <c r="C261" s="242" t="s">
        <v>785</v>
      </c>
      <c r="D261" s="282"/>
      <c r="E261" s="272"/>
      <c r="F261" s="79"/>
      <c r="G261" s="47">
        <f>SUMIF(JournalsB!D$14:D$920,TrialBalanceB!M261,JournalsB!J$14:J$920)+SUMIF(JournalsB!E$14:E$920,TrialBalanceB!M261,JournalsB!J$14:J$920)</f>
        <v>0</v>
      </c>
      <c r="H261" s="288"/>
      <c r="I261" s="290">
        <f t="shared" si="68"/>
        <v>0</v>
      </c>
      <c r="J261" s="75"/>
      <c r="K261" s="48">
        <f t="shared" si="42"/>
        <v>0</v>
      </c>
      <c r="M261" s="140" t="str">
        <f t="shared" si="43"/>
        <v>6200/003Motor vehicles - cost of sales</v>
      </c>
      <c r="N261" s="70"/>
      <c r="P261" s="71"/>
      <c r="Q261" s="51"/>
      <c r="R261" s="31"/>
    </row>
    <row r="262" spans="1:18" x14ac:dyDescent="0.2">
      <c r="A262" s="238"/>
      <c r="B262" s="54" t="s">
        <v>0</v>
      </c>
      <c r="C262" s="239" t="s">
        <v>1</v>
      </c>
      <c r="D262" s="283"/>
      <c r="E262" s="272"/>
      <c r="F262" s="79"/>
      <c r="G262" s="47">
        <f>SUMIF(JournalsB!D$14:D$920,TrialBalanceB!M262,JournalsB!J$14:J$920)+SUMIF(JournalsB!E$14:E$920,TrialBalanceB!M262,JournalsB!J$14:J$920)</f>
        <v>0</v>
      </c>
      <c r="H262" s="288"/>
      <c r="I262" s="290">
        <f t="shared" si="68"/>
        <v>0</v>
      </c>
      <c r="J262" s="75"/>
      <c r="K262" s="48">
        <f t="shared" si="42"/>
        <v>0</v>
      </c>
      <c r="M262" s="140" t="str">
        <f t="shared" si="43"/>
        <v>6200/020MOTOR VEHICLES - ACC DEPR</v>
      </c>
      <c r="N262" s="70"/>
      <c r="P262" s="71"/>
      <c r="Q262" s="51"/>
      <c r="R262" s="31"/>
    </row>
    <row r="263" spans="1:18" x14ac:dyDescent="0.2">
      <c r="A263" s="238"/>
      <c r="B263" s="54" t="s">
        <v>2</v>
      </c>
      <c r="C263" s="242" t="s">
        <v>786</v>
      </c>
      <c r="D263" s="282"/>
      <c r="E263" s="272"/>
      <c r="F263" s="79">
        <f>SUM(K263:K265)</f>
        <v>0</v>
      </c>
      <c r="G263" s="47">
        <f>SUMIF(JournalsB!D$14:D$920,TrialBalanceB!M263,JournalsB!J$14:J$920)+SUMIF(JournalsB!E$14:E$920,TrialBalanceB!M263,JournalsB!J$14:J$920)</f>
        <v>0</v>
      </c>
      <c r="H263" s="288"/>
      <c r="I263" s="290">
        <f t="shared" si="68"/>
        <v>0</v>
      </c>
      <c r="J263" s="75"/>
      <c r="K263" s="48">
        <f t="shared" si="42"/>
        <v>0</v>
      </c>
      <c r="M263" s="140" t="str">
        <f t="shared" si="43"/>
        <v>6200/021Motor vehicles - acc depr b/fwd</v>
      </c>
      <c r="N263" s="70"/>
      <c r="P263" s="71"/>
      <c r="Q263" s="51"/>
      <c r="R263" s="31"/>
    </row>
    <row r="264" spans="1:18" x14ac:dyDescent="0.2">
      <c r="A264" s="238"/>
      <c r="B264" s="54" t="s">
        <v>3</v>
      </c>
      <c r="C264" s="242" t="s">
        <v>787</v>
      </c>
      <c r="D264" s="282"/>
      <c r="E264" s="272"/>
      <c r="F264" s="79"/>
      <c r="G264" s="47">
        <f>SUMIF(JournalsB!D$14:D$920,TrialBalanceB!M264,JournalsB!J$14:J$920)+SUMIF(JournalsB!E$14:E$920,TrialBalanceB!M264,JournalsB!J$14:J$920)</f>
        <v>0</v>
      </c>
      <c r="H264" s="288"/>
      <c r="I264" s="290">
        <f t="shared" si="68"/>
        <v>0</v>
      </c>
      <c r="J264" s="75"/>
      <c r="K264" s="48">
        <f t="shared" si="42"/>
        <v>0</v>
      </c>
      <c r="M264" s="140" t="str">
        <f t="shared" si="43"/>
        <v>6200/022Motor vehicles - depr this year</v>
      </c>
      <c r="N264" s="70"/>
      <c r="P264" s="71"/>
      <c r="Q264" s="51"/>
      <c r="R264" s="31"/>
    </row>
    <row r="265" spans="1:18" x14ac:dyDescent="0.2">
      <c r="A265" s="238"/>
      <c r="B265" s="54" t="s">
        <v>4</v>
      </c>
      <c r="C265" s="242" t="s">
        <v>788</v>
      </c>
      <c r="D265" s="282"/>
      <c r="E265" s="272"/>
      <c r="F265" s="79"/>
      <c r="G265" s="47">
        <f>SUMIF(JournalsB!D$14:D$920,TrialBalanceB!M265,JournalsB!J$14:J$920)+SUMIF(JournalsB!E$14:E$920,TrialBalanceB!M265,JournalsB!J$14:J$920)</f>
        <v>0</v>
      </c>
      <c r="H265" s="288"/>
      <c r="I265" s="290">
        <f t="shared" si="68"/>
        <v>0</v>
      </c>
      <c r="J265" s="75"/>
      <c r="K265" s="48">
        <f t="shared" si="42"/>
        <v>0</v>
      </c>
      <c r="M265" s="140" t="str">
        <f t="shared" si="43"/>
        <v>6200/023Motor vehicles - acc depr on sales</v>
      </c>
      <c r="N265" s="70"/>
      <c r="P265" s="71"/>
      <c r="Q265" s="51"/>
      <c r="R265" s="31"/>
    </row>
    <row r="266" spans="1:18" x14ac:dyDescent="0.2">
      <c r="A266" s="238"/>
      <c r="B266" s="54" t="s">
        <v>5</v>
      </c>
      <c r="C266" s="239" t="s">
        <v>121</v>
      </c>
      <c r="D266" s="283"/>
      <c r="E266" s="272"/>
      <c r="F266" s="79"/>
      <c r="G266" s="47">
        <f>SUMIF(JournalsB!D$14:D$920,TrialBalanceB!M266,JournalsB!J$14:J$920)+SUMIF(JournalsB!E$14:E$920,TrialBalanceB!M266,JournalsB!J$14:J$920)</f>
        <v>0</v>
      </c>
      <c r="H266" s="288"/>
      <c r="I266" s="290">
        <f t="shared" si="68"/>
        <v>0</v>
      </c>
      <c r="J266" s="75"/>
      <c r="K266" s="48">
        <f t="shared" si="42"/>
        <v>0</v>
      </c>
      <c r="M266" s="140" t="str">
        <f t="shared" si="43"/>
        <v>6250/000ELECTRONIC EQUIPMENT - COST</v>
      </c>
      <c r="N266" s="70"/>
      <c r="P266" s="71"/>
      <c r="Q266" s="51"/>
      <c r="R266" s="31"/>
    </row>
    <row r="267" spans="1:18" x14ac:dyDescent="0.2">
      <c r="A267" s="238"/>
      <c r="B267" s="54" t="s">
        <v>6</v>
      </c>
      <c r="C267" s="242" t="s">
        <v>789</v>
      </c>
      <c r="D267" s="282"/>
      <c r="E267" s="272"/>
      <c r="F267" s="79">
        <f>SUM(K267:K269)</f>
        <v>0</v>
      </c>
      <c r="G267" s="47">
        <f>SUMIF(JournalsB!D$14:D$920,TrialBalanceB!M267,JournalsB!J$14:J$920)+SUMIF(JournalsB!E$14:E$920,TrialBalanceB!M267,JournalsB!J$14:J$920)</f>
        <v>0</v>
      </c>
      <c r="H267" s="288"/>
      <c r="I267" s="290">
        <f t="shared" si="68"/>
        <v>0</v>
      </c>
      <c r="J267" s="75"/>
      <c r="K267" s="48">
        <f t="shared" si="42"/>
        <v>0</v>
      </c>
      <c r="M267" s="140" t="str">
        <f t="shared" si="43"/>
        <v>6250/001Electronic equipment - cost b/fwd</v>
      </c>
      <c r="N267" s="70"/>
      <c r="P267" s="71"/>
      <c r="Q267" s="51"/>
      <c r="R267" s="31"/>
    </row>
    <row r="268" spans="1:18" x14ac:dyDescent="0.2">
      <c r="A268" s="238"/>
      <c r="B268" s="54" t="s">
        <v>7</v>
      </c>
      <c r="C268" s="242" t="s">
        <v>790</v>
      </c>
      <c r="D268" s="282"/>
      <c r="E268" s="272"/>
      <c r="F268" s="79"/>
      <c r="G268" s="47">
        <f>SUMIF(JournalsB!D$14:D$920,TrialBalanceB!M268,JournalsB!J$14:J$920)+SUMIF(JournalsB!E$14:E$920,TrialBalanceB!M268,JournalsB!J$14:J$920)</f>
        <v>0</v>
      </c>
      <c r="H268" s="288"/>
      <c r="I268" s="290">
        <f t="shared" si="68"/>
        <v>0</v>
      </c>
      <c r="J268" s="75"/>
      <c r="K268" s="48">
        <f t="shared" si="42"/>
        <v>0</v>
      </c>
      <c r="M268" s="140" t="str">
        <f t="shared" si="43"/>
        <v>6250/002Electronic equipment - additions</v>
      </c>
      <c r="N268" s="70"/>
      <c r="P268" s="71"/>
      <c r="Q268" s="51"/>
      <c r="R268" s="31"/>
    </row>
    <row r="269" spans="1:18" x14ac:dyDescent="0.2">
      <c r="A269" s="238"/>
      <c r="B269" s="54" t="s">
        <v>8</v>
      </c>
      <c r="C269" s="242" t="s">
        <v>791</v>
      </c>
      <c r="D269" s="282"/>
      <c r="E269" s="272"/>
      <c r="F269" s="79"/>
      <c r="G269" s="47">
        <f>SUMIF(JournalsB!D$14:D$920,TrialBalanceB!M269,JournalsB!J$14:J$920)+SUMIF(JournalsB!E$14:E$920,TrialBalanceB!M269,JournalsB!J$14:J$920)</f>
        <v>0</v>
      </c>
      <c r="H269" s="288"/>
      <c r="I269" s="290">
        <f t="shared" si="68"/>
        <v>0</v>
      </c>
      <c r="J269" s="75"/>
      <c r="K269" s="48">
        <f t="shared" si="42"/>
        <v>0</v>
      </c>
      <c r="M269" s="140" t="str">
        <f t="shared" si="43"/>
        <v>6250/003Electronic equipment - cost of sales</v>
      </c>
      <c r="N269" s="70"/>
      <c r="P269" s="71"/>
      <c r="Q269" s="51"/>
      <c r="R269" s="31"/>
    </row>
    <row r="270" spans="1:18" x14ac:dyDescent="0.2">
      <c r="A270" s="238"/>
      <c r="B270" s="54" t="s">
        <v>9</v>
      </c>
      <c r="C270" s="239" t="s">
        <v>122</v>
      </c>
      <c r="D270" s="283"/>
      <c r="E270" s="272"/>
      <c r="F270" s="79"/>
      <c r="G270" s="47">
        <f>SUMIF(JournalsB!D$14:D$920,TrialBalanceB!M270,JournalsB!J$14:J$920)+SUMIF(JournalsB!E$14:E$920,TrialBalanceB!M270,JournalsB!J$14:J$920)</f>
        <v>0</v>
      </c>
      <c r="H270" s="288"/>
      <c r="I270" s="290">
        <f t="shared" si="68"/>
        <v>0</v>
      </c>
      <c r="J270" s="75"/>
      <c r="K270" s="48">
        <f t="shared" si="42"/>
        <v>0</v>
      </c>
      <c r="M270" s="140" t="str">
        <f t="shared" si="43"/>
        <v>6250/020ELECTRONIC EQUIPMENT - ACC DEPR</v>
      </c>
      <c r="N270" s="70"/>
      <c r="P270" s="71"/>
      <c r="Q270" s="51"/>
      <c r="R270" s="31"/>
    </row>
    <row r="271" spans="1:18" x14ac:dyDescent="0.2">
      <c r="A271" s="238"/>
      <c r="B271" s="54" t="s">
        <v>10</v>
      </c>
      <c r="C271" s="242" t="s">
        <v>792</v>
      </c>
      <c r="D271" s="282"/>
      <c r="E271" s="272"/>
      <c r="F271" s="79">
        <f>SUM(K271:K273)</f>
        <v>0</v>
      </c>
      <c r="G271" s="47">
        <f>SUMIF(JournalsB!D$14:D$920,TrialBalanceB!M271,JournalsB!J$14:J$920)+SUMIF(JournalsB!E$14:E$920,TrialBalanceB!M271,JournalsB!J$14:J$920)</f>
        <v>0</v>
      </c>
      <c r="H271" s="288"/>
      <c r="I271" s="290">
        <f t="shared" si="68"/>
        <v>0</v>
      </c>
      <c r="J271" s="75"/>
      <c r="K271" s="48">
        <f t="shared" si="42"/>
        <v>0</v>
      </c>
      <c r="M271" s="140" t="str">
        <f t="shared" si="43"/>
        <v>6250/021Electronic equipment - acc depr b/fwd</v>
      </c>
      <c r="N271" s="70"/>
      <c r="P271" s="71"/>
      <c r="Q271" s="51"/>
      <c r="R271" s="31"/>
    </row>
    <row r="272" spans="1:18" x14ac:dyDescent="0.2">
      <c r="A272" s="238"/>
      <c r="B272" s="54" t="s">
        <v>11</v>
      </c>
      <c r="C272" s="242" t="s">
        <v>793</v>
      </c>
      <c r="D272" s="282"/>
      <c r="E272" s="272"/>
      <c r="F272" s="79"/>
      <c r="G272" s="47">
        <f>SUMIF(JournalsB!D$14:D$920,TrialBalanceB!M272,JournalsB!J$14:J$920)+SUMIF(JournalsB!E$14:E$920,TrialBalanceB!M272,JournalsB!J$14:J$920)</f>
        <v>0</v>
      </c>
      <c r="H272" s="288"/>
      <c r="I272" s="290">
        <f t="shared" si="68"/>
        <v>0</v>
      </c>
      <c r="J272" s="75"/>
      <c r="K272" s="48">
        <f t="shared" si="42"/>
        <v>0</v>
      </c>
      <c r="M272" s="140" t="str">
        <f t="shared" si="43"/>
        <v>6250/022Electronic equipment - depr this year</v>
      </c>
      <c r="N272" s="70"/>
      <c r="P272" s="71"/>
      <c r="Q272" s="51"/>
      <c r="R272" s="31"/>
    </row>
    <row r="273" spans="1:18" x14ac:dyDescent="0.2">
      <c r="A273" s="238"/>
      <c r="B273" s="54" t="s">
        <v>12</v>
      </c>
      <c r="C273" s="242" t="s">
        <v>794</v>
      </c>
      <c r="D273" s="282"/>
      <c r="E273" s="272"/>
      <c r="F273" s="79"/>
      <c r="G273" s="47">
        <f>SUMIF(JournalsB!D$14:D$920,TrialBalanceB!M273,JournalsB!J$14:J$920)+SUMIF(JournalsB!E$14:E$920,TrialBalanceB!M273,JournalsB!J$14:J$920)</f>
        <v>0</v>
      </c>
      <c r="H273" s="288"/>
      <c r="I273" s="290">
        <f t="shared" si="68"/>
        <v>0</v>
      </c>
      <c r="J273" s="75"/>
      <c r="K273" s="48">
        <f t="shared" si="42"/>
        <v>0</v>
      </c>
      <c r="M273" s="140" t="str">
        <f t="shared" si="43"/>
        <v>6250/023Electronic equipment - acc depr on sales</v>
      </c>
      <c r="N273" s="70"/>
      <c r="P273" s="71"/>
      <c r="Q273" s="51"/>
      <c r="R273" s="31"/>
    </row>
    <row r="274" spans="1:18" x14ac:dyDescent="0.2">
      <c r="A274" s="238"/>
      <c r="B274" s="54" t="s">
        <v>16</v>
      </c>
      <c r="C274" s="239" t="s">
        <v>795</v>
      </c>
      <c r="D274" s="283"/>
      <c r="E274" s="272"/>
      <c r="F274" s="79"/>
      <c r="G274" s="47">
        <f>SUMIF(JournalsB!D$14:D$920,TrialBalanceB!M274,JournalsB!J$14:J$920)+SUMIF(JournalsB!E$14:E$920,TrialBalanceB!M274,JournalsB!J$14:J$920)</f>
        <v>0</v>
      </c>
      <c r="H274" s="288"/>
      <c r="I274" s="290">
        <f t="shared" si="68"/>
        <v>0</v>
      </c>
      <c r="J274" s="75"/>
      <c r="K274" s="48">
        <f t="shared" si="42"/>
        <v>0</v>
      </c>
      <c r="M274" s="140" t="str">
        <f t="shared" si="43"/>
        <v>6350/000FURNITURE AND FITTINGS - COST</v>
      </c>
      <c r="N274" s="70"/>
      <c r="P274" s="71"/>
      <c r="Q274" s="51"/>
      <c r="R274" s="31"/>
    </row>
    <row r="275" spans="1:18" x14ac:dyDescent="0.2">
      <c r="A275" s="238"/>
      <c r="B275" s="54" t="s">
        <v>17</v>
      </c>
      <c r="C275" s="242" t="s">
        <v>796</v>
      </c>
      <c r="D275" s="282"/>
      <c r="E275" s="272"/>
      <c r="F275" s="79">
        <f>SUM(K275:K277)</f>
        <v>0</v>
      </c>
      <c r="G275" s="47">
        <f>SUMIF(JournalsB!D$14:D$920,TrialBalanceB!M275,JournalsB!J$14:J$920)+SUMIF(JournalsB!E$14:E$920,TrialBalanceB!M275,JournalsB!J$14:J$920)</f>
        <v>0</v>
      </c>
      <c r="H275" s="288"/>
      <c r="I275" s="290">
        <f t="shared" si="68"/>
        <v>0</v>
      </c>
      <c r="J275" s="75"/>
      <c r="K275" s="48">
        <f t="shared" si="42"/>
        <v>0</v>
      </c>
      <c r="M275" s="140" t="str">
        <f t="shared" si="43"/>
        <v>6350/001Furniture and fittings - cost b/fwd</v>
      </c>
      <c r="N275" s="70"/>
      <c r="P275" s="71"/>
      <c r="Q275" s="51"/>
      <c r="R275" s="31"/>
    </row>
    <row r="276" spans="1:18" x14ac:dyDescent="0.2">
      <c r="A276" s="238"/>
      <c r="B276" s="54" t="s">
        <v>425</v>
      </c>
      <c r="C276" s="242" t="s">
        <v>797</v>
      </c>
      <c r="D276" s="282"/>
      <c r="E276" s="272"/>
      <c r="F276" s="79"/>
      <c r="G276" s="47">
        <f>SUMIF(JournalsB!D$14:D$920,TrialBalanceB!M276,JournalsB!J$14:J$920)+SUMIF(JournalsB!E$14:E$920,TrialBalanceB!M276,JournalsB!J$14:J$920)</f>
        <v>0</v>
      </c>
      <c r="H276" s="288"/>
      <c r="I276" s="290">
        <f t="shared" si="68"/>
        <v>0</v>
      </c>
      <c r="J276" s="75"/>
      <c r="K276" s="48">
        <f t="shared" si="42"/>
        <v>0</v>
      </c>
      <c r="M276" s="140" t="str">
        <f t="shared" si="43"/>
        <v>6350/002Furniture and fittings - additions</v>
      </c>
      <c r="N276" s="70"/>
      <c r="P276" s="71"/>
      <c r="Q276" s="51"/>
      <c r="R276" s="31"/>
    </row>
    <row r="277" spans="1:18" x14ac:dyDescent="0.2">
      <c r="A277" s="238"/>
      <c r="B277" s="54" t="s">
        <v>441</v>
      </c>
      <c r="C277" s="242" t="s">
        <v>798</v>
      </c>
      <c r="D277" s="282"/>
      <c r="E277" s="272"/>
      <c r="F277" s="79"/>
      <c r="G277" s="47">
        <f>SUMIF(JournalsB!D$14:D$920,TrialBalanceB!M277,JournalsB!J$14:J$920)+SUMIF(JournalsB!E$14:E$920,TrialBalanceB!M277,JournalsB!J$14:J$920)</f>
        <v>0</v>
      </c>
      <c r="H277" s="288"/>
      <c r="I277" s="290">
        <f t="shared" si="68"/>
        <v>0</v>
      </c>
      <c r="J277" s="75"/>
      <c r="K277" s="48">
        <f t="shared" si="42"/>
        <v>0</v>
      </c>
      <c r="M277" s="140" t="str">
        <f t="shared" si="43"/>
        <v>6350/003Furniture and fittings - cost of sales</v>
      </c>
      <c r="N277" s="70"/>
      <c r="P277" s="71"/>
      <c r="Q277" s="51"/>
      <c r="R277" s="31"/>
    </row>
    <row r="278" spans="1:18" x14ac:dyDescent="0.2">
      <c r="A278" s="238"/>
      <c r="B278" s="54" t="s">
        <v>272</v>
      </c>
      <c r="C278" s="239" t="s">
        <v>799</v>
      </c>
      <c r="D278" s="283"/>
      <c r="E278" s="272"/>
      <c r="F278" s="79"/>
      <c r="G278" s="47">
        <f>SUMIF(JournalsB!D$14:D$920,TrialBalanceB!M278,JournalsB!J$14:J$920)+SUMIF(JournalsB!E$14:E$920,TrialBalanceB!M278,JournalsB!J$14:J$920)</f>
        <v>0</v>
      </c>
      <c r="H278" s="288"/>
      <c r="I278" s="290">
        <f t="shared" si="68"/>
        <v>0</v>
      </c>
      <c r="J278" s="75"/>
      <c r="K278" s="48">
        <f t="shared" si="42"/>
        <v>0</v>
      </c>
      <c r="M278" s="140" t="str">
        <f t="shared" si="43"/>
        <v>6350/020FURNITURE AND FITTINGS - ACC DEPR</v>
      </c>
      <c r="N278" s="70"/>
      <c r="P278" s="71"/>
      <c r="Q278" s="51"/>
      <c r="R278" s="31"/>
    </row>
    <row r="279" spans="1:18" x14ac:dyDescent="0.2">
      <c r="A279" s="238"/>
      <c r="B279" s="54" t="s">
        <v>153</v>
      </c>
      <c r="C279" s="242" t="s">
        <v>800</v>
      </c>
      <c r="D279" s="282"/>
      <c r="E279" s="272"/>
      <c r="F279" s="79">
        <f>SUM(K279:K281)</f>
        <v>0</v>
      </c>
      <c r="G279" s="47">
        <f>SUMIF(JournalsB!D$14:D$920,TrialBalanceB!M279,JournalsB!J$14:J$920)+SUMIF(JournalsB!E$14:E$920,TrialBalanceB!M279,JournalsB!J$14:J$920)</f>
        <v>0</v>
      </c>
      <c r="H279" s="288"/>
      <c r="I279" s="290">
        <f t="shared" si="68"/>
        <v>0</v>
      </c>
      <c r="J279" s="75"/>
      <c r="K279" s="48">
        <f t="shared" si="42"/>
        <v>0</v>
      </c>
      <c r="M279" s="140" t="str">
        <f t="shared" si="43"/>
        <v>6350/021Furniture and fittings - acc depr b/fwd</v>
      </c>
      <c r="N279" s="70"/>
      <c r="P279" s="71"/>
      <c r="Q279" s="51"/>
      <c r="R279" s="31"/>
    </row>
    <row r="280" spans="1:18" x14ac:dyDescent="0.2">
      <c r="A280" s="238"/>
      <c r="B280" s="54" t="s">
        <v>154</v>
      </c>
      <c r="C280" s="242" t="s">
        <v>801</v>
      </c>
      <c r="D280" s="282"/>
      <c r="E280" s="272"/>
      <c r="F280" s="79"/>
      <c r="G280" s="47">
        <f>SUMIF(JournalsB!D$14:D$920,TrialBalanceB!M280,JournalsB!J$14:J$920)+SUMIF(JournalsB!E$14:E$920,TrialBalanceB!M280,JournalsB!J$14:J$920)</f>
        <v>0</v>
      </c>
      <c r="H280" s="288"/>
      <c r="I280" s="290">
        <f t="shared" si="68"/>
        <v>0</v>
      </c>
      <c r="J280" s="75"/>
      <c r="K280" s="48">
        <f t="shared" si="42"/>
        <v>0</v>
      </c>
      <c r="M280" s="140" t="str">
        <f t="shared" si="43"/>
        <v>6350/022Furniture and fittings - depr this year</v>
      </c>
      <c r="N280" s="70"/>
      <c r="P280" s="71"/>
      <c r="Q280" s="51"/>
      <c r="R280" s="31"/>
    </row>
    <row r="281" spans="1:18" x14ac:dyDescent="0.2">
      <c r="A281" s="238"/>
      <c r="B281" s="54" t="s">
        <v>244</v>
      </c>
      <c r="C281" s="242" t="s">
        <v>802</v>
      </c>
      <c r="D281" s="282"/>
      <c r="E281" s="272"/>
      <c r="F281" s="79"/>
      <c r="G281" s="47">
        <f>SUMIF(JournalsB!D$14:D$920,TrialBalanceB!M281,JournalsB!J$14:J$920)+SUMIF(JournalsB!E$14:E$920,TrialBalanceB!M281,JournalsB!J$14:J$920)</f>
        <v>0</v>
      </c>
      <c r="H281" s="288"/>
      <c r="I281" s="290">
        <f t="shared" si="68"/>
        <v>0</v>
      </c>
      <c r="J281" s="75"/>
      <c r="K281" s="48">
        <f t="shared" si="42"/>
        <v>0</v>
      </c>
      <c r="M281" s="140" t="str">
        <f t="shared" si="43"/>
        <v>6350/023Furniture and fittings - acc depr on sales</v>
      </c>
      <c r="N281" s="70"/>
      <c r="P281" s="71"/>
      <c r="Q281" s="51"/>
      <c r="R281" s="31"/>
    </row>
    <row r="282" spans="1:18" x14ac:dyDescent="0.2">
      <c r="A282" s="238"/>
      <c r="B282" s="54" t="s">
        <v>463</v>
      </c>
      <c r="C282" s="239" t="s">
        <v>45</v>
      </c>
      <c r="D282" s="283"/>
      <c r="E282" s="272"/>
      <c r="F282" s="79"/>
      <c r="G282" s="47">
        <f>SUMIF(JournalsB!D$14:D$920,TrialBalanceB!M282,JournalsB!J$14:J$920)+SUMIF(JournalsB!E$14:E$920,TrialBalanceB!M282,JournalsB!J$14:J$920)</f>
        <v>0</v>
      </c>
      <c r="H282" s="288"/>
      <c r="I282" s="290">
        <f t="shared" si="68"/>
        <v>0</v>
      </c>
      <c r="J282" s="75"/>
      <c r="K282" s="48">
        <f t="shared" si="42"/>
        <v>0</v>
      </c>
      <c r="M282" s="140" t="str">
        <f t="shared" si="43"/>
        <v>7000/000INTANGIBLE ASSETS</v>
      </c>
      <c r="N282" s="70"/>
      <c r="P282" s="71"/>
      <c r="Q282" s="51"/>
      <c r="R282" s="31"/>
    </row>
    <row r="283" spans="1:18" x14ac:dyDescent="0.2">
      <c r="A283" s="238"/>
      <c r="B283" s="90" t="s">
        <v>1021</v>
      </c>
      <c r="C283" s="239" t="s">
        <v>1022</v>
      </c>
      <c r="D283" s="283"/>
      <c r="E283" s="272"/>
      <c r="F283" s="79"/>
      <c r="G283" s="47">
        <f>SUMIF(JournalsB!D$14:D$920,TrialBalanceB!M283,JournalsB!J$14:J$920)+SUMIF(JournalsB!E$14:E$920,TrialBalanceB!M283,JournalsB!J$14:J$920)</f>
        <v>0</v>
      </c>
      <c r="H283" s="288"/>
      <c r="I283" s="290">
        <f t="shared" ref="I283:I300" si="69">ROUND(D283-E283+G283+F283,0)</f>
        <v>0</v>
      </c>
      <c r="J283" s="75"/>
      <c r="K283" s="48">
        <f t="shared" ref="K283:K300" si="70">ROUND(SUM(A283),0)</f>
        <v>0</v>
      </c>
      <c r="M283" s="140" t="str">
        <f t="shared" ref="M283:M300" si="71">CONCATENATE(B283,C283)</f>
        <v>7000/001GOODWILL - COST</v>
      </c>
      <c r="N283" s="70"/>
      <c r="P283" s="71"/>
      <c r="Q283" s="51"/>
      <c r="R283" s="31"/>
    </row>
    <row r="284" spans="1:18" x14ac:dyDescent="0.2">
      <c r="A284" s="238"/>
      <c r="B284" s="90" t="s">
        <v>1023</v>
      </c>
      <c r="C284" s="242" t="s">
        <v>1024</v>
      </c>
      <c r="D284" s="283"/>
      <c r="E284" s="272"/>
      <c r="F284" s="79">
        <f>SUM(K284:K285)</f>
        <v>0</v>
      </c>
      <c r="G284" s="47">
        <f>SUMIF(JournalsB!D$14:D$920,TrialBalanceB!M284,JournalsB!J$14:J$920)+SUMIF(JournalsB!E$14:E$920,TrialBalanceB!M284,JournalsB!J$14:J$920)</f>
        <v>0</v>
      </c>
      <c r="H284" s="288"/>
      <c r="I284" s="290">
        <f t="shared" si="69"/>
        <v>0</v>
      </c>
      <c r="J284" s="75"/>
      <c r="K284" s="48">
        <f t="shared" si="70"/>
        <v>0</v>
      </c>
      <c r="M284" s="140" t="str">
        <f t="shared" si="71"/>
        <v>7000/002Goodwill - cost b/fwd</v>
      </c>
      <c r="N284" s="70"/>
      <c r="P284" s="71"/>
      <c r="Q284" s="51"/>
      <c r="R284" s="31"/>
    </row>
    <row r="285" spans="1:18" x14ac:dyDescent="0.2">
      <c r="A285" s="238"/>
      <c r="B285" s="90" t="s">
        <v>1025</v>
      </c>
      <c r="C285" s="242" t="s">
        <v>1026</v>
      </c>
      <c r="D285" s="283"/>
      <c r="E285" s="272"/>
      <c r="F285" s="79"/>
      <c r="G285" s="47">
        <f>SUMIF(JournalsB!D$14:D$920,TrialBalanceB!M285,JournalsB!J$14:J$920)+SUMIF(JournalsB!E$14:E$920,TrialBalanceB!M285,JournalsB!J$14:J$920)</f>
        <v>0</v>
      </c>
      <c r="H285" s="288"/>
      <c r="I285" s="290">
        <f t="shared" si="69"/>
        <v>0</v>
      </c>
      <c r="J285" s="75"/>
      <c r="K285" s="48">
        <f t="shared" si="70"/>
        <v>0</v>
      </c>
      <c r="M285" s="140" t="str">
        <f t="shared" si="71"/>
        <v>7000/003Goodwill - additions</v>
      </c>
      <c r="N285" s="70"/>
      <c r="P285" s="71"/>
      <c r="Q285" s="51"/>
      <c r="R285" s="31"/>
    </row>
    <row r="286" spans="1:18" x14ac:dyDescent="0.2">
      <c r="A286" s="238"/>
      <c r="B286" s="90" t="s">
        <v>1027</v>
      </c>
      <c r="C286" s="239" t="s">
        <v>1028</v>
      </c>
      <c r="D286" s="283"/>
      <c r="E286" s="272"/>
      <c r="F286" s="79"/>
      <c r="G286" s="47">
        <f>SUMIF(JournalsB!D$14:D$920,TrialBalanceB!M286,JournalsB!J$14:J$920)+SUMIF(JournalsB!E$14:E$920,TrialBalanceB!M286,JournalsB!J$14:J$920)</f>
        <v>0</v>
      </c>
      <c r="H286" s="288"/>
      <c r="I286" s="290">
        <f t="shared" si="69"/>
        <v>0</v>
      </c>
      <c r="J286" s="75"/>
      <c r="K286" s="48">
        <f t="shared" si="70"/>
        <v>0</v>
      </c>
      <c r="M286" s="140" t="str">
        <f t="shared" si="71"/>
        <v>7000/005GOODWILL - ACC AMORTISATION</v>
      </c>
      <c r="N286" s="70"/>
      <c r="P286" s="71"/>
      <c r="Q286" s="51"/>
      <c r="R286" s="31"/>
    </row>
    <row r="287" spans="1:18" x14ac:dyDescent="0.2">
      <c r="A287" s="238"/>
      <c r="B287" s="90" t="s">
        <v>1029</v>
      </c>
      <c r="C287" s="242" t="s">
        <v>1030</v>
      </c>
      <c r="D287" s="283"/>
      <c r="E287" s="272"/>
      <c r="F287" s="79">
        <f>SUM(K287:K288)</f>
        <v>0</v>
      </c>
      <c r="G287" s="47">
        <f>SUMIF(JournalsB!D$14:D$920,TrialBalanceB!M287,JournalsB!J$14:J$920)+SUMIF(JournalsB!E$14:E$920,TrialBalanceB!M287,JournalsB!J$14:J$920)</f>
        <v>0</v>
      </c>
      <c r="H287" s="288"/>
      <c r="I287" s="290">
        <f t="shared" si="69"/>
        <v>0</v>
      </c>
      <c r="J287" s="75"/>
      <c r="K287" s="48">
        <f t="shared" si="70"/>
        <v>0</v>
      </c>
      <c r="M287" s="140" t="str">
        <f t="shared" si="71"/>
        <v>7000/006Goodwill - acc amortisation b/fwd</v>
      </c>
      <c r="N287" s="70"/>
      <c r="P287" s="71"/>
      <c r="Q287" s="51"/>
      <c r="R287" s="31"/>
    </row>
    <row r="288" spans="1:18" x14ac:dyDescent="0.2">
      <c r="A288" s="238"/>
      <c r="B288" s="90" t="s">
        <v>1031</v>
      </c>
      <c r="C288" s="242" t="s">
        <v>1032</v>
      </c>
      <c r="D288" s="283"/>
      <c r="E288" s="272"/>
      <c r="F288" s="79"/>
      <c r="G288" s="47">
        <f>SUMIF(JournalsB!D$14:D$920,TrialBalanceB!M288,JournalsB!J$14:J$920)+SUMIF(JournalsB!E$14:E$920,TrialBalanceB!M288,JournalsB!J$14:J$920)</f>
        <v>0</v>
      </c>
      <c r="H288" s="288"/>
      <c r="I288" s="290">
        <f t="shared" si="69"/>
        <v>0</v>
      </c>
      <c r="J288" s="75"/>
      <c r="K288" s="48">
        <f t="shared" si="70"/>
        <v>0</v>
      </c>
      <c r="M288" s="140" t="str">
        <f t="shared" si="71"/>
        <v>7000/007Goodwill - amortisation this year</v>
      </c>
      <c r="N288" s="70"/>
      <c r="P288" s="71"/>
      <c r="Q288" s="51"/>
      <c r="R288" s="31"/>
    </row>
    <row r="289" spans="1:18" x14ac:dyDescent="0.2">
      <c r="A289" s="238"/>
      <c r="B289" s="90" t="s">
        <v>464</v>
      </c>
      <c r="C289" s="239" t="s">
        <v>1033</v>
      </c>
      <c r="D289" s="283"/>
      <c r="E289" s="272"/>
      <c r="F289" s="79"/>
      <c r="G289" s="47">
        <f>SUMIF(JournalsB!D$14:D$920,TrialBalanceB!M289,JournalsB!J$14:J$920)+SUMIF(JournalsB!E$14:E$920,TrialBalanceB!M289,JournalsB!J$14:J$920)</f>
        <v>0</v>
      </c>
      <c r="H289" s="288"/>
      <c r="I289" s="290">
        <f t="shared" si="69"/>
        <v>0</v>
      </c>
      <c r="J289" s="75"/>
      <c r="K289" s="48">
        <f t="shared" si="70"/>
        <v>0</v>
      </c>
      <c r="M289" s="140" t="str">
        <f t="shared" si="71"/>
        <v>7000/010GOODWILL - IMPAIRMENT</v>
      </c>
      <c r="N289" s="70"/>
      <c r="P289" s="71"/>
      <c r="Q289" s="51"/>
      <c r="R289" s="31"/>
    </row>
    <row r="290" spans="1:18" x14ac:dyDescent="0.2">
      <c r="A290" s="238"/>
      <c r="B290" s="90" t="s">
        <v>653</v>
      </c>
      <c r="C290" s="242" t="s">
        <v>1034</v>
      </c>
      <c r="D290" s="283"/>
      <c r="E290" s="272"/>
      <c r="F290" s="79">
        <f>SUM(K290:K291)</f>
        <v>0</v>
      </c>
      <c r="G290" s="47">
        <f>SUMIF(JournalsB!D$14:D$920,TrialBalanceB!M290,JournalsB!J$14:J$920)+SUMIF(JournalsB!E$14:E$920,TrialBalanceB!M290,JournalsB!J$14:J$920)</f>
        <v>0</v>
      </c>
      <c r="H290" s="288"/>
      <c r="I290" s="290">
        <f t="shared" si="69"/>
        <v>0</v>
      </c>
      <c r="J290" s="75"/>
      <c r="K290" s="48">
        <f t="shared" si="70"/>
        <v>0</v>
      </c>
      <c r="M290" s="140" t="str">
        <f t="shared" si="71"/>
        <v>7000/011Goodwill - impairment loss b/fwd</v>
      </c>
      <c r="N290" s="70"/>
      <c r="P290" s="71"/>
      <c r="Q290" s="51"/>
      <c r="R290" s="31"/>
    </row>
    <row r="291" spans="1:18" x14ac:dyDescent="0.2">
      <c r="A291" s="238"/>
      <c r="B291" s="90" t="s">
        <v>1035</v>
      </c>
      <c r="C291" s="242" t="s">
        <v>1036</v>
      </c>
      <c r="D291" s="283"/>
      <c r="E291" s="272"/>
      <c r="F291" s="79"/>
      <c r="G291" s="47">
        <f>SUMIF(JournalsB!D$14:D$920,TrialBalanceB!M291,JournalsB!J$14:J$920)+SUMIF(JournalsB!E$14:E$920,TrialBalanceB!M291,JournalsB!J$14:J$920)</f>
        <v>0</v>
      </c>
      <c r="H291" s="288"/>
      <c r="I291" s="290">
        <f t="shared" si="69"/>
        <v>0</v>
      </c>
      <c r="J291" s="75"/>
      <c r="K291" s="48">
        <f t="shared" si="70"/>
        <v>0</v>
      </c>
      <c r="M291" s="140" t="str">
        <f t="shared" si="71"/>
        <v>7000/012Goodwill - impairment loss this year</v>
      </c>
      <c r="N291" s="70"/>
      <c r="P291" s="71"/>
      <c r="Q291" s="51"/>
      <c r="R291" s="31"/>
    </row>
    <row r="292" spans="1:18" x14ac:dyDescent="0.2">
      <c r="A292" s="238"/>
      <c r="B292" s="90" t="s">
        <v>1037</v>
      </c>
      <c r="C292" s="239" t="s">
        <v>1038</v>
      </c>
      <c r="D292" s="283"/>
      <c r="E292" s="272"/>
      <c r="F292" s="79"/>
      <c r="G292" s="47">
        <f>SUMIF(JournalsB!D$14:D$920,TrialBalanceB!M292,JournalsB!J$14:J$920)+SUMIF(JournalsB!E$14:E$920,TrialBalanceB!M292,JournalsB!J$14:J$920)</f>
        <v>0</v>
      </c>
      <c r="H292" s="288"/>
      <c r="I292" s="290">
        <f t="shared" si="69"/>
        <v>0</v>
      </c>
      <c r="J292" s="75"/>
      <c r="K292" s="48">
        <f t="shared" si="70"/>
        <v>0</v>
      </c>
      <c r="M292" s="140" t="str">
        <f t="shared" si="71"/>
        <v>7000/021PREPAID LEASE AGREEMENT - COST</v>
      </c>
      <c r="N292" s="70"/>
      <c r="P292" s="71"/>
      <c r="Q292" s="51"/>
      <c r="R292" s="31"/>
    </row>
    <row r="293" spans="1:18" x14ac:dyDescent="0.2">
      <c r="A293" s="238"/>
      <c r="B293" s="90" t="s">
        <v>1039</v>
      </c>
      <c r="C293" s="242" t="s">
        <v>1040</v>
      </c>
      <c r="D293" s="283"/>
      <c r="E293" s="272"/>
      <c r="F293" s="79">
        <f>SUM(K293:K294)</f>
        <v>0</v>
      </c>
      <c r="G293" s="47">
        <f>SUMIF(JournalsB!D$14:D$920,TrialBalanceB!M293,JournalsB!J$14:J$920)+SUMIF(JournalsB!E$14:E$920,TrialBalanceB!M293,JournalsB!J$14:J$920)</f>
        <v>0</v>
      </c>
      <c r="H293" s="288"/>
      <c r="I293" s="290">
        <f t="shared" si="69"/>
        <v>0</v>
      </c>
      <c r="J293" s="75"/>
      <c r="K293" s="48">
        <f t="shared" si="70"/>
        <v>0</v>
      </c>
      <c r="M293" s="140" t="str">
        <f t="shared" si="71"/>
        <v>7000/022Prepaid lease agreement - cost b/fwd</v>
      </c>
      <c r="N293" s="70"/>
      <c r="P293" s="71"/>
      <c r="Q293" s="51"/>
      <c r="R293" s="31"/>
    </row>
    <row r="294" spans="1:18" x14ac:dyDescent="0.2">
      <c r="A294" s="238"/>
      <c r="B294" s="90" t="s">
        <v>1041</v>
      </c>
      <c r="C294" s="242" t="s">
        <v>1042</v>
      </c>
      <c r="D294" s="283"/>
      <c r="E294" s="272"/>
      <c r="F294" s="79"/>
      <c r="G294" s="47">
        <f>SUMIF(JournalsB!D$14:D$920,TrialBalanceB!M294,JournalsB!J$14:J$920)+SUMIF(JournalsB!E$14:E$920,TrialBalanceB!M294,JournalsB!J$14:J$920)</f>
        <v>0</v>
      </c>
      <c r="H294" s="288"/>
      <c r="I294" s="290">
        <f t="shared" si="69"/>
        <v>0</v>
      </c>
      <c r="J294" s="75"/>
      <c r="K294" s="48">
        <f t="shared" si="70"/>
        <v>0</v>
      </c>
      <c r="M294" s="140" t="str">
        <f t="shared" si="71"/>
        <v>7000/023Prepaid lease agreement - additions</v>
      </c>
      <c r="N294" s="70"/>
      <c r="P294" s="71"/>
      <c r="Q294" s="51"/>
      <c r="R294" s="31"/>
    </row>
    <row r="295" spans="1:18" x14ac:dyDescent="0.2">
      <c r="A295" s="238"/>
      <c r="B295" s="90" t="s">
        <v>465</v>
      </c>
      <c r="C295" s="239" t="s">
        <v>1043</v>
      </c>
      <c r="D295" s="283"/>
      <c r="E295" s="272"/>
      <c r="F295" s="79"/>
      <c r="G295" s="47">
        <f>SUMIF(JournalsB!D$14:D$920,TrialBalanceB!M295,JournalsB!J$14:J$920)+SUMIF(JournalsB!E$14:E$920,TrialBalanceB!M295,JournalsB!J$14:J$920)</f>
        <v>0</v>
      </c>
      <c r="H295" s="288"/>
      <c r="I295" s="290">
        <f t="shared" si="69"/>
        <v>0</v>
      </c>
      <c r="J295" s="75"/>
      <c r="K295" s="48">
        <f t="shared" si="70"/>
        <v>0</v>
      </c>
      <c r="M295" s="140" t="str">
        <f t="shared" si="71"/>
        <v>7000/025PREPAID LEASE AGREEMENT - ACC AMORTISATION</v>
      </c>
      <c r="N295" s="70"/>
      <c r="P295" s="71"/>
      <c r="Q295" s="51"/>
      <c r="R295" s="31"/>
    </row>
    <row r="296" spans="1:18" x14ac:dyDescent="0.2">
      <c r="A296" s="238"/>
      <c r="B296" s="90" t="s">
        <v>1044</v>
      </c>
      <c r="C296" s="242" t="s">
        <v>1045</v>
      </c>
      <c r="D296" s="283"/>
      <c r="E296" s="272"/>
      <c r="F296" s="79">
        <f>SUM(K296:K297)</f>
        <v>0</v>
      </c>
      <c r="G296" s="47">
        <f>SUMIF(JournalsB!D$14:D$920,TrialBalanceB!M296,JournalsB!J$14:J$920)+SUMIF(JournalsB!E$14:E$920,TrialBalanceB!M296,JournalsB!J$14:J$920)</f>
        <v>0</v>
      </c>
      <c r="H296" s="288"/>
      <c r="I296" s="290">
        <f t="shared" si="69"/>
        <v>0</v>
      </c>
      <c r="J296" s="75"/>
      <c r="K296" s="48">
        <f t="shared" si="70"/>
        <v>0</v>
      </c>
      <c r="M296" s="140" t="str">
        <f t="shared" si="71"/>
        <v>7000/026Prepaid lease agreement - acc amortisation b/fwd</v>
      </c>
      <c r="N296" s="70"/>
      <c r="P296" s="71"/>
      <c r="Q296" s="51"/>
      <c r="R296" s="31"/>
    </row>
    <row r="297" spans="1:18" x14ac:dyDescent="0.2">
      <c r="A297" s="238"/>
      <c r="B297" s="90" t="s">
        <v>1046</v>
      </c>
      <c r="C297" s="242" t="s">
        <v>1047</v>
      </c>
      <c r="D297" s="283"/>
      <c r="E297" s="272"/>
      <c r="F297" s="79"/>
      <c r="G297" s="47">
        <f>SUMIF(JournalsB!D$14:D$920,TrialBalanceB!M297,JournalsB!J$14:J$920)+SUMIF(JournalsB!E$14:E$920,TrialBalanceB!M297,JournalsB!J$14:J$920)</f>
        <v>0</v>
      </c>
      <c r="H297" s="288"/>
      <c r="I297" s="290">
        <f t="shared" si="69"/>
        <v>0</v>
      </c>
      <c r="J297" s="75"/>
      <c r="K297" s="48">
        <f t="shared" si="70"/>
        <v>0</v>
      </c>
      <c r="M297" s="140" t="str">
        <f t="shared" si="71"/>
        <v>7000/027Prepaid lease agreement - amortisation this year</v>
      </c>
      <c r="N297" s="70"/>
      <c r="P297" s="71"/>
      <c r="Q297" s="51"/>
      <c r="R297" s="31"/>
    </row>
    <row r="298" spans="1:18" x14ac:dyDescent="0.2">
      <c r="A298" s="238"/>
      <c r="B298" s="90" t="s">
        <v>1048</v>
      </c>
      <c r="C298" s="239" t="s">
        <v>1049</v>
      </c>
      <c r="D298" s="283"/>
      <c r="E298" s="272"/>
      <c r="F298" s="79"/>
      <c r="G298" s="47">
        <f>SUMIF(JournalsB!D$14:D$920,TrialBalanceB!M298,JournalsB!J$14:J$920)+SUMIF(JournalsB!E$14:E$920,TrialBalanceB!M298,JournalsB!J$14:J$920)</f>
        <v>0</v>
      </c>
      <c r="H298" s="288"/>
      <c r="I298" s="290">
        <f t="shared" si="69"/>
        <v>0</v>
      </c>
      <c r="J298" s="75"/>
      <c r="K298" s="48">
        <f t="shared" si="70"/>
        <v>0</v>
      </c>
      <c r="M298" s="140" t="str">
        <f t="shared" si="71"/>
        <v>7000/030PREPAID LEASE AGREEMENT - IMPAIRMENT</v>
      </c>
      <c r="N298" s="70"/>
      <c r="P298" s="71"/>
      <c r="Q298" s="51"/>
      <c r="R298" s="31"/>
    </row>
    <row r="299" spans="1:18" x14ac:dyDescent="0.2">
      <c r="A299" s="238"/>
      <c r="B299" s="90" t="s">
        <v>1050</v>
      </c>
      <c r="C299" s="242" t="s">
        <v>1051</v>
      </c>
      <c r="D299" s="283"/>
      <c r="E299" s="272"/>
      <c r="F299" s="79">
        <f>SUM(K299:K300)</f>
        <v>0</v>
      </c>
      <c r="G299" s="47">
        <f>SUMIF(JournalsB!D$14:D$920,TrialBalanceB!M299,JournalsB!J$14:J$920)+SUMIF(JournalsB!E$14:E$920,TrialBalanceB!M299,JournalsB!J$14:J$920)</f>
        <v>0</v>
      </c>
      <c r="H299" s="288"/>
      <c r="I299" s="290">
        <f t="shared" si="69"/>
        <v>0</v>
      </c>
      <c r="J299" s="75"/>
      <c r="K299" s="48">
        <f t="shared" si="70"/>
        <v>0</v>
      </c>
      <c r="M299" s="140" t="str">
        <f t="shared" si="71"/>
        <v>7000/031Prepaid lease agreement - impairment loss b/fwd</v>
      </c>
      <c r="N299" s="70"/>
      <c r="P299" s="71"/>
      <c r="Q299" s="51"/>
      <c r="R299" s="31"/>
    </row>
    <row r="300" spans="1:18" x14ac:dyDescent="0.2">
      <c r="A300" s="238"/>
      <c r="B300" s="90" t="s">
        <v>1052</v>
      </c>
      <c r="C300" s="242" t="s">
        <v>1053</v>
      </c>
      <c r="D300" s="283"/>
      <c r="E300" s="272"/>
      <c r="F300" s="79"/>
      <c r="G300" s="47">
        <f>SUMIF(JournalsB!D$14:D$920,TrialBalanceB!M300,JournalsB!J$14:J$920)+SUMIF(JournalsB!E$14:E$920,TrialBalanceB!M300,JournalsB!J$14:J$920)</f>
        <v>0</v>
      </c>
      <c r="H300" s="288"/>
      <c r="I300" s="290">
        <f t="shared" si="69"/>
        <v>0</v>
      </c>
      <c r="J300" s="75"/>
      <c r="K300" s="48">
        <f t="shared" si="70"/>
        <v>0</v>
      </c>
      <c r="M300" s="140" t="str">
        <f t="shared" si="71"/>
        <v>7000/032Prepaid lease agreement - impairment loss this year</v>
      </c>
      <c r="N300" s="70"/>
      <c r="P300" s="71"/>
      <c r="Q300" s="51"/>
      <c r="R300" s="31"/>
    </row>
    <row r="301" spans="1:18" x14ac:dyDescent="0.2">
      <c r="A301" s="238"/>
      <c r="B301" s="54" t="s">
        <v>466</v>
      </c>
      <c r="C301" s="239" t="s">
        <v>171</v>
      </c>
      <c r="D301" s="283"/>
      <c r="E301" s="272"/>
      <c r="F301" s="79"/>
      <c r="G301" s="47">
        <f>SUMIF(JournalsB!D$14:D$920,TrialBalanceB!M301,JournalsB!J$14:J$920)+SUMIF(JournalsB!E$14:E$920,TrialBalanceB!M301,JournalsB!J$14:J$920)</f>
        <v>0</v>
      </c>
      <c r="H301" s="288"/>
      <c r="I301" s="290">
        <f t="shared" si="68"/>
        <v>0</v>
      </c>
      <c r="J301" s="75"/>
      <c r="K301" s="48">
        <f t="shared" ref="K301:K388" si="72">ROUND(SUM(A301),0)</f>
        <v>0</v>
      </c>
      <c r="M301" s="140" t="str">
        <f t="shared" ref="M301:M388" si="73">CONCATENATE(B301,C301)</f>
        <v>7100/000INVESTMENTS</v>
      </c>
      <c r="N301" s="70"/>
      <c r="P301" s="71"/>
      <c r="Q301" s="51"/>
      <c r="R301" s="31"/>
    </row>
    <row r="302" spans="1:18" x14ac:dyDescent="0.2">
      <c r="A302" s="238"/>
      <c r="B302" s="90" t="s">
        <v>917</v>
      </c>
      <c r="C302" s="242" t="s">
        <v>918</v>
      </c>
      <c r="D302" s="283"/>
      <c r="E302" s="272"/>
      <c r="F302" s="79"/>
      <c r="G302" s="47">
        <f>SUMIF(JournalsB!D$14:D$920,TrialBalanceB!M302,JournalsB!J$14:J$920)+SUMIF(JournalsB!E$14:E$920,TrialBalanceB!M302,JournalsB!J$14:J$920)</f>
        <v>0</v>
      </c>
      <c r="H302" s="288"/>
      <c r="I302" s="290">
        <f t="shared" ref="I302:I305" si="74">ROUND(D302-E302+G302+F302,0)</f>
        <v>0</v>
      </c>
      <c r="J302" s="75"/>
      <c r="K302" s="48">
        <f t="shared" ref="K302:K305" si="75">ROUND(SUM(A302),0)</f>
        <v>0</v>
      </c>
      <c r="M302" s="140" t="str">
        <f t="shared" ref="M302:M305" si="76">CONCATENATE(B302,C302)</f>
        <v>7100/050INVESTMENTS IN ASSOCIATES</v>
      </c>
      <c r="N302" s="70"/>
      <c r="P302" s="71"/>
      <c r="Q302" s="51"/>
      <c r="R302" s="31"/>
    </row>
    <row r="303" spans="1:18" x14ac:dyDescent="0.2">
      <c r="A303" s="238"/>
      <c r="B303" s="90" t="s">
        <v>919</v>
      </c>
      <c r="C303" s="276" t="str">
        <f>TrialBalance!C303</f>
        <v>100 Shares in ABC Company (Pty) Ltd - 100% interest</v>
      </c>
      <c r="D303" s="250"/>
      <c r="E303" s="251"/>
      <c r="F303" s="79">
        <f>K303</f>
        <v>0</v>
      </c>
      <c r="G303" s="47">
        <f>SUMIF(JournalsB!D$14:D$920,TrialBalanceB!M303,JournalsB!J$14:J$920)+SUMIF(JournalsB!E$14:E$920,TrialBalanceB!M303,JournalsB!J$14:J$920)</f>
        <v>0</v>
      </c>
      <c r="H303" s="288"/>
      <c r="I303" s="290">
        <f t="shared" si="74"/>
        <v>0</v>
      </c>
      <c r="J303" s="75"/>
      <c r="K303" s="48">
        <f t="shared" si="75"/>
        <v>0</v>
      </c>
      <c r="M303" s="140" t="str">
        <f t="shared" si="76"/>
        <v>7100/051100 Shares in ABC Company (Pty) Ltd - 100% interest</v>
      </c>
      <c r="N303" s="70"/>
      <c r="P303" s="71"/>
      <c r="Q303" s="51"/>
      <c r="R303" s="31"/>
    </row>
    <row r="304" spans="1:18" x14ac:dyDescent="0.2">
      <c r="A304" s="238"/>
      <c r="B304" s="90" t="s">
        <v>921</v>
      </c>
      <c r="C304" s="276">
        <f>TrialBalance!C304</f>
        <v>0</v>
      </c>
      <c r="D304" s="250"/>
      <c r="E304" s="251"/>
      <c r="F304" s="79">
        <f>K304</f>
        <v>0</v>
      </c>
      <c r="G304" s="47">
        <f>SUMIF(JournalsB!D$14:D$920,TrialBalanceB!M304,JournalsB!J$14:J$920)+SUMIF(JournalsB!E$14:E$920,TrialBalanceB!M304,JournalsB!J$14:J$920)</f>
        <v>0</v>
      </c>
      <c r="H304" s="288"/>
      <c r="I304" s="290">
        <f t="shared" si="74"/>
        <v>0</v>
      </c>
      <c r="J304" s="75"/>
      <c r="K304" s="48">
        <f t="shared" si="75"/>
        <v>0</v>
      </c>
      <c r="M304" s="140" t="str">
        <f t="shared" si="76"/>
        <v>7100/0520</v>
      </c>
      <c r="N304" s="70"/>
      <c r="P304" s="71"/>
      <c r="Q304" s="51"/>
      <c r="R304" s="31"/>
    </row>
    <row r="305" spans="1:18" x14ac:dyDescent="0.2">
      <c r="A305" s="238"/>
      <c r="B305" s="90" t="s">
        <v>922</v>
      </c>
      <c r="C305" s="276">
        <f>TrialBalance!C305</f>
        <v>0</v>
      </c>
      <c r="D305" s="250"/>
      <c r="E305" s="251"/>
      <c r="F305" s="79">
        <f>K305</f>
        <v>0</v>
      </c>
      <c r="G305" s="47">
        <f>SUMIF(JournalsB!D$14:D$920,TrialBalanceB!M305,JournalsB!J$14:J$920)+SUMIF(JournalsB!E$14:E$920,TrialBalanceB!M305,JournalsB!J$14:J$920)</f>
        <v>0</v>
      </c>
      <c r="H305" s="288"/>
      <c r="I305" s="290">
        <f t="shared" si="74"/>
        <v>0</v>
      </c>
      <c r="J305" s="75"/>
      <c r="K305" s="48">
        <f t="shared" si="75"/>
        <v>0</v>
      </c>
      <c r="M305" s="140" t="str">
        <f t="shared" si="76"/>
        <v>7100/0530</v>
      </c>
      <c r="N305" s="70"/>
      <c r="P305" s="71"/>
      <c r="Q305" s="51"/>
      <c r="R305" s="31"/>
    </row>
    <row r="306" spans="1:18" x14ac:dyDescent="0.2">
      <c r="A306" s="238"/>
      <c r="B306" s="54" t="s">
        <v>467</v>
      </c>
      <c r="C306" s="240" t="s">
        <v>468</v>
      </c>
      <c r="D306" s="282"/>
      <c r="E306" s="272"/>
      <c r="F306" s="79"/>
      <c r="G306" s="47">
        <f>SUMIF(JournalsB!D$14:D$920,TrialBalanceB!M306,JournalsB!J$14:J$920)+SUMIF(JournalsB!E$14:E$920,TrialBalanceB!M306,JournalsB!J$14:J$920)</f>
        <v>0</v>
      </c>
      <c r="H306" s="288"/>
      <c r="I306" s="290">
        <f t="shared" si="68"/>
        <v>0</v>
      </c>
      <c r="J306" s="75"/>
      <c r="K306" s="48">
        <f t="shared" si="72"/>
        <v>0</v>
      </c>
      <c r="M306" s="140" t="str">
        <f t="shared" si="73"/>
        <v>7100/100LISTED INVESTMENTS</v>
      </c>
      <c r="N306" s="70"/>
      <c r="P306" s="71"/>
      <c r="Q306" s="51"/>
      <c r="R306" s="31"/>
    </row>
    <row r="307" spans="1:18" x14ac:dyDescent="0.2">
      <c r="A307" s="238"/>
      <c r="B307" s="54" t="s">
        <v>469</v>
      </c>
      <c r="C307" s="276">
        <f>TrialBalance!C307</f>
        <v>0</v>
      </c>
      <c r="D307" s="282"/>
      <c r="E307" s="272"/>
      <c r="F307" s="79">
        <f>K307</f>
        <v>0</v>
      </c>
      <c r="G307" s="47">
        <f>SUMIF(JournalsB!D$14:D$920,TrialBalanceB!M307,JournalsB!J$14:J$920)+SUMIF(JournalsB!E$14:E$920,TrialBalanceB!M307,JournalsB!J$14:J$920)</f>
        <v>0</v>
      </c>
      <c r="H307" s="288"/>
      <c r="I307" s="290">
        <f t="shared" si="68"/>
        <v>0</v>
      </c>
      <c r="J307" s="75"/>
      <c r="K307" s="48">
        <f t="shared" si="72"/>
        <v>0</v>
      </c>
      <c r="M307" s="140" t="str">
        <f t="shared" si="73"/>
        <v>7100/1010</v>
      </c>
      <c r="N307" s="70"/>
      <c r="P307" s="71"/>
      <c r="Q307" s="51"/>
      <c r="R307" s="31"/>
    </row>
    <row r="308" spans="1:18" x14ac:dyDescent="0.2">
      <c r="A308" s="238"/>
      <c r="B308" s="54" t="s">
        <v>470</v>
      </c>
      <c r="C308" s="276">
        <f>TrialBalance!C308</f>
        <v>0</v>
      </c>
      <c r="D308" s="282"/>
      <c r="E308" s="272"/>
      <c r="F308" s="79">
        <f t="shared" ref="F308:F376" si="77">K308</f>
        <v>0</v>
      </c>
      <c r="G308" s="47">
        <f>SUMIF(JournalsB!D$14:D$920,TrialBalanceB!M308,JournalsB!J$14:J$920)+SUMIF(JournalsB!E$14:E$920,TrialBalanceB!M308,JournalsB!J$14:J$920)</f>
        <v>0</v>
      </c>
      <c r="H308" s="288"/>
      <c r="I308" s="290">
        <f t="shared" si="68"/>
        <v>0</v>
      </c>
      <c r="J308" s="75"/>
      <c r="K308" s="48">
        <f t="shared" si="72"/>
        <v>0</v>
      </c>
      <c r="M308" s="140" t="str">
        <f t="shared" si="73"/>
        <v>7100/1020</v>
      </c>
      <c r="N308" s="70"/>
      <c r="P308" s="71"/>
      <c r="Q308" s="51"/>
      <c r="R308" s="31"/>
    </row>
    <row r="309" spans="1:18" x14ac:dyDescent="0.2">
      <c r="A309" s="238"/>
      <c r="B309" s="54" t="s">
        <v>471</v>
      </c>
      <c r="C309" s="276">
        <f>TrialBalance!C309</f>
        <v>0</v>
      </c>
      <c r="D309" s="282"/>
      <c r="E309" s="272"/>
      <c r="F309" s="79">
        <f t="shared" si="77"/>
        <v>0</v>
      </c>
      <c r="G309" s="47">
        <f>SUMIF(JournalsB!D$14:D$920,TrialBalanceB!M309,JournalsB!J$14:J$920)+SUMIF(JournalsB!E$14:E$920,TrialBalanceB!M309,JournalsB!J$14:J$920)</f>
        <v>0</v>
      </c>
      <c r="H309" s="288"/>
      <c r="I309" s="290">
        <f t="shared" si="68"/>
        <v>0</v>
      </c>
      <c r="J309" s="75"/>
      <c r="K309" s="48">
        <f t="shared" si="72"/>
        <v>0</v>
      </c>
      <c r="M309" s="140" t="str">
        <f t="shared" si="73"/>
        <v>7100/1030</v>
      </c>
      <c r="N309" s="70"/>
      <c r="P309" s="71"/>
      <c r="Q309" s="51"/>
      <c r="R309" s="31"/>
    </row>
    <row r="310" spans="1:18" x14ac:dyDescent="0.2">
      <c r="A310" s="238"/>
      <c r="B310" s="54" t="s">
        <v>472</v>
      </c>
      <c r="C310" s="276">
        <f>TrialBalance!C310</f>
        <v>0</v>
      </c>
      <c r="D310" s="282"/>
      <c r="E310" s="272"/>
      <c r="F310" s="79">
        <f t="shared" si="77"/>
        <v>0</v>
      </c>
      <c r="G310" s="47">
        <f>SUMIF(JournalsB!D$14:D$920,TrialBalanceB!M310,JournalsB!J$14:J$920)+SUMIF(JournalsB!E$14:E$920,TrialBalanceB!M310,JournalsB!J$14:J$920)</f>
        <v>0</v>
      </c>
      <c r="H310" s="288"/>
      <c r="I310" s="290">
        <f t="shared" si="68"/>
        <v>0</v>
      </c>
      <c r="J310" s="75"/>
      <c r="K310" s="48">
        <f t="shared" si="72"/>
        <v>0</v>
      </c>
      <c r="M310" s="140" t="str">
        <f t="shared" si="73"/>
        <v>7100/1040</v>
      </c>
      <c r="N310" s="70"/>
      <c r="P310" s="71"/>
      <c r="Q310" s="51"/>
      <c r="R310" s="31"/>
    </row>
    <row r="311" spans="1:18" x14ac:dyDescent="0.2">
      <c r="A311" s="238"/>
      <c r="B311" s="54" t="s">
        <v>473</v>
      </c>
      <c r="C311" s="276">
        <f>TrialBalance!C311</f>
        <v>0</v>
      </c>
      <c r="D311" s="282"/>
      <c r="E311" s="272"/>
      <c r="F311" s="79">
        <f t="shared" si="77"/>
        <v>0</v>
      </c>
      <c r="G311" s="47">
        <f>SUMIF(JournalsB!D$14:D$920,TrialBalanceB!M311,JournalsB!J$14:J$920)+SUMIF(JournalsB!E$14:E$920,TrialBalanceB!M311,JournalsB!J$14:J$920)</f>
        <v>0</v>
      </c>
      <c r="H311" s="288"/>
      <c r="I311" s="290">
        <f t="shared" si="68"/>
        <v>0</v>
      </c>
      <c r="J311" s="75"/>
      <c r="K311" s="48">
        <f t="shared" si="72"/>
        <v>0</v>
      </c>
      <c r="M311" s="140" t="str">
        <f t="shared" si="73"/>
        <v>7100/1050</v>
      </c>
      <c r="N311" s="70"/>
      <c r="P311" s="71"/>
      <c r="Q311" s="51"/>
      <c r="R311" s="31"/>
    </row>
    <row r="312" spans="1:18" x14ac:dyDescent="0.2">
      <c r="A312" s="238"/>
      <c r="B312" s="54" t="s">
        <v>474</v>
      </c>
      <c r="C312" s="239" t="s">
        <v>373</v>
      </c>
      <c r="D312" s="283"/>
      <c r="E312" s="272"/>
      <c r="F312" s="79"/>
      <c r="G312" s="47">
        <f>SUMIF(JournalsB!D$14:D$920,TrialBalanceB!M312,JournalsB!J$14:J$920)+SUMIF(JournalsB!E$14:E$920,TrialBalanceB!M312,JournalsB!J$14:J$920)</f>
        <v>0</v>
      </c>
      <c r="H312" s="288"/>
      <c r="I312" s="290">
        <f t="shared" si="68"/>
        <v>0</v>
      </c>
      <c r="J312" s="75"/>
      <c r="K312" s="48">
        <f t="shared" si="72"/>
        <v>0</v>
      </c>
      <c r="M312" s="140" t="str">
        <f t="shared" si="73"/>
        <v>7100/200OTHER INVESTMENTS</v>
      </c>
      <c r="N312" s="70"/>
      <c r="P312" s="71"/>
      <c r="Q312" s="51"/>
      <c r="R312" s="31"/>
    </row>
    <row r="313" spans="1:18" x14ac:dyDescent="0.2">
      <c r="A313" s="238"/>
      <c r="B313" s="54" t="s">
        <v>475</v>
      </c>
      <c r="C313" s="276">
        <f>TrialBalance!C313</f>
        <v>0</v>
      </c>
      <c r="D313" s="284"/>
      <c r="E313" s="272"/>
      <c r="F313" s="79">
        <f t="shared" si="77"/>
        <v>0</v>
      </c>
      <c r="G313" s="47">
        <f>SUMIF(JournalsB!D$14:D$920,TrialBalanceB!M313,JournalsB!J$14:J$920)+SUMIF(JournalsB!E$14:E$920,TrialBalanceB!M313,JournalsB!J$14:J$920)</f>
        <v>0</v>
      </c>
      <c r="H313" s="288"/>
      <c r="I313" s="290">
        <f t="shared" si="68"/>
        <v>0</v>
      </c>
      <c r="J313" s="75"/>
      <c r="K313" s="48">
        <f t="shared" si="72"/>
        <v>0</v>
      </c>
      <c r="M313" s="140" t="str">
        <f t="shared" si="73"/>
        <v>7100/2010</v>
      </c>
      <c r="N313" s="70"/>
      <c r="P313" s="71"/>
      <c r="Q313" s="51"/>
      <c r="R313" s="31"/>
    </row>
    <row r="314" spans="1:18" x14ac:dyDescent="0.2">
      <c r="A314" s="238"/>
      <c r="B314" s="54" t="s">
        <v>476</v>
      </c>
      <c r="C314" s="276">
        <f>TrialBalance!C314</f>
        <v>0</v>
      </c>
      <c r="D314" s="284"/>
      <c r="E314" s="272"/>
      <c r="F314" s="79">
        <f t="shared" si="77"/>
        <v>0</v>
      </c>
      <c r="G314" s="47">
        <f>SUMIF(JournalsB!D$14:D$920,TrialBalanceB!M314,JournalsB!J$14:J$920)+SUMIF(JournalsB!E$14:E$920,TrialBalanceB!M314,JournalsB!J$14:J$920)</f>
        <v>0</v>
      </c>
      <c r="H314" s="288"/>
      <c r="I314" s="290">
        <f t="shared" si="68"/>
        <v>0</v>
      </c>
      <c r="J314" s="75"/>
      <c r="K314" s="48">
        <f t="shared" si="72"/>
        <v>0</v>
      </c>
      <c r="M314" s="140" t="str">
        <f t="shared" si="73"/>
        <v>7100/2020</v>
      </c>
      <c r="N314" s="70"/>
      <c r="P314" s="71"/>
      <c r="Q314" s="51"/>
      <c r="R314" s="31"/>
    </row>
    <row r="315" spans="1:18" x14ac:dyDescent="0.2">
      <c r="A315" s="238"/>
      <c r="B315" s="54" t="s">
        <v>477</v>
      </c>
      <c r="C315" s="276">
        <f>TrialBalance!C315</f>
        <v>0</v>
      </c>
      <c r="D315" s="282"/>
      <c r="E315" s="272"/>
      <c r="F315" s="79">
        <f t="shared" si="77"/>
        <v>0</v>
      </c>
      <c r="G315" s="47">
        <f>SUMIF(JournalsB!D$14:D$920,TrialBalanceB!M315,JournalsB!J$14:J$920)+SUMIF(JournalsB!E$14:E$920,TrialBalanceB!M315,JournalsB!J$14:J$920)</f>
        <v>0</v>
      </c>
      <c r="H315" s="288"/>
      <c r="I315" s="290">
        <f t="shared" si="68"/>
        <v>0</v>
      </c>
      <c r="J315" s="75"/>
      <c r="K315" s="48">
        <f t="shared" si="72"/>
        <v>0</v>
      </c>
      <c r="M315" s="140" t="str">
        <f t="shared" si="73"/>
        <v>7100/2030</v>
      </c>
      <c r="N315" s="70"/>
      <c r="P315" s="71"/>
      <c r="Q315" s="51"/>
      <c r="R315" s="31"/>
    </row>
    <row r="316" spans="1:18" x14ac:dyDescent="0.2">
      <c r="A316" s="238"/>
      <c r="B316" s="54" t="s">
        <v>478</v>
      </c>
      <c r="C316" s="276">
        <f>TrialBalance!C316</f>
        <v>0</v>
      </c>
      <c r="D316" s="282"/>
      <c r="E316" s="272"/>
      <c r="F316" s="79">
        <f t="shared" si="77"/>
        <v>0</v>
      </c>
      <c r="G316" s="47">
        <f>SUMIF(JournalsB!D$14:D$920,TrialBalanceB!M316,JournalsB!J$14:J$920)+SUMIF(JournalsB!E$14:E$920,TrialBalanceB!M316,JournalsB!J$14:J$920)</f>
        <v>0</v>
      </c>
      <c r="H316" s="288"/>
      <c r="I316" s="290">
        <f t="shared" si="68"/>
        <v>0</v>
      </c>
      <c r="J316" s="75"/>
      <c r="K316" s="48">
        <f t="shared" si="72"/>
        <v>0</v>
      </c>
      <c r="M316" s="140" t="str">
        <f t="shared" si="73"/>
        <v>7100/2040</v>
      </c>
      <c r="N316" s="70"/>
      <c r="P316" s="71"/>
      <c r="Q316" s="51"/>
      <c r="R316" s="31"/>
    </row>
    <row r="317" spans="1:18" x14ac:dyDescent="0.2">
      <c r="A317" s="238"/>
      <c r="B317" s="54" t="s">
        <v>155</v>
      </c>
      <c r="C317" s="276">
        <f>TrialBalance!C317</f>
        <v>0</v>
      </c>
      <c r="D317" s="282"/>
      <c r="E317" s="272"/>
      <c r="F317" s="79">
        <f t="shared" si="77"/>
        <v>0</v>
      </c>
      <c r="G317" s="47">
        <f>SUMIF(JournalsB!D$14:D$920,TrialBalanceB!M317,JournalsB!J$14:J$920)+SUMIF(JournalsB!E$14:E$920,TrialBalanceB!M317,JournalsB!J$14:J$920)</f>
        <v>0</v>
      </c>
      <c r="H317" s="288"/>
      <c r="I317" s="290">
        <f t="shared" si="68"/>
        <v>0</v>
      </c>
      <c r="J317" s="75"/>
      <c r="K317" s="48">
        <f t="shared" si="72"/>
        <v>0</v>
      </c>
      <c r="M317" s="140" t="str">
        <f t="shared" si="73"/>
        <v>7100/2050</v>
      </c>
      <c r="N317" s="70"/>
      <c r="P317" s="71"/>
      <c r="Q317" s="51"/>
      <c r="R317" s="31"/>
    </row>
    <row r="318" spans="1:18" x14ac:dyDescent="0.2">
      <c r="A318" s="238"/>
      <c r="B318" s="54" t="s">
        <v>156</v>
      </c>
      <c r="C318" s="242" t="s">
        <v>734</v>
      </c>
      <c r="D318" s="282"/>
      <c r="E318" s="272"/>
      <c r="F318" s="79"/>
      <c r="G318" s="47">
        <f>SUMIF(JournalsB!D$14:D$920,TrialBalanceB!M318,JournalsB!J$14:J$920)+SUMIF(JournalsB!E$14:E$920,TrialBalanceB!M318,JournalsB!J$14:J$920)</f>
        <v>0</v>
      </c>
      <c r="H318" s="288"/>
      <c r="I318" s="290">
        <f t="shared" si="68"/>
        <v>0</v>
      </c>
      <c r="J318" s="75"/>
      <c r="K318" s="48">
        <f t="shared" si="72"/>
        <v>0</v>
      </c>
      <c r="M318" s="140" t="str">
        <f t="shared" si="73"/>
        <v>7450/000CONNECTED ENTITIES LOANS</v>
      </c>
      <c r="N318" s="70"/>
      <c r="P318" s="71"/>
      <c r="Q318" s="51"/>
      <c r="R318" s="31"/>
    </row>
    <row r="319" spans="1:18" x14ac:dyDescent="0.2">
      <c r="A319" s="238"/>
      <c r="B319" s="54" t="s">
        <v>156</v>
      </c>
      <c r="C319" s="242" t="s">
        <v>679</v>
      </c>
      <c r="D319" s="282"/>
      <c r="E319" s="272"/>
      <c r="F319" s="79"/>
      <c r="G319" s="47">
        <f>SUMIF(JournalsB!D$14:D$920,TrialBalanceB!M319,JournalsB!J$14:J$920)+SUMIF(JournalsB!E$14:E$920,TrialBalanceB!M319,JournalsB!J$14:J$920)</f>
        <v>0</v>
      </c>
      <c r="H319" s="288"/>
      <c r="I319" s="290">
        <f t="shared" ref="I319" si="78">ROUND(D319-E319+G319+F319,0)</f>
        <v>0</v>
      </c>
      <c r="J319" s="75"/>
      <c r="K319" s="48">
        <f t="shared" ref="K319" si="79">ROUND(SUM(A319),0)</f>
        <v>0</v>
      </c>
      <c r="M319" s="140" t="str">
        <f t="shared" ref="M319" si="80">CONCATENATE(B319,C319)</f>
        <v>7450/000Interest bearing</v>
      </c>
      <c r="N319" s="70"/>
      <c r="P319" s="71"/>
      <c r="Q319" s="51"/>
      <c r="R319" s="31"/>
    </row>
    <row r="320" spans="1:18" x14ac:dyDescent="0.2">
      <c r="A320" s="238"/>
      <c r="B320" s="54" t="s">
        <v>157</v>
      </c>
      <c r="C320" s="276">
        <f>TrialBalance!C320</f>
        <v>0</v>
      </c>
      <c r="D320" s="284"/>
      <c r="E320" s="272"/>
      <c r="F320" s="79">
        <f t="shared" si="77"/>
        <v>0</v>
      </c>
      <c r="G320" s="47">
        <f>SUMIF(JournalsB!D$14:D$920,TrialBalanceB!M320,JournalsB!J$14:J$920)+SUMIF(JournalsB!E$14:E$920,TrialBalanceB!M320,JournalsB!J$14:J$920)</f>
        <v>0</v>
      </c>
      <c r="H320" s="288"/>
      <c r="I320" s="290">
        <f t="shared" si="68"/>
        <v>0</v>
      </c>
      <c r="J320" s="75"/>
      <c r="K320" s="48">
        <f t="shared" si="72"/>
        <v>0</v>
      </c>
      <c r="M320" s="140" t="str">
        <f t="shared" si="73"/>
        <v>7450/0010</v>
      </c>
      <c r="N320" s="70"/>
      <c r="P320" s="71"/>
      <c r="Q320" s="51"/>
      <c r="R320" s="31"/>
    </row>
    <row r="321" spans="1:18" x14ac:dyDescent="0.2">
      <c r="A321" s="238"/>
      <c r="B321" s="54" t="s">
        <v>158</v>
      </c>
      <c r="C321" s="276">
        <f>TrialBalance!C321</f>
        <v>0</v>
      </c>
      <c r="D321" s="284"/>
      <c r="E321" s="272"/>
      <c r="F321" s="79">
        <f t="shared" ref="F321:F322" si="81">K321</f>
        <v>0</v>
      </c>
      <c r="G321" s="47">
        <f>SUMIF(JournalsB!D$14:D$920,TrialBalanceB!M321,JournalsB!J$14:J$920)+SUMIF(JournalsB!E$14:E$920,TrialBalanceB!M321,JournalsB!J$14:J$920)</f>
        <v>0</v>
      </c>
      <c r="H321" s="288"/>
      <c r="I321" s="290">
        <f t="shared" ref="I321:I322" si="82">ROUND(D321-E321+G321+F321,0)</f>
        <v>0</v>
      </c>
      <c r="J321" s="75"/>
      <c r="K321" s="48">
        <f t="shared" ref="K321:K322" si="83">ROUND(SUM(A321),0)</f>
        <v>0</v>
      </c>
      <c r="M321" s="140" t="str">
        <f t="shared" ref="M321:M322" si="84">CONCATENATE(B321,C321)</f>
        <v>7450/0020</v>
      </c>
      <c r="N321" s="70"/>
      <c r="P321" s="71"/>
      <c r="Q321" s="51"/>
      <c r="R321" s="31"/>
    </row>
    <row r="322" spans="1:18" x14ac:dyDescent="0.2">
      <c r="A322" s="238"/>
      <c r="B322" s="90" t="s">
        <v>159</v>
      </c>
      <c r="C322" s="276">
        <f>TrialBalance!C322</f>
        <v>0</v>
      </c>
      <c r="D322" s="284"/>
      <c r="E322" s="272"/>
      <c r="F322" s="79">
        <f t="shared" si="81"/>
        <v>0</v>
      </c>
      <c r="G322" s="47">
        <f>SUMIF(JournalsB!D$14:D$920,TrialBalanceB!M322,JournalsB!J$14:J$920)+SUMIF(JournalsB!E$14:E$920,TrialBalanceB!M322,JournalsB!J$14:J$920)</f>
        <v>0</v>
      </c>
      <c r="H322" s="288"/>
      <c r="I322" s="290">
        <f t="shared" si="82"/>
        <v>0</v>
      </c>
      <c r="J322" s="75"/>
      <c r="K322" s="48">
        <f t="shared" si="83"/>
        <v>0</v>
      </c>
      <c r="M322" s="140" t="str">
        <f t="shared" si="84"/>
        <v>7450/0030</v>
      </c>
      <c r="N322" s="70"/>
      <c r="P322" s="71"/>
      <c r="Q322" s="51"/>
      <c r="R322" s="31"/>
    </row>
    <row r="323" spans="1:18" x14ac:dyDescent="0.2">
      <c r="A323" s="238"/>
      <c r="B323" s="90" t="s">
        <v>424</v>
      </c>
      <c r="C323" s="276">
        <f>TrialBalance!C323</f>
        <v>0</v>
      </c>
      <c r="D323" s="284"/>
      <c r="E323" s="272"/>
      <c r="F323" s="79">
        <f t="shared" ref="F323:F328" si="85">K323</f>
        <v>0</v>
      </c>
      <c r="G323" s="47">
        <f>SUMIF(JournalsB!D$14:D$920,TrialBalanceB!M323,JournalsB!J$14:J$920)+SUMIF(JournalsB!E$14:E$920,TrialBalanceB!M323,JournalsB!J$14:J$920)</f>
        <v>0</v>
      </c>
      <c r="H323" s="288"/>
      <c r="I323" s="290">
        <f t="shared" ref="I323:I328" si="86">ROUND(D323-E323+G323+F323,0)</f>
        <v>0</v>
      </c>
      <c r="J323" s="75"/>
      <c r="K323" s="48">
        <f t="shared" ref="K323:K328" si="87">ROUND(SUM(A323),0)</f>
        <v>0</v>
      </c>
      <c r="M323" s="140" t="str">
        <f t="shared" ref="M323:M328" si="88">CONCATENATE(B323,C323)</f>
        <v>7450/0040</v>
      </c>
      <c r="N323" s="70"/>
      <c r="P323" s="71"/>
      <c r="Q323" s="51"/>
      <c r="R323" s="31"/>
    </row>
    <row r="324" spans="1:18" x14ac:dyDescent="0.2">
      <c r="A324" s="238"/>
      <c r="B324" s="90" t="s">
        <v>290</v>
      </c>
      <c r="C324" s="276">
        <f>TrialBalance!C324</f>
        <v>0</v>
      </c>
      <c r="D324" s="284"/>
      <c r="E324" s="272"/>
      <c r="F324" s="79">
        <f t="shared" si="85"/>
        <v>0</v>
      </c>
      <c r="G324" s="47">
        <f>SUMIF(JournalsB!D$14:D$920,TrialBalanceB!M324,JournalsB!J$14:J$920)+SUMIF(JournalsB!E$14:E$920,TrialBalanceB!M324,JournalsB!J$14:J$920)</f>
        <v>0</v>
      </c>
      <c r="H324" s="288"/>
      <c r="I324" s="290">
        <f t="shared" si="86"/>
        <v>0</v>
      </c>
      <c r="J324" s="75"/>
      <c r="K324" s="48">
        <f t="shared" si="87"/>
        <v>0</v>
      </c>
      <c r="M324" s="140" t="str">
        <f t="shared" si="88"/>
        <v>7450/0050</v>
      </c>
      <c r="N324" s="70"/>
      <c r="P324" s="71"/>
      <c r="Q324" s="51"/>
      <c r="R324" s="31"/>
    </row>
    <row r="325" spans="1:18" x14ac:dyDescent="0.2">
      <c r="A325" s="238"/>
      <c r="B325" s="90" t="s">
        <v>755</v>
      </c>
      <c r="C325" s="276">
        <f>TrialBalance!C325</f>
        <v>0</v>
      </c>
      <c r="D325" s="284"/>
      <c r="E325" s="272"/>
      <c r="F325" s="79">
        <f t="shared" si="85"/>
        <v>0</v>
      </c>
      <c r="G325" s="47">
        <f>SUMIF(JournalsB!D$14:D$920,TrialBalanceB!M325,JournalsB!J$14:J$920)+SUMIF(JournalsB!E$14:E$920,TrialBalanceB!M325,JournalsB!J$14:J$920)</f>
        <v>0</v>
      </c>
      <c r="H325" s="288"/>
      <c r="I325" s="290">
        <f t="shared" si="86"/>
        <v>0</v>
      </c>
      <c r="J325" s="75"/>
      <c r="K325" s="48">
        <f t="shared" si="87"/>
        <v>0</v>
      </c>
      <c r="M325" s="140" t="str">
        <f t="shared" si="88"/>
        <v>7450/0060</v>
      </c>
      <c r="N325" s="70"/>
      <c r="P325" s="71"/>
      <c r="Q325" s="51"/>
      <c r="R325" s="31"/>
    </row>
    <row r="326" spans="1:18" x14ac:dyDescent="0.2">
      <c r="A326" s="238"/>
      <c r="B326" s="90" t="s">
        <v>845</v>
      </c>
      <c r="C326" s="276">
        <f>TrialBalance!C326</f>
        <v>0</v>
      </c>
      <c r="D326" s="284"/>
      <c r="E326" s="272"/>
      <c r="F326" s="79">
        <f t="shared" si="85"/>
        <v>0</v>
      </c>
      <c r="G326" s="47">
        <f>SUMIF(JournalsB!D$14:D$920,TrialBalanceB!M326,JournalsB!J$14:J$920)+SUMIF(JournalsB!E$14:E$920,TrialBalanceB!M326,JournalsB!J$14:J$920)</f>
        <v>0</v>
      </c>
      <c r="H326" s="288"/>
      <c r="I326" s="290">
        <f t="shared" si="86"/>
        <v>0</v>
      </c>
      <c r="J326" s="75"/>
      <c r="K326" s="48">
        <f t="shared" si="87"/>
        <v>0</v>
      </c>
      <c r="M326" s="140" t="str">
        <f t="shared" si="88"/>
        <v>7450/0070</v>
      </c>
      <c r="N326" s="70"/>
      <c r="P326" s="71"/>
      <c r="Q326" s="51"/>
      <c r="R326" s="31"/>
    </row>
    <row r="327" spans="1:18" x14ac:dyDescent="0.2">
      <c r="A327" s="238"/>
      <c r="B327" s="90" t="s">
        <v>846</v>
      </c>
      <c r="C327" s="276">
        <f>TrialBalance!C327</f>
        <v>0</v>
      </c>
      <c r="D327" s="284"/>
      <c r="E327" s="272"/>
      <c r="F327" s="79">
        <f t="shared" si="85"/>
        <v>0</v>
      </c>
      <c r="G327" s="47">
        <f>SUMIF(JournalsB!D$14:D$920,TrialBalanceB!M327,JournalsB!J$14:J$920)+SUMIF(JournalsB!E$14:E$920,TrialBalanceB!M327,JournalsB!J$14:J$920)</f>
        <v>0</v>
      </c>
      <c r="H327" s="288"/>
      <c r="I327" s="290">
        <f t="shared" si="86"/>
        <v>0</v>
      </c>
      <c r="J327" s="75"/>
      <c r="K327" s="48">
        <f t="shared" si="87"/>
        <v>0</v>
      </c>
      <c r="M327" s="140" t="str">
        <f t="shared" si="88"/>
        <v>7450/0080</v>
      </c>
      <c r="N327" s="70"/>
      <c r="P327" s="71"/>
      <c r="Q327" s="51"/>
      <c r="R327" s="31"/>
    </row>
    <row r="328" spans="1:18" x14ac:dyDescent="0.2">
      <c r="A328" s="238"/>
      <c r="B328" s="90" t="s">
        <v>847</v>
      </c>
      <c r="C328" s="276">
        <f>TrialBalance!C328</f>
        <v>0</v>
      </c>
      <c r="D328" s="284"/>
      <c r="E328" s="272"/>
      <c r="F328" s="79">
        <f t="shared" si="85"/>
        <v>0</v>
      </c>
      <c r="G328" s="47">
        <f>SUMIF(JournalsB!D$14:D$920,TrialBalanceB!M328,JournalsB!J$14:J$920)+SUMIF(JournalsB!E$14:E$920,TrialBalanceB!M328,JournalsB!J$14:J$920)</f>
        <v>0</v>
      </c>
      <c r="H328" s="288"/>
      <c r="I328" s="290">
        <f t="shared" si="86"/>
        <v>0</v>
      </c>
      <c r="J328" s="75"/>
      <c r="K328" s="48">
        <f t="shared" si="87"/>
        <v>0</v>
      </c>
      <c r="M328" s="140" t="str">
        <f t="shared" si="88"/>
        <v>7450/0090</v>
      </c>
      <c r="N328" s="70"/>
      <c r="P328" s="71"/>
      <c r="Q328" s="51"/>
      <c r="R328" s="31"/>
    </row>
    <row r="329" spans="1:18" x14ac:dyDescent="0.2">
      <c r="A329" s="238"/>
      <c r="B329" s="90" t="s">
        <v>848</v>
      </c>
      <c r="C329" s="276">
        <f>TrialBalance!C329</f>
        <v>0</v>
      </c>
      <c r="D329" s="282"/>
      <c r="E329" s="272"/>
      <c r="F329" s="79">
        <f t="shared" si="77"/>
        <v>0</v>
      </c>
      <c r="G329" s="47">
        <f>SUMIF(JournalsB!D$14:D$920,TrialBalanceB!M329,JournalsB!J$14:J$920)+SUMIF(JournalsB!E$14:E$920,TrialBalanceB!M329,JournalsB!J$14:J$920)</f>
        <v>0</v>
      </c>
      <c r="H329" s="288"/>
      <c r="I329" s="290">
        <f t="shared" si="68"/>
        <v>0</v>
      </c>
      <c r="J329" s="75"/>
      <c r="K329" s="48">
        <f t="shared" si="72"/>
        <v>0</v>
      </c>
      <c r="M329" s="140" t="str">
        <f t="shared" si="73"/>
        <v>7450/0100</v>
      </c>
      <c r="N329" s="70"/>
      <c r="P329" s="71"/>
      <c r="Q329" s="51"/>
      <c r="R329" s="31"/>
    </row>
    <row r="330" spans="1:18" x14ac:dyDescent="0.2">
      <c r="A330" s="238"/>
      <c r="B330" s="90" t="s">
        <v>849</v>
      </c>
      <c r="C330" s="242" t="s">
        <v>678</v>
      </c>
      <c r="D330" s="282"/>
      <c r="E330" s="272"/>
      <c r="F330" s="79"/>
      <c r="G330" s="47">
        <f>SUMIF(JournalsB!D$14:D$920,TrialBalanceB!M330,JournalsB!J$14:J$920)+SUMIF(JournalsB!E$14:E$920,TrialBalanceB!M330,JournalsB!J$14:J$920)</f>
        <v>0</v>
      </c>
      <c r="H330" s="288"/>
      <c r="I330" s="290">
        <f t="shared" ref="I330" si="89">ROUND(D330-E330+G330+F330,0)</f>
        <v>0</v>
      </c>
      <c r="J330" s="75"/>
      <c r="K330" s="48">
        <f t="shared" ref="K330" si="90">ROUND(SUM(A330),0)</f>
        <v>0</v>
      </c>
      <c r="M330" s="140" t="str">
        <f t="shared" ref="M330" si="91">CONCATENATE(B330,C330)</f>
        <v>7455/000Interest free</v>
      </c>
      <c r="N330" s="70"/>
      <c r="P330" s="71"/>
      <c r="Q330" s="51"/>
      <c r="R330" s="31"/>
    </row>
    <row r="331" spans="1:18" x14ac:dyDescent="0.2">
      <c r="A331" s="238"/>
      <c r="B331" s="90" t="s">
        <v>850</v>
      </c>
      <c r="C331" s="276">
        <f>TrialBalance!C331</f>
        <v>0</v>
      </c>
      <c r="D331" s="282"/>
      <c r="E331" s="272"/>
      <c r="F331" s="79">
        <f t="shared" si="77"/>
        <v>0</v>
      </c>
      <c r="G331" s="47">
        <f>SUMIF(JournalsB!D$14:D$920,TrialBalanceB!M331,JournalsB!J$14:J$920)+SUMIF(JournalsB!E$14:E$920,TrialBalanceB!M331,JournalsB!J$14:J$920)</f>
        <v>0</v>
      </c>
      <c r="H331" s="288"/>
      <c r="I331" s="290">
        <f t="shared" si="68"/>
        <v>0</v>
      </c>
      <c r="J331" s="75"/>
      <c r="K331" s="48">
        <f t="shared" si="72"/>
        <v>0</v>
      </c>
      <c r="M331" s="140" t="str">
        <f t="shared" si="73"/>
        <v>7455/0010</v>
      </c>
      <c r="N331" s="70"/>
      <c r="P331" s="71"/>
      <c r="Q331" s="51"/>
      <c r="R331" s="31"/>
    </row>
    <row r="332" spans="1:18" x14ac:dyDescent="0.2">
      <c r="A332" s="238"/>
      <c r="B332" s="90" t="s">
        <v>851</v>
      </c>
      <c r="C332" s="276">
        <f>TrialBalance!C332</f>
        <v>0</v>
      </c>
      <c r="D332" s="282"/>
      <c r="E332" s="272"/>
      <c r="F332" s="79">
        <f t="shared" ref="F332" si="92">K332</f>
        <v>0</v>
      </c>
      <c r="G332" s="47">
        <f>SUMIF(JournalsB!D$14:D$920,TrialBalanceB!M332,JournalsB!J$14:J$920)+SUMIF(JournalsB!E$14:E$920,TrialBalanceB!M332,JournalsB!J$14:J$920)</f>
        <v>0</v>
      </c>
      <c r="H332" s="288"/>
      <c r="I332" s="290">
        <f t="shared" ref="I332" si="93">ROUND(D332-E332+G332+F332,0)</f>
        <v>0</v>
      </c>
      <c r="J332" s="75"/>
      <c r="K332" s="48">
        <f t="shared" ref="K332" si="94">ROUND(SUM(A332),0)</f>
        <v>0</v>
      </c>
      <c r="M332" s="140" t="str">
        <f t="shared" ref="M332" si="95">CONCATENATE(B332,C332)</f>
        <v>7455/0020</v>
      </c>
      <c r="N332" s="70"/>
      <c r="P332" s="71"/>
      <c r="Q332" s="51"/>
      <c r="R332" s="31"/>
    </row>
    <row r="333" spans="1:18" x14ac:dyDescent="0.2">
      <c r="A333" s="238"/>
      <c r="B333" s="90" t="s">
        <v>852</v>
      </c>
      <c r="C333" s="276">
        <f>TrialBalance!C333</f>
        <v>0</v>
      </c>
      <c r="D333" s="282"/>
      <c r="E333" s="272"/>
      <c r="F333" s="79">
        <f t="shared" si="77"/>
        <v>0</v>
      </c>
      <c r="G333" s="47">
        <f>SUMIF(JournalsB!D$14:D$920,TrialBalanceB!M333,JournalsB!J$14:J$920)+SUMIF(JournalsB!E$14:E$920,TrialBalanceB!M333,JournalsB!J$14:J$920)</f>
        <v>0</v>
      </c>
      <c r="H333" s="288"/>
      <c r="I333" s="290">
        <f t="shared" si="68"/>
        <v>0</v>
      </c>
      <c r="J333" s="75"/>
      <c r="K333" s="48">
        <f t="shared" si="72"/>
        <v>0</v>
      </c>
      <c r="M333" s="140" t="str">
        <f t="shared" si="73"/>
        <v>7455/0030</v>
      </c>
      <c r="N333" s="70"/>
      <c r="P333" s="71"/>
      <c r="Q333" s="51"/>
      <c r="R333" s="31"/>
    </row>
    <row r="334" spans="1:18" x14ac:dyDescent="0.2">
      <c r="A334" s="238"/>
      <c r="B334" s="90" t="s">
        <v>853</v>
      </c>
      <c r="C334" s="276">
        <f>TrialBalance!C334</f>
        <v>0</v>
      </c>
      <c r="D334" s="282"/>
      <c r="E334" s="272"/>
      <c r="F334" s="79">
        <f t="shared" ref="F334:F339" si="96">K334</f>
        <v>0</v>
      </c>
      <c r="G334" s="47">
        <f>SUMIF(JournalsB!D$14:D$920,TrialBalanceB!M334,JournalsB!J$14:J$920)+SUMIF(JournalsB!E$14:E$920,TrialBalanceB!M334,JournalsB!J$14:J$920)</f>
        <v>0</v>
      </c>
      <c r="H334" s="288"/>
      <c r="I334" s="290">
        <f t="shared" ref="I334:I339" si="97">ROUND(D334-E334+G334+F334,0)</f>
        <v>0</v>
      </c>
      <c r="J334" s="75"/>
      <c r="K334" s="48">
        <f t="shared" ref="K334:K339" si="98">ROUND(SUM(A334),0)</f>
        <v>0</v>
      </c>
      <c r="M334" s="140" t="str">
        <f t="shared" ref="M334:M339" si="99">CONCATENATE(B334,C334)</f>
        <v>7455/0040</v>
      </c>
      <c r="N334" s="70"/>
      <c r="P334" s="71"/>
      <c r="Q334" s="51"/>
      <c r="R334" s="31"/>
    </row>
    <row r="335" spans="1:18" x14ac:dyDescent="0.2">
      <c r="A335" s="238"/>
      <c r="B335" s="90" t="s">
        <v>854</v>
      </c>
      <c r="C335" s="276">
        <f>TrialBalance!C335</f>
        <v>0</v>
      </c>
      <c r="D335" s="282"/>
      <c r="E335" s="272"/>
      <c r="F335" s="79">
        <f t="shared" si="96"/>
        <v>0</v>
      </c>
      <c r="G335" s="47">
        <f>SUMIF(JournalsB!D$14:D$920,TrialBalanceB!M335,JournalsB!J$14:J$920)+SUMIF(JournalsB!E$14:E$920,TrialBalanceB!M335,JournalsB!J$14:J$920)</f>
        <v>0</v>
      </c>
      <c r="H335" s="288"/>
      <c r="I335" s="290">
        <f t="shared" si="97"/>
        <v>0</v>
      </c>
      <c r="J335" s="75"/>
      <c r="K335" s="48">
        <f t="shared" si="98"/>
        <v>0</v>
      </c>
      <c r="M335" s="140" t="str">
        <f t="shared" si="99"/>
        <v>7455/0050</v>
      </c>
      <c r="N335" s="70"/>
      <c r="P335" s="71"/>
      <c r="Q335" s="51"/>
      <c r="R335" s="31"/>
    </row>
    <row r="336" spans="1:18" x14ac:dyDescent="0.2">
      <c r="A336" s="238"/>
      <c r="B336" s="90" t="s">
        <v>855</v>
      </c>
      <c r="C336" s="276">
        <f>TrialBalance!C336</f>
        <v>0</v>
      </c>
      <c r="D336" s="282"/>
      <c r="E336" s="272"/>
      <c r="F336" s="79">
        <f t="shared" si="96"/>
        <v>0</v>
      </c>
      <c r="G336" s="47">
        <f>SUMIF(JournalsB!D$14:D$920,TrialBalanceB!M336,JournalsB!J$14:J$920)+SUMIF(JournalsB!E$14:E$920,TrialBalanceB!M336,JournalsB!J$14:J$920)</f>
        <v>0</v>
      </c>
      <c r="H336" s="288"/>
      <c r="I336" s="290">
        <f t="shared" si="97"/>
        <v>0</v>
      </c>
      <c r="J336" s="75"/>
      <c r="K336" s="48">
        <f t="shared" si="98"/>
        <v>0</v>
      </c>
      <c r="M336" s="140" t="str">
        <f t="shared" si="99"/>
        <v>7455/0060</v>
      </c>
      <c r="N336" s="70"/>
      <c r="P336" s="71"/>
      <c r="Q336" s="51"/>
      <c r="R336" s="31"/>
    </row>
    <row r="337" spans="1:18" x14ac:dyDescent="0.2">
      <c r="A337" s="238"/>
      <c r="B337" s="90" t="s">
        <v>856</v>
      </c>
      <c r="C337" s="276">
        <f>TrialBalance!C337</f>
        <v>0</v>
      </c>
      <c r="D337" s="282"/>
      <c r="E337" s="272"/>
      <c r="F337" s="79">
        <f t="shared" si="96"/>
        <v>0</v>
      </c>
      <c r="G337" s="47">
        <f>SUMIF(JournalsB!D$14:D$920,TrialBalanceB!M337,JournalsB!J$14:J$920)+SUMIF(JournalsB!E$14:E$920,TrialBalanceB!M337,JournalsB!J$14:J$920)</f>
        <v>0</v>
      </c>
      <c r="H337" s="288"/>
      <c r="I337" s="290">
        <f t="shared" si="97"/>
        <v>0</v>
      </c>
      <c r="J337" s="75"/>
      <c r="K337" s="48">
        <f t="shared" si="98"/>
        <v>0</v>
      </c>
      <c r="M337" s="140" t="str">
        <f t="shared" si="99"/>
        <v>7455/0070</v>
      </c>
      <c r="N337" s="70"/>
      <c r="P337" s="71"/>
      <c r="Q337" s="51"/>
      <c r="R337" s="31"/>
    </row>
    <row r="338" spans="1:18" x14ac:dyDescent="0.2">
      <c r="A338" s="238"/>
      <c r="B338" s="90" t="s">
        <v>857</v>
      </c>
      <c r="C338" s="276">
        <f>TrialBalance!C338</f>
        <v>0</v>
      </c>
      <c r="D338" s="282"/>
      <c r="E338" s="272"/>
      <c r="F338" s="79">
        <f t="shared" si="96"/>
        <v>0</v>
      </c>
      <c r="G338" s="47">
        <f>SUMIF(JournalsB!D$14:D$920,TrialBalanceB!M338,JournalsB!J$14:J$920)+SUMIF(JournalsB!E$14:E$920,TrialBalanceB!M338,JournalsB!J$14:J$920)</f>
        <v>0</v>
      </c>
      <c r="H338" s="288"/>
      <c r="I338" s="290">
        <f t="shared" si="97"/>
        <v>0</v>
      </c>
      <c r="J338" s="75"/>
      <c r="K338" s="48">
        <f t="shared" si="98"/>
        <v>0</v>
      </c>
      <c r="M338" s="140" t="str">
        <f t="shared" si="99"/>
        <v>7455/0080</v>
      </c>
      <c r="N338" s="70"/>
      <c r="P338" s="71"/>
      <c r="Q338" s="51"/>
      <c r="R338" s="31"/>
    </row>
    <row r="339" spans="1:18" x14ac:dyDescent="0.2">
      <c r="A339" s="238"/>
      <c r="B339" s="90" t="s">
        <v>858</v>
      </c>
      <c r="C339" s="276">
        <f>TrialBalance!C339</f>
        <v>0</v>
      </c>
      <c r="D339" s="282"/>
      <c r="E339" s="272"/>
      <c r="F339" s="79">
        <f t="shared" si="96"/>
        <v>0</v>
      </c>
      <c r="G339" s="47">
        <f>SUMIF(JournalsB!D$14:D$920,TrialBalanceB!M339,JournalsB!J$14:J$920)+SUMIF(JournalsB!E$14:E$920,TrialBalanceB!M339,JournalsB!J$14:J$920)</f>
        <v>0</v>
      </c>
      <c r="H339" s="288"/>
      <c r="I339" s="290">
        <f t="shared" si="97"/>
        <v>0</v>
      </c>
      <c r="J339" s="75"/>
      <c r="K339" s="48">
        <f t="shared" si="98"/>
        <v>0</v>
      </c>
      <c r="M339" s="140" t="str">
        <f t="shared" si="99"/>
        <v>7455/0090</v>
      </c>
      <c r="N339" s="70"/>
      <c r="P339" s="71"/>
      <c r="Q339" s="51"/>
      <c r="R339" s="31"/>
    </row>
    <row r="340" spans="1:18" x14ac:dyDescent="0.2">
      <c r="A340" s="238"/>
      <c r="B340" s="90" t="s">
        <v>859</v>
      </c>
      <c r="C340" s="276">
        <f>TrialBalance!C340</f>
        <v>0</v>
      </c>
      <c r="D340" s="282"/>
      <c r="E340" s="272"/>
      <c r="F340" s="79">
        <f t="shared" si="77"/>
        <v>0</v>
      </c>
      <c r="G340" s="47">
        <f>SUMIF(JournalsB!D$14:D$920,TrialBalanceB!M340,JournalsB!J$14:J$920)+SUMIF(JournalsB!E$14:E$920,TrialBalanceB!M340,JournalsB!J$14:J$920)</f>
        <v>0</v>
      </c>
      <c r="H340" s="288"/>
      <c r="I340" s="290">
        <f t="shared" si="68"/>
        <v>0</v>
      </c>
      <c r="J340" s="75"/>
      <c r="K340" s="48">
        <f t="shared" si="72"/>
        <v>0</v>
      </c>
      <c r="M340" s="140" t="str">
        <f t="shared" si="73"/>
        <v>7455/0100</v>
      </c>
      <c r="N340" s="70"/>
      <c r="P340" s="71"/>
      <c r="Q340" s="51"/>
      <c r="R340" s="31"/>
    </row>
    <row r="341" spans="1:18" x14ac:dyDescent="0.2">
      <c r="A341" s="238"/>
      <c r="B341" s="54" t="s">
        <v>291</v>
      </c>
      <c r="C341" s="241" t="s">
        <v>722</v>
      </c>
      <c r="D341" s="272"/>
      <c r="E341" s="272"/>
      <c r="F341" s="79"/>
      <c r="G341" s="47">
        <f>SUMIF(JournalsB!D$14:D$920,TrialBalanceB!M341,JournalsB!J$14:J$920)+SUMIF(JournalsB!E$14:E$920,TrialBalanceB!M341,JournalsB!J$14:J$920)</f>
        <v>0</v>
      </c>
      <c r="H341" s="288"/>
      <c r="I341" s="290">
        <f t="shared" si="68"/>
        <v>0</v>
      </c>
      <c r="J341" s="75"/>
      <c r="K341" s="48">
        <f t="shared" si="72"/>
        <v>0</v>
      </c>
      <c r="M341" s="140" t="str">
        <f t="shared" si="73"/>
        <v>7460/000OTHER NON - CURRENT RECEIVABLES</v>
      </c>
      <c r="N341" s="70"/>
      <c r="P341" s="71"/>
      <c r="Q341" s="51"/>
      <c r="R341" s="31"/>
    </row>
    <row r="342" spans="1:18" x14ac:dyDescent="0.2">
      <c r="A342" s="238"/>
      <c r="B342" s="54" t="s">
        <v>291</v>
      </c>
      <c r="C342" s="241" t="s">
        <v>679</v>
      </c>
      <c r="D342" s="272"/>
      <c r="E342" s="272"/>
      <c r="F342" s="79"/>
      <c r="G342" s="47">
        <f>SUMIF(JournalsB!D$14:D$920,TrialBalanceB!M342,JournalsB!J$14:J$920)+SUMIF(JournalsB!E$14:E$920,TrialBalanceB!M342,JournalsB!J$14:J$920)</f>
        <v>0</v>
      </c>
      <c r="H342" s="288"/>
      <c r="I342" s="290">
        <f t="shared" ref="I342" si="100">ROUND(D342-E342+G342+F342,0)</f>
        <v>0</v>
      </c>
      <c r="J342" s="75"/>
      <c r="K342" s="48">
        <f t="shared" ref="K342" si="101">ROUND(SUM(A342),0)</f>
        <v>0</v>
      </c>
      <c r="M342" s="140" t="str">
        <f t="shared" ref="M342" si="102">CONCATENATE(B342,C342)</f>
        <v>7460/000Interest bearing</v>
      </c>
      <c r="N342" s="70"/>
      <c r="P342" s="71"/>
      <c r="Q342" s="51"/>
      <c r="R342" s="31"/>
    </row>
    <row r="343" spans="1:18" x14ac:dyDescent="0.2">
      <c r="A343" s="238"/>
      <c r="B343" s="54" t="s">
        <v>293</v>
      </c>
      <c r="C343" s="276">
        <f>TrialBalance!C343</f>
        <v>0</v>
      </c>
      <c r="D343" s="281"/>
      <c r="E343" s="272"/>
      <c r="F343" s="79">
        <f t="shared" si="77"/>
        <v>0</v>
      </c>
      <c r="G343" s="47">
        <f>SUMIF(JournalsB!D$14:D$920,TrialBalanceB!M343,JournalsB!J$14:J$920)+SUMIF(JournalsB!E$14:E$920,TrialBalanceB!M343,JournalsB!J$14:J$920)</f>
        <v>0</v>
      </c>
      <c r="H343" s="288"/>
      <c r="I343" s="290">
        <f t="shared" si="68"/>
        <v>0</v>
      </c>
      <c r="J343" s="75"/>
      <c r="K343" s="48">
        <f t="shared" si="72"/>
        <v>0</v>
      </c>
      <c r="M343" s="140" t="str">
        <f t="shared" si="73"/>
        <v>7460/0010</v>
      </c>
      <c r="N343" s="70"/>
      <c r="P343" s="71"/>
      <c r="Q343" s="51"/>
      <c r="R343" s="31"/>
    </row>
    <row r="344" spans="1:18" x14ac:dyDescent="0.2">
      <c r="A344" s="238"/>
      <c r="B344" s="54" t="s">
        <v>294</v>
      </c>
      <c r="C344" s="276">
        <f>TrialBalance!C344</f>
        <v>0</v>
      </c>
      <c r="D344" s="281"/>
      <c r="E344" s="272"/>
      <c r="F344" s="79">
        <f t="shared" ref="F344" si="103">K344</f>
        <v>0</v>
      </c>
      <c r="G344" s="47">
        <f>SUMIF(JournalsB!D$14:D$920,TrialBalanceB!M344,JournalsB!J$14:J$920)+SUMIF(JournalsB!E$14:E$920,TrialBalanceB!M344,JournalsB!J$14:J$920)</f>
        <v>0</v>
      </c>
      <c r="H344" s="288"/>
      <c r="I344" s="290">
        <f t="shared" ref="I344" si="104">ROUND(D344-E344+G344+F344,0)</f>
        <v>0</v>
      </c>
      <c r="J344" s="75"/>
      <c r="K344" s="48">
        <f t="shared" ref="K344" si="105">ROUND(SUM(A344),0)</f>
        <v>0</v>
      </c>
      <c r="M344" s="140" t="str">
        <f t="shared" ref="M344" si="106">CONCATENATE(B344,C344)</f>
        <v>7460/0020</v>
      </c>
      <c r="N344" s="70"/>
      <c r="P344" s="71"/>
      <c r="Q344" s="51"/>
      <c r="R344" s="31"/>
    </row>
    <row r="345" spans="1:18" x14ac:dyDescent="0.2">
      <c r="A345" s="238"/>
      <c r="B345" s="54" t="s">
        <v>295</v>
      </c>
      <c r="C345" s="276">
        <f>TrialBalance!C345</f>
        <v>0</v>
      </c>
      <c r="D345" s="282"/>
      <c r="E345" s="272"/>
      <c r="F345" s="79">
        <f t="shared" si="77"/>
        <v>0</v>
      </c>
      <c r="G345" s="47">
        <f>SUMIF(JournalsB!D$14:D$920,TrialBalanceB!M345,JournalsB!J$14:J$920)+SUMIF(JournalsB!E$14:E$920,TrialBalanceB!M345,JournalsB!J$14:J$920)</f>
        <v>0</v>
      </c>
      <c r="H345" s="288"/>
      <c r="I345" s="290">
        <f t="shared" si="68"/>
        <v>0</v>
      </c>
      <c r="J345" s="75"/>
      <c r="K345" s="48">
        <f t="shared" si="72"/>
        <v>0</v>
      </c>
      <c r="M345" s="140" t="str">
        <f t="shared" si="73"/>
        <v>7460/0030</v>
      </c>
      <c r="N345" s="70"/>
      <c r="P345" s="71"/>
      <c r="Q345" s="51"/>
      <c r="R345" s="31"/>
    </row>
    <row r="346" spans="1:18" x14ac:dyDescent="0.2">
      <c r="A346" s="238"/>
      <c r="B346" s="90" t="s">
        <v>640</v>
      </c>
      <c r="C346" s="276">
        <f>TrialBalance!C346</f>
        <v>0</v>
      </c>
      <c r="D346" s="282"/>
      <c r="E346" s="272"/>
      <c r="F346" s="79">
        <f t="shared" si="77"/>
        <v>0</v>
      </c>
      <c r="G346" s="47">
        <f>SUMIF(JournalsB!D$14:D$920,TrialBalanceB!M346,JournalsB!J$14:J$920)+SUMIF(JournalsB!E$14:E$920,TrialBalanceB!M346,JournalsB!J$14:J$920)</f>
        <v>0</v>
      </c>
      <c r="H346" s="288"/>
      <c r="I346" s="290">
        <f t="shared" si="68"/>
        <v>0</v>
      </c>
      <c r="J346" s="75"/>
      <c r="K346" s="48">
        <f t="shared" si="72"/>
        <v>0</v>
      </c>
      <c r="M346" s="140" t="str">
        <f t="shared" si="73"/>
        <v>7460/0040</v>
      </c>
      <c r="N346" s="70"/>
      <c r="P346" s="71"/>
      <c r="Q346" s="51"/>
      <c r="R346" s="31"/>
    </row>
    <row r="347" spans="1:18" x14ac:dyDescent="0.2">
      <c r="A347" s="238"/>
      <c r="B347" s="54" t="s">
        <v>291</v>
      </c>
      <c r="C347" s="242" t="s">
        <v>678</v>
      </c>
      <c r="D347" s="282"/>
      <c r="E347" s="272"/>
      <c r="F347" s="79"/>
      <c r="G347" s="47">
        <f>SUMIF(JournalsB!D$14:D$920,TrialBalanceB!M347,JournalsB!J$14:J$920)+SUMIF(JournalsB!E$14:E$920,TrialBalanceB!M347,JournalsB!J$14:J$920)</f>
        <v>0</v>
      </c>
      <c r="H347" s="288"/>
      <c r="I347" s="290">
        <f t="shared" ref="I347" si="107">ROUND(D347-E347+G347+F347,0)</f>
        <v>0</v>
      </c>
      <c r="J347" s="75"/>
      <c r="K347" s="48">
        <f t="shared" ref="K347" si="108">ROUND(SUM(A347),0)</f>
        <v>0</v>
      </c>
      <c r="M347" s="140" t="str">
        <f t="shared" ref="M347" si="109">CONCATENATE(B347,C347)</f>
        <v>7460/000Interest free</v>
      </c>
      <c r="N347" s="70"/>
      <c r="P347" s="71"/>
      <c r="Q347" s="51"/>
      <c r="R347" s="31"/>
    </row>
    <row r="348" spans="1:18" x14ac:dyDescent="0.2">
      <c r="A348" s="238"/>
      <c r="B348" s="90" t="s">
        <v>640</v>
      </c>
      <c r="C348" s="276">
        <f>TrialBalance!C348</f>
        <v>0</v>
      </c>
      <c r="D348" s="282"/>
      <c r="E348" s="272"/>
      <c r="F348" s="79">
        <f t="shared" si="77"/>
        <v>0</v>
      </c>
      <c r="G348" s="47">
        <f>SUMIF(JournalsB!D$14:D$920,TrialBalanceB!M348,JournalsB!J$14:J$920)+SUMIF(JournalsB!E$14:E$920,TrialBalanceB!M348,JournalsB!J$14:J$920)</f>
        <v>0</v>
      </c>
      <c r="H348" s="288"/>
      <c r="I348" s="290">
        <f t="shared" si="68"/>
        <v>0</v>
      </c>
      <c r="J348" s="75"/>
      <c r="K348" s="48">
        <f t="shared" si="72"/>
        <v>0</v>
      </c>
      <c r="M348" s="140" t="str">
        <f t="shared" si="73"/>
        <v>7460/0040</v>
      </c>
      <c r="N348" s="70"/>
      <c r="P348" s="71"/>
      <c r="Q348" s="51"/>
      <c r="R348" s="31"/>
    </row>
    <row r="349" spans="1:18" x14ac:dyDescent="0.2">
      <c r="A349" s="238"/>
      <c r="B349" s="90" t="s">
        <v>641</v>
      </c>
      <c r="C349" s="276">
        <f>TrialBalance!C349</f>
        <v>0</v>
      </c>
      <c r="D349" s="282"/>
      <c r="E349" s="272"/>
      <c r="F349" s="79">
        <f t="shared" si="77"/>
        <v>0</v>
      </c>
      <c r="G349" s="47">
        <f>SUMIF(JournalsB!D$14:D$920,TrialBalanceB!M349,JournalsB!J$14:J$920)+SUMIF(JournalsB!E$14:E$920,TrialBalanceB!M349,JournalsB!J$14:J$920)</f>
        <v>0</v>
      </c>
      <c r="H349" s="288"/>
      <c r="I349" s="290">
        <f t="shared" si="68"/>
        <v>0</v>
      </c>
      <c r="J349" s="75"/>
      <c r="K349" s="48">
        <f t="shared" si="72"/>
        <v>0</v>
      </c>
      <c r="M349" s="140" t="str">
        <f t="shared" si="73"/>
        <v>7460/0050</v>
      </c>
      <c r="N349" s="70"/>
      <c r="P349" s="71"/>
      <c r="Q349" s="51"/>
      <c r="R349" s="31"/>
    </row>
    <row r="350" spans="1:18" x14ac:dyDescent="0.2">
      <c r="A350" s="238"/>
      <c r="B350" s="90" t="s">
        <v>296</v>
      </c>
      <c r="C350" s="276">
        <f>TrialBalance!C350</f>
        <v>0</v>
      </c>
      <c r="D350" s="282"/>
      <c r="E350" s="272"/>
      <c r="F350" s="79">
        <f>K350</f>
        <v>0</v>
      </c>
      <c r="G350" s="47">
        <f>SUMIF(JournalsB!D$14:D$920,TrialBalanceB!M350,JournalsB!J$14:J$920)+SUMIF(JournalsB!E$14:E$920,TrialBalanceB!M350,JournalsB!J$14:J$920)</f>
        <v>0</v>
      </c>
      <c r="H350" s="288"/>
      <c r="I350" s="290">
        <f t="shared" si="68"/>
        <v>0</v>
      </c>
      <c r="J350" s="75"/>
      <c r="K350" s="48">
        <f t="shared" si="72"/>
        <v>0</v>
      </c>
      <c r="M350" s="140" t="str">
        <f t="shared" si="73"/>
        <v>7460/0060</v>
      </c>
      <c r="N350" s="70"/>
      <c r="P350" s="71"/>
      <c r="Q350" s="51"/>
      <c r="R350" s="31"/>
    </row>
    <row r="351" spans="1:18" x14ac:dyDescent="0.2">
      <c r="A351" s="238"/>
      <c r="B351" s="90" t="s">
        <v>297</v>
      </c>
      <c r="C351" s="276">
        <f>TrialBalance!C351</f>
        <v>0</v>
      </c>
      <c r="D351" s="282"/>
      <c r="E351" s="272"/>
      <c r="F351" s="79">
        <f>K351</f>
        <v>0</v>
      </c>
      <c r="G351" s="47">
        <f>SUMIF(JournalsB!D$14:D$920,TrialBalanceB!M351,JournalsB!J$14:J$920)+SUMIF(JournalsB!E$14:E$920,TrialBalanceB!M351,JournalsB!J$14:J$920)</f>
        <v>0</v>
      </c>
      <c r="H351" s="288"/>
      <c r="I351" s="290">
        <f t="shared" si="68"/>
        <v>0</v>
      </c>
      <c r="J351" s="75"/>
      <c r="K351" s="48">
        <f t="shared" si="72"/>
        <v>0</v>
      </c>
      <c r="M351" s="140" t="str">
        <f t="shared" si="73"/>
        <v>7460/0070</v>
      </c>
      <c r="N351" s="70"/>
      <c r="P351" s="71"/>
      <c r="Q351" s="51"/>
      <c r="R351" s="31"/>
    </row>
    <row r="352" spans="1:18" x14ac:dyDescent="0.2">
      <c r="A352" s="238"/>
      <c r="B352" s="90" t="s">
        <v>513</v>
      </c>
      <c r="C352" s="276">
        <f>TrialBalance!C352</f>
        <v>0</v>
      </c>
      <c r="D352" s="282"/>
      <c r="E352" s="272"/>
      <c r="F352" s="79">
        <f>K352</f>
        <v>0</v>
      </c>
      <c r="G352" s="47">
        <f>SUMIF(JournalsB!D$14:D$920,TrialBalanceB!M352,JournalsB!J$14:J$920)+SUMIF(JournalsB!E$14:E$920,TrialBalanceB!M352,JournalsB!J$14:J$920)</f>
        <v>0</v>
      </c>
      <c r="H352" s="288"/>
      <c r="I352" s="290">
        <f t="shared" si="68"/>
        <v>0</v>
      </c>
      <c r="J352" s="75"/>
      <c r="K352" s="48">
        <f t="shared" si="72"/>
        <v>0</v>
      </c>
      <c r="M352" s="140" t="str">
        <f t="shared" si="73"/>
        <v>7460/0080</v>
      </c>
      <c r="N352" s="70"/>
      <c r="P352" s="71"/>
      <c r="Q352" s="51"/>
      <c r="R352" s="31"/>
    </row>
    <row r="353" spans="1:18" x14ac:dyDescent="0.2">
      <c r="A353" s="238"/>
      <c r="B353" s="54" t="s">
        <v>417</v>
      </c>
      <c r="C353" s="239" t="s">
        <v>46</v>
      </c>
      <c r="D353" s="283"/>
      <c r="E353" s="272"/>
      <c r="F353" s="79"/>
      <c r="G353" s="47">
        <f>SUMIF(JournalsB!D$14:D$920,TrialBalanceB!M353,JournalsB!J$14:J$920)+SUMIF(JournalsB!E$14:E$920,TrialBalanceB!M353,JournalsB!J$14:J$920)</f>
        <v>0</v>
      </c>
      <c r="H353" s="288"/>
      <c r="I353" s="290">
        <f t="shared" si="68"/>
        <v>0</v>
      </c>
      <c r="J353" s="75"/>
      <c r="K353" s="48">
        <f t="shared" si="72"/>
        <v>0</v>
      </c>
      <c r="M353" s="140" t="str">
        <f t="shared" si="73"/>
        <v>7500/000INVENTORY</v>
      </c>
      <c r="N353" s="70"/>
      <c r="P353" s="71"/>
      <c r="Q353" s="51"/>
      <c r="R353" s="31"/>
    </row>
    <row r="354" spans="1:18" x14ac:dyDescent="0.2">
      <c r="A354" s="238"/>
      <c r="B354" s="54" t="s">
        <v>418</v>
      </c>
      <c r="C354" s="240" t="s">
        <v>419</v>
      </c>
      <c r="D354" s="282"/>
      <c r="E354" s="272"/>
      <c r="F354" s="79">
        <f t="shared" si="77"/>
        <v>0</v>
      </c>
      <c r="G354" s="47">
        <f>SUMIF(JournalsB!D$14:D$920,TrialBalanceB!M354,JournalsB!J$14:J$920)+SUMIF(JournalsB!E$14:E$920,TrialBalanceB!M354,JournalsB!J$14:J$920)</f>
        <v>0</v>
      </c>
      <c r="H354" s="288"/>
      <c r="I354" s="290">
        <f t="shared" si="68"/>
        <v>0</v>
      </c>
      <c r="J354" s="75"/>
      <c r="K354" s="48">
        <f t="shared" si="72"/>
        <v>0</v>
      </c>
      <c r="M354" s="140" t="str">
        <f t="shared" si="73"/>
        <v>7500/001Raw materials</v>
      </c>
      <c r="N354" s="70"/>
      <c r="P354" s="71"/>
      <c r="Q354" s="51"/>
      <c r="R354" s="31"/>
    </row>
    <row r="355" spans="1:18" x14ac:dyDescent="0.2">
      <c r="A355" s="238"/>
      <c r="B355" s="54" t="s">
        <v>21</v>
      </c>
      <c r="C355" s="240" t="s">
        <v>22</v>
      </c>
      <c r="D355" s="282"/>
      <c r="E355" s="272"/>
      <c r="F355" s="79">
        <f t="shared" si="77"/>
        <v>0</v>
      </c>
      <c r="G355" s="47">
        <f>SUMIF(JournalsB!D$14:D$920,TrialBalanceB!M355,JournalsB!J$14:J$920)+SUMIF(JournalsB!E$14:E$920,TrialBalanceB!M355,JournalsB!J$14:J$920)</f>
        <v>0</v>
      </c>
      <c r="H355" s="288"/>
      <c r="I355" s="290">
        <f t="shared" ref="I355:I400" si="110">ROUND(D355-E355+G355+F355,0)</f>
        <v>0</v>
      </c>
      <c r="J355" s="75"/>
      <c r="K355" s="48">
        <f t="shared" si="72"/>
        <v>0</v>
      </c>
      <c r="M355" s="140" t="str">
        <f t="shared" si="73"/>
        <v>7500/002Work in progress</v>
      </c>
      <c r="N355" s="70"/>
      <c r="P355" s="71"/>
      <c r="Q355" s="51"/>
      <c r="R355" s="31"/>
    </row>
    <row r="356" spans="1:18" x14ac:dyDescent="0.2">
      <c r="A356" s="238"/>
      <c r="B356" s="54" t="s">
        <v>23</v>
      </c>
      <c r="C356" s="240" t="s">
        <v>24</v>
      </c>
      <c r="D356" s="282"/>
      <c r="E356" s="272"/>
      <c r="F356" s="79">
        <f t="shared" si="77"/>
        <v>0</v>
      </c>
      <c r="G356" s="47">
        <f>SUMIF(JournalsB!D$14:D$920,TrialBalanceB!M356,JournalsB!J$14:J$920)+SUMIF(JournalsB!E$14:E$920,TrialBalanceB!M356,JournalsB!J$14:J$920)</f>
        <v>0</v>
      </c>
      <c r="H356" s="288"/>
      <c r="I356" s="290">
        <f t="shared" si="110"/>
        <v>0</v>
      </c>
      <c r="J356" s="75"/>
      <c r="K356" s="48">
        <f t="shared" si="72"/>
        <v>0</v>
      </c>
      <c r="M356" s="140" t="str">
        <f t="shared" si="73"/>
        <v>7500/003Finished goods</v>
      </c>
      <c r="N356" s="70"/>
      <c r="P356" s="71"/>
      <c r="Q356" s="51"/>
      <c r="R356" s="31"/>
    </row>
    <row r="357" spans="1:18" x14ac:dyDescent="0.2">
      <c r="A357" s="238"/>
      <c r="B357" s="54" t="s">
        <v>27</v>
      </c>
      <c r="C357" s="240" t="s">
        <v>28</v>
      </c>
      <c r="D357" s="282"/>
      <c r="E357" s="272"/>
      <c r="F357" s="79">
        <f t="shared" si="77"/>
        <v>0</v>
      </c>
      <c r="G357" s="47">
        <f>SUMIF(JournalsB!D$14:D$920,TrialBalanceB!M357,JournalsB!J$14:J$920)+SUMIF(JournalsB!E$14:E$920,TrialBalanceB!M357,JournalsB!J$14:J$920)</f>
        <v>0</v>
      </c>
      <c r="H357" s="288"/>
      <c r="I357" s="290">
        <f t="shared" si="110"/>
        <v>0</v>
      </c>
      <c r="J357" s="75"/>
      <c r="K357" s="48">
        <f t="shared" si="72"/>
        <v>0</v>
      </c>
      <c r="M357" s="140" t="str">
        <f t="shared" si="73"/>
        <v>7500/004Trading stock</v>
      </c>
      <c r="N357" s="70"/>
      <c r="P357" s="71"/>
      <c r="Q357" s="51"/>
      <c r="R357" s="31"/>
    </row>
    <row r="358" spans="1:18" x14ac:dyDescent="0.2">
      <c r="A358" s="238"/>
      <c r="B358" s="54" t="s">
        <v>30</v>
      </c>
      <c r="C358" s="239" t="s">
        <v>31</v>
      </c>
      <c r="D358" s="283"/>
      <c r="E358" s="272"/>
      <c r="F358" s="79"/>
      <c r="G358" s="47">
        <f>SUMIF(JournalsB!D$14:D$920,TrialBalanceB!M358,JournalsB!J$14:J$920)+SUMIF(JournalsB!E$14:E$920,TrialBalanceB!M358,JournalsB!J$14:J$920)</f>
        <v>0</v>
      </c>
      <c r="H358" s="288"/>
      <c r="I358" s="290">
        <f t="shared" si="110"/>
        <v>0</v>
      </c>
      <c r="J358" s="75"/>
      <c r="K358" s="48">
        <f t="shared" si="72"/>
        <v>0</v>
      </c>
      <c r="M358" s="140" t="str">
        <f t="shared" si="73"/>
        <v>8000/000DEBTORS</v>
      </c>
      <c r="N358" s="70"/>
      <c r="P358" s="71"/>
      <c r="Q358" s="51"/>
      <c r="R358" s="31"/>
    </row>
    <row r="359" spans="1:18" x14ac:dyDescent="0.2">
      <c r="A359" s="238"/>
      <c r="B359" s="54" t="s">
        <v>32</v>
      </c>
      <c r="C359" s="240" t="s">
        <v>33</v>
      </c>
      <c r="D359" s="282"/>
      <c r="E359" s="272"/>
      <c r="F359" s="79">
        <f t="shared" si="77"/>
        <v>0</v>
      </c>
      <c r="G359" s="47">
        <f>SUMIF(JournalsB!D$14:D$920,TrialBalanceB!M359,JournalsB!J$14:J$920)+SUMIF(JournalsB!E$14:E$920,TrialBalanceB!M359,JournalsB!J$14:J$920)</f>
        <v>0</v>
      </c>
      <c r="H359" s="288"/>
      <c r="I359" s="290">
        <f t="shared" si="110"/>
        <v>0</v>
      </c>
      <c r="J359" s="75"/>
      <c r="K359" s="48">
        <f t="shared" si="72"/>
        <v>0</v>
      </c>
      <c r="M359" s="140" t="str">
        <f t="shared" si="73"/>
        <v>8010/000Trade debtors</v>
      </c>
      <c r="N359" s="70"/>
      <c r="P359" s="71"/>
      <c r="Q359" s="51"/>
      <c r="R359" s="31"/>
    </row>
    <row r="360" spans="1:18" x14ac:dyDescent="0.2">
      <c r="A360" s="238"/>
      <c r="B360" s="90" t="s">
        <v>34</v>
      </c>
      <c r="C360" s="242" t="s">
        <v>589</v>
      </c>
      <c r="D360" s="282"/>
      <c r="E360" s="272"/>
      <c r="F360" s="79">
        <f t="shared" si="77"/>
        <v>0</v>
      </c>
      <c r="G360" s="47">
        <f>SUMIF(JournalsB!D$14:D$920,TrialBalanceB!M360,JournalsB!J$14:J$920)+SUMIF(JournalsB!E$14:E$920,TrialBalanceB!M360,JournalsB!J$14:J$920)</f>
        <v>0</v>
      </c>
      <c r="H360" s="288"/>
      <c r="I360" s="290">
        <f t="shared" si="110"/>
        <v>0</v>
      </c>
      <c r="J360" s="75"/>
      <c r="K360" s="48">
        <f t="shared" si="72"/>
        <v>0</v>
      </c>
      <c r="M360" s="140" t="str">
        <f t="shared" si="73"/>
        <v>8020/000Less: Provision for doubtful debts</v>
      </c>
      <c r="N360" s="70"/>
      <c r="P360" s="71"/>
      <c r="Q360" s="51"/>
      <c r="R360" s="31"/>
    </row>
    <row r="361" spans="1:18" x14ac:dyDescent="0.2">
      <c r="A361" s="238"/>
      <c r="B361" s="90" t="s">
        <v>591</v>
      </c>
      <c r="C361" s="240" t="s">
        <v>332</v>
      </c>
      <c r="D361" s="282"/>
      <c r="E361" s="272"/>
      <c r="F361" s="79">
        <f t="shared" si="77"/>
        <v>0</v>
      </c>
      <c r="G361" s="47">
        <f>SUMIF(JournalsB!D$14:D$920,TrialBalanceB!M361,JournalsB!J$14:J$920)+SUMIF(JournalsB!E$14:E$920,TrialBalanceB!M361,JournalsB!J$14:J$920)</f>
        <v>0</v>
      </c>
      <c r="H361" s="288"/>
      <c r="I361" s="290">
        <f t="shared" si="110"/>
        <v>0</v>
      </c>
      <c r="J361" s="75"/>
      <c r="K361" s="48">
        <f t="shared" si="72"/>
        <v>0</v>
      </c>
      <c r="M361" s="140" t="str">
        <f t="shared" si="73"/>
        <v>8030/000Service deposits</v>
      </c>
      <c r="N361" s="70"/>
      <c r="P361" s="71"/>
      <c r="Q361" s="51"/>
      <c r="R361" s="31"/>
    </row>
    <row r="362" spans="1:18" x14ac:dyDescent="0.2">
      <c r="A362" s="238"/>
      <c r="B362" s="54" t="s">
        <v>479</v>
      </c>
      <c r="C362" s="242" t="s">
        <v>803</v>
      </c>
      <c r="D362" s="282"/>
      <c r="E362" s="272"/>
      <c r="F362" s="79">
        <f t="shared" si="77"/>
        <v>0</v>
      </c>
      <c r="G362" s="47">
        <f>SUMIF(JournalsB!D$14:D$920,TrialBalanceB!M362,JournalsB!J$14:J$920)+SUMIF(JournalsB!E$14:E$920,TrialBalanceB!M362,JournalsB!J$14:J$920)</f>
        <v>0</v>
      </c>
      <c r="H362" s="288"/>
      <c r="I362" s="290">
        <f t="shared" si="110"/>
        <v>0</v>
      </c>
      <c r="J362" s="75"/>
      <c r="K362" s="48">
        <f t="shared" si="72"/>
        <v>0</v>
      </c>
      <c r="M362" s="140" t="str">
        <f t="shared" si="73"/>
        <v>8200/000Sundry customers</v>
      </c>
      <c r="N362" s="70"/>
      <c r="P362" s="71"/>
      <c r="Q362" s="51"/>
      <c r="R362" s="31"/>
    </row>
    <row r="363" spans="1:18" x14ac:dyDescent="0.2">
      <c r="A363" s="238"/>
      <c r="B363" s="54" t="s">
        <v>480</v>
      </c>
      <c r="C363" s="240" t="s">
        <v>376</v>
      </c>
      <c r="D363" s="282"/>
      <c r="E363" s="272"/>
      <c r="F363" s="79">
        <f t="shared" si="77"/>
        <v>0</v>
      </c>
      <c r="G363" s="47">
        <f>SUMIF(JournalsB!D$14:D$920,TrialBalanceB!M363,JournalsB!J$14:J$920)+SUMIF(JournalsB!E$14:E$920,TrialBalanceB!M363,JournalsB!J$14:J$920)</f>
        <v>0</v>
      </c>
      <c r="H363" s="288"/>
      <c r="I363" s="290">
        <f t="shared" si="110"/>
        <v>0</v>
      </c>
      <c r="J363" s="75"/>
      <c r="K363" s="48">
        <f t="shared" si="72"/>
        <v>0</v>
      </c>
      <c r="M363" s="140" t="str">
        <f t="shared" si="73"/>
        <v>8200/010Prepayments</v>
      </c>
      <c r="N363" s="70"/>
      <c r="P363" s="71"/>
      <c r="Q363" s="51"/>
      <c r="R363" s="31"/>
    </row>
    <row r="364" spans="1:18" x14ac:dyDescent="0.2">
      <c r="A364" s="238"/>
      <c r="B364" s="54" t="s">
        <v>237</v>
      </c>
      <c r="C364" s="241" t="s">
        <v>564</v>
      </c>
      <c r="D364" s="272"/>
      <c r="E364" s="272"/>
      <c r="F364" s="79">
        <f t="shared" si="77"/>
        <v>0</v>
      </c>
      <c r="G364" s="47">
        <f>SUMIF(JournalsB!D$14:D$920,TrialBalanceB!M364,JournalsB!J$14:J$920)+SUMIF(JournalsB!E$14:E$920,TrialBalanceB!M364,JournalsB!J$14:J$920)</f>
        <v>0</v>
      </c>
      <c r="H364" s="288"/>
      <c r="I364" s="290">
        <f t="shared" si="110"/>
        <v>0</v>
      </c>
      <c r="J364" s="75"/>
      <c r="K364" s="48">
        <f t="shared" si="72"/>
        <v>0</v>
      </c>
      <c r="M364" s="140" t="str">
        <f t="shared" si="73"/>
        <v>8200/020Staff loans</v>
      </c>
      <c r="N364" s="70"/>
      <c r="P364" s="71"/>
      <c r="Q364" s="51"/>
      <c r="R364" s="31"/>
    </row>
    <row r="365" spans="1:18" x14ac:dyDescent="0.2">
      <c r="A365" s="238"/>
      <c r="B365" s="54" t="s">
        <v>238</v>
      </c>
      <c r="C365" s="244" t="s">
        <v>125</v>
      </c>
      <c r="D365" s="270"/>
      <c r="E365" s="272"/>
      <c r="F365" s="79"/>
      <c r="G365" s="47">
        <f>SUMIF(JournalsB!D$14:D$920,TrialBalanceB!M365,JournalsB!J$14:J$920)+SUMIF(JournalsB!E$14:E$920,TrialBalanceB!M365,JournalsB!J$14:J$920)</f>
        <v>0</v>
      </c>
      <c r="H365" s="288"/>
      <c r="I365" s="290">
        <f t="shared" si="110"/>
        <v>0</v>
      </c>
      <c r="J365" s="75"/>
      <c r="K365" s="48">
        <f t="shared" si="72"/>
        <v>0</v>
      </c>
      <c r="M365" s="140" t="str">
        <f t="shared" si="73"/>
        <v>8400/000BANK ACCOUNTS</v>
      </c>
      <c r="N365" s="70"/>
      <c r="P365" s="71"/>
      <c r="Q365" s="51"/>
      <c r="R365" s="31"/>
    </row>
    <row r="366" spans="1:18" x14ac:dyDescent="0.2">
      <c r="A366" s="238"/>
      <c r="B366" s="54" t="s">
        <v>239</v>
      </c>
      <c r="C366" s="276">
        <f>TrialBalance!C366</f>
        <v>0</v>
      </c>
      <c r="D366" s="281"/>
      <c r="E366" s="272"/>
      <c r="F366" s="79">
        <f t="shared" si="77"/>
        <v>0</v>
      </c>
      <c r="G366" s="47">
        <f>SUMIF(JournalsB!D$14:D$920,TrialBalanceB!M366,JournalsB!J$14:J$920)+SUMIF(JournalsB!E$14:E$920,TrialBalanceB!M366,JournalsB!J$14:J$920)</f>
        <v>0</v>
      </c>
      <c r="H366" s="288"/>
      <c r="I366" s="290">
        <f t="shared" si="110"/>
        <v>0</v>
      </c>
      <c r="J366" s="75"/>
      <c r="K366" s="48">
        <f t="shared" si="72"/>
        <v>0</v>
      </c>
      <c r="M366" s="140" t="str">
        <f t="shared" si="73"/>
        <v>8410/0000</v>
      </c>
      <c r="N366" s="70"/>
      <c r="P366" s="71"/>
      <c r="Q366" s="51"/>
      <c r="R366" s="31"/>
    </row>
    <row r="367" spans="1:18" x14ac:dyDescent="0.2">
      <c r="A367" s="238"/>
      <c r="B367" s="54" t="s">
        <v>240</v>
      </c>
      <c r="C367" s="276">
        <f>TrialBalance!C367</f>
        <v>0</v>
      </c>
      <c r="D367" s="281"/>
      <c r="E367" s="272"/>
      <c r="F367" s="79">
        <f t="shared" si="77"/>
        <v>0</v>
      </c>
      <c r="G367" s="47">
        <f>SUMIF(JournalsB!D$14:D$920,TrialBalanceB!M367,JournalsB!J$14:J$920)+SUMIF(JournalsB!E$14:E$920,TrialBalanceB!M367,JournalsB!J$14:J$920)</f>
        <v>0</v>
      </c>
      <c r="H367" s="288"/>
      <c r="I367" s="290">
        <f t="shared" si="110"/>
        <v>0</v>
      </c>
      <c r="J367" s="75"/>
      <c r="K367" s="48">
        <f t="shared" si="72"/>
        <v>0</v>
      </c>
      <c r="M367" s="140" t="str">
        <f t="shared" si="73"/>
        <v>8420/0000</v>
      </c>
      <c r="N367" s="70"/>
      <c r="P367" s="71"/>
      <c r="Q367" s="51"/>
      <c r="R367" s="31"/>
    </row>
    <row r="368" spans="1:18" x14ac:dyDescent="0.2">
      <c r="A368" s="238"/>
      <c r="B368" s="54" t="s">
        <v>241</v>
      </c>
      <c r="C368" s="276">
        <f>TrialBalance!C368</f>
        <v>0</v>
      </c>
      <c r="D368" s="272"/>
      <c r="E368" s="272"/>
      <c r="F368" s="79">
        <f t="shared" si="77"/>
        <v>0</v>
      </c>
      <c r="G368" s="47">
        <f>SUMIF(JournalsB!D$14:D$920,TrialBalanceB!M368,JournalsB!J$14:J$920)+SUMIF(JournalsB!E$14:E$920,TrialBalanceB!M368,JournalsB!J$14:J$920)</f>
        <v>0</v>
      </c>
      <c r="H368" s="288"/>
      <c r="I368" s="290">
        <f t="shared" si="110"/>
        <v>0</v>
      </c>
      <c r="J368" s="75"/>
      <c r="K368" s="48">
        <f t="shared" si="72"/>
        <v>0</v>
      </c>
      <c r="M368" s="140" t="str">
        <f t="shared" si="73"/>
        <v>8430/0000</v>
      </c>
      <c r="N368" s="70"/>
      <c r="P368" s="71"/>
      <c r="Q368" s="51"/>
      <c r="R368" s="31"/>
    </row>
    <row r="369" spans="1:18" x14ac:dyDescent="0.2">
      <c r="A369" s="238"/>
      <c r="B369" s="54" t="s">
        <v>242</v>
      </c>
      <c r="C369" s="276">
        <f>TrialBalance!C369</f>
        <v>0</v>
      </c>
      <c r="D369" s="282"/>
      <c r="E369" s="272"/>
      <c r="F369" s="79">
        <f t="shared" si="77"/>
        <v>0</v>
      </c>
      <c r="G369" s="47">
        <f>SUMIF(JournalsB!D$14:D$920,TrialBalanceB!M369,JournalsB!J$14:J$920)+SUMIF(JournalsB!E$14:E$920,TrialBalanceB!M369,JournalsB!J$14:J$920)</f>
        <v>0</v>
      </c>
      <c r="H369" s="288"/>
      <c r="I369" s="290">
        <f t="shared" si="110"/>
        <v>0</v>
      </c>
      <c r="J369" s="75"/>
      <c r="K369" s="48">
        <f t="shared" si="72"/>
        <v>0</v>
      </c>
      <c r="M369" s="140" t="str">
        <f t="shared" si="73"/>
        <v>8440/0000</v>
      </c>
      <c r="N369" s="70"/>
      <c r="P369" s="71"/>
      <c r="Q369" s="51"/>
      <c r="R369" s="31"/>
    </row>
    <row r="370" spans="1:18" x14ac:dyDescent="0.2">
      <c r="A370" s="238"/>
      <c r="B370" s="54" t="s">
        <v>243</v>
      </c>
      <c r="C370" s="276">
        <f>TrialBalance!C370</f>
        <v>0</v>
      </c>
      <c r="D370" s="282"/>
      <c r="E370" s="272"/>
      <c r="F370" s="79">
        <f t="shared" si="77"/>
        <v>0</v>
      </c>
      <c r="G370" s="47">
        <f>SUMIF(JournalsB!D$14:D$920,TrialBalanceB!M370,JournalsB!J$14:J$920)+SUMIF(JournalsB!E$14:E$920,TrialBalanceB!M370,JournalsB!J$14:J$920)</f>
        <v>0</v>
      </c>
      <c r="H370" s="288"/>
      <c r="I370" s="290">
        <f t="shared" si="110"/>
        <v>0</v>
      </c>
      <c r="J370" s="75"/>
      <c r="K370" s="48">
        <f t="shared" si="72"/>
        <v>0</v>
      </c>
      <c r="M370" s="140" t="str">
        <f t="shared" si="73"/>
        <v>8450/0000</v>
      </c>
      <c r="N370" s="70"/>
      <c r="P370" s="71"/>
      <c r="Q370" s="51"/>
      <c r="R370" s="31"/>
    </row>
    <row r="371" spans="1:18" x14ac:dyDescent="0.2">
      <c r="A371" s="238"/>
      <c r="B371" s="54" t="s">
        <v>126</v>
      </c>
      <c r="C371" s="276">
        <f>TrialBalance!C371</f>
        <v>0</v>
      </c>
      <c r="D371" s="282"/>
      <c r="E371" s="272"/>
      <c r="F371" s="79">
        <f t="shared" si="77"/>
        <v>0</v>
      </c>
      <c r="G371" s="47">
        <f>SUMIF(JournalsB!D$14:D$920,TrialBalanceB!M371,JournalsB!J$14:J$920)+SUMIF(JournalsB!E$14:E$920,TrialBalanceB!M371,JournalsB!J$14:J$920)</f>
        <v>0</v>
      </c>
      <c r="H371" s="288"/>
      <c r="I371" s="290">
        <f t="shared" si="110"/>
        <v>0</v>
      </c>
      <c r="J371" s="75"/>
      <c r="K371" s="48">
        <f t="shared" si="72"/>
        <v>0</v>
      </c>
      <c r="M371" s="140" t="str">
        <f t="shared" si="73"/>
        <v>8460/0000</v>
      </c>
      <c r="N371" s="70"/>
      <c r="P371" s="71"/>
      <c r="Q371" s="51"/>
      <c r="R371" s="31"/>
    </row>
    <row r="372" spans="1:18" x14ac:dyDescent="0.2">
      <c r="A372" s="238"/>
      <c r="B372" s="54" t="s">
        <v>426</v>
      </c>
      <c r="C372" s="246" t="s">
        <v>427</v>
      </c>
      <c r="D372" s="272"/>
      <c r="E372" s="272"/>
      <c r="F372" s="79">
        <f t="shared" si="77"/>
        <v>0</v>
      </c>
      <c r="G372" s="47">
        <f>SUMIF(JournalsB!D$14:D$920,TrialBalanceB!M372,JournalsB!J$14:J$920)+SUMIF(JournalsB!E$14:E$920,TrialBalanceB!M372,JournalsB!J$14:J$920)</f>
        <v>0</v>
      </c>
      <c r="H372" s="288"/>
      <c r="I372" s="290">
        <f t="shared" si="110"/>
        <v>0</v>
      </c>
      <c r="J372" s="75"/>
      <c r="K372" s="48">
        <f t="shared" si="72"/>
        <v>0</v>
      </c>
      <c r="M372" s="140" t="str">
        <f t="shared" si="73"/>
        <v>8500/000Cash on hand</v>
      </c>
      <c r="N372" s="70"/>
      <c r="P372" s="71"/>
      <c r="Q372" s="51"/>
      <c r="R372" s="31"/>
    </row>
    <row r="373" spans="1:18" x14ac:dyDescent="0.2">
      <c r="A373" s="238"/>
      <c r="B373" s="54" t="s">
        <v>428</v>
      </c>
      <c r="C373" s="244" t="s">
        <v>287</v>
      </c>
      <c r="D373" s="270"/>
      <c r="E373" s="272"/>
      <c r="F373" s="79"/>
      <c r="G373" s="47">
        <f>SUMIF(JournalsB!D$14:D$920,TrialBalanceB!M373,JournalsB!J$14:J$920)+SUMIF(JournalsB!E$14:E$920,TrialBalanceB!M373,JournalsB!J$14:J$920)</f>
        <v>0</v>
      </c>
      <c r="H373" s="288"/>
      <c r="I373" s="290">
        <f t="shared" si="110"/>
        <v>0</v>
      </c>
      <c r="J373" s="75"/>
      <c r="K373" s="48">
        <f t="shared" si="72"/>
        <v>0</v>
      </c>
      <c r="M373" s="140" t="str">
        <f t="shared" si="73"/>
        <v>8900/000SHORT TERM LOANS</v>
      </c>
      <c r="N373" s="70"/>
      <c r="P373" s="71"/>
      <c r="Q373" s="51"/>
      <c r="R373" s="31"/>
    </row>
    <row r="374" spans="1:18" x14ac:dyDescent="0.2">
      <c r="A374" s="238"/>
      <c r="B374" s="54" t="s">
        <v>429</v>
      </c>
      <c r="C374" s="276">
        <f>TrialBalance!C374</f>
        <v>0</v>
      </c>
      <c r="D374" s="272"/>
      <c r="E374" s="272"/>
      <c r="F374" s="79">
        <f t="shared" si="77"/>
        <v>0</v>
      </c>
      <c r="G374" s="47">
        <f>SUMIF(JournalsB!D$14:D$920,TrialBalanceB!M374,JournalsB!J$14:J$920)+SUMIF(JournalsB!E$14:E$920,TrialBalanceB!M374,JournalsB!J$14:J$920)</f>
        <v>0</v>
      </c>
      <c r="H374" s="288"/>
      <c r="I374" s="290">
        <f t="shared" si="110"/>
        <v>0</v>
      </c>
      <c r="J374" s="75"/>
      <c r="K374" s="48">
        <f t="shared" si="72"/>
        <v>0</v>
      </c>
      <c r="M374" s="140" t="str">
        <f t="shared" si="73"/>
        <v>8900/0010</v>
      </c>
      <c r="N374" s="70"/>
      <c r="P374" s="71"/>
      <c r="Q374" s="51"/>
      <c r="R374" s="31"/>
    </row>
    <row r="375" spans="1:18" x14ac:dyDescent="0.2">
      <c r="A375" s="238"/>
      <c r="B375" s="54" t="s">
        <v>430</v>
      </c>
      <c r="C375" s="276">
        <f>TrialBalance!C375</f>
        <v>0</v>
      </c>
      <c r="D375" s="282"/>
      <c r="E375" s="272"/>
      <c r="F375" s="79">
        <f t="shared" si="77"/>
        <v>0</v>
      </c>
      <c r="G375" s="47">
        <f>SUMIF(JournalsB!D$14:D$920,TrialBalanceB!M375,JournalsB!J$14:J$920)+SUMIF(JournalsB!E$14:E$920,TrialBalanceB!M375,JournalsB!J$14:J$920)</f>
        <v>0</v>
      </c>
      <c r="H375" s="288"/>
      <c r="I375" s="290">
        <f t="shared" si="110"/>
        <v>0</v>
      </c>
      <c r="J375" s="75"/>
      <c r="K375" s="48">
        <f t="shared" si="72"/>
        <v>0</v>
      </c>
      <c r="M375" s="140" t="str">
        <f t="shared" si="73"/>
        <v>8900/0020</v>
      </c>
      <c r="N375" s="70"/>
      <c r="P375" s="71"/>
      <c r="Q375" s="51"/>
      <c r="R375" s="31"/>
    </row>
    <row r="376" spans="1:18" x14ac:dyDescent="0.2">
      <c r="A376" s="238"/>
      <c r="B376" s="54" t="s">
        <v>431</v>
      </c>
      <c r="C376" s="276">
        <f>TrialBalance!C376</f>
        <v>0</v>
      </c>
      <c r="D376" s="282"/>
      <c r="E376" s="272"/>
      <c r="F376" s="79">
        <f t="shared" si="77"/>
        <v>0</v>
      </c>
      <c r="G376" s="47">
        <f>SUMIF(JournalsB!D$14:D$920,TrialBalanceB!M376,JournalsB!J$14:J$920)+SUMIF(JournalsB!E$14:E$920,TrialBalanceB!M376,JournalsB!J$14:J$920)</f>
        <v>0</v>
      </c>
      <c r="H376" s="288"/>
      <c r="I376" s="290">
        <f t="shared" si="110"/>
        <v>0</v>
      </c>
      <c r="J376" s="75"/>
      <c r="K376" s="48">
        <f t="shared" si="72"/>
        <v>0</v>
      </c>
      <c r="M376" s="140" t="str">
        <f t="shared" si="73"/>
        <v>8900/0030</v>
      </c>
      <c r="N376" s="70"/>
      <c r="P376" s="71"/>
      <c r="Q376" s="51"/>
      <c r="R376" s="31"/>
    </row>
    <row r="377" spans="1:18" x14ac:dyDescent="0.2">
      <c r="A377" s="238"/>
      <c r="B377" s="54" t="s">
        <v>432</v>
      </c>
      <c r="C377" s="239" t="s">
        <v>255</v>
      </c>
      <c r="D377" s="283"/>
      <c r="E377" s="272"/>
      <c r="F377" s="79"/>
      <c r="G377" s="47">
        <f>SUMIF(JournalsB!D$14:D$920,TrialBalanceB!M377,JournalsB!J$14:J$920)+SUMIF(JournalsB!E$14:E$920,TrialBalanceB!M377,JournalsB!J$14:J$920)</f>
        <v>0</v>
      </c>
      <c r="H377" s="288"/>
      <c r="I377" s="290">
        <f t="shared" si="110"/>
        <v>0</v>
      </c>
      <c r="J377" s="75"/>
      <c r="K377" s="48">
        <f t="shared" si="72"/>
        <v>0</v>
      </c>
      <c r="M377" s="140" t="str">
        <f t="shared" si="73"/>
        <v>8900/004Short term portion of long term loans</v>
      </c>
      <c r="N377" s="70"/>
      <c r="P377" s="71"/>
      <c r="Q377" s="51"/>
      <c r="R377" s="31"/>
    </row>
    <row r="378" spans="1:18" x14ac:dyDescent="0.2">
      <c r="A378" s="238"/>
      <c r="B378" s="54" t="s">
        <v>433</v>
      </c>
      <c r="C378" s="239" t="s">
        <v>434</v>
      </c>
      <c r="D378" s="283"/>
      <c r="E378" s="272"/>
      <c r="F378" s="79"/>
      <c r="G378" s="47">
        <f>SUMIF(JournalsB!D$14:D$920,TrialBalanceB!M378,JournalsB!J$14:J$920)+SUMIF(JournalsB!E$14:E$920,TrialBalanceB!M378,JournalsB!J$14:J$920)</f>
        <v>0</v>
      </c>
      <c r="H378" s="288"/>
      <c r="I378" s="290">
        <f t="shared" si="110"/>
        <v>0</v>
      </c>
      <c r="J378" s="75"/>
      <c r="K378" s="48">
        <f t="shared" si="72"/>
        <v>0</v>
      </c>
      <c r="M378" s="140" t="str">
        <f t="shared" si="73"/>
        <v>9000/000CREDITORS</v>
      </c>
      <c r="N378" s="70"/>
      <c r="P378" s="71"/>
      <c r="Q378" s="51"/>
      <c r="R378" s="31"/>
    </row>
    <row r="379" spans="1:18" x14ac:dyDescent="0.2">
      <c r="A379" s="238"/>
      <c r="B379" s="54" t="s">
        <v>435</v>
      </c>
      <c r="C379" s="240" t="s">
        <v>436</v>
      </c>
      <c r="D379" s="282"/>
      <c r="E379" s="272"/>
      <c r="F379" s="79">
        <f>K379</f>
        <v>0</v>
      </c>
      <c r="G379" s="47">
        <f>SUMIF(JournalsB!D$14:D$920,TrialBalanceB!M379,JournalsB!J$14:J$920)+SUMIF(JournalsB!E$14:E$920,TrialBalanceB!M379,JournalsB!J$14:J$920)</f>
        <v>0</v>
      </c>
      <c r="H379" s="288"/>
      <c r="I379" s="290">
        <f t="shared" si="110"/>
        <v>0</v>
      </c>
      <c r="J379" s="75"/>
      <c r="K379" s="48">
        <f t="shared" si="72"/>
        <v>0</v>
      </c>
      <c r="M379" s="140" t="str">
        <f t="shared" si="73"/>
        <v>9010/000Trade creditors</v>
      </c>
      <c r="N379" s="70"/>
      <c r="P379" s="71"/>
      <c r="Q379" s="51"/>
      <c r="R379" s="31"/>
    </row>
    <row r="380" spans="1:18" x14ac:dyDescent="0.2">
      <c r="A380" s="238"/>
      <c r="B380" s="54" t="s">
        <v>437</v>
      </c>
      <c r="C380" s="242" t="s">
        <v>579</v>
      </c>
      <c r="D380" s="282"/>
      <c r="E380" s="272"/>
      <c r="F380" s="79">
        <f>K380</f>
        <v>0</v>
      </c>
      <c r="G380" s="47">
        <f>SUMIF(JournalsB!D$14:D$920,TrialBalanceB!M380,JournalsB!J$14:J$920)+SUMIF(JournalsB!E$14:E$920,TrialBalanceB!M380,JournalsB!J$14:J$920)</f>
        <v>0</v>
      </c>
      <c r="H380" s="288"/>
      <c r="I380" s="290">
        <f t="shared" si="110"/>
        <v>0</v>
      </c>
      <c r="J380" s="75"/>
      <c r="K380" s="48">
        <f t="shared" si="72"/>
        <v>0</v>
      </c>
      <c r="M380" s="140" t="str">
        <f t="shared" si="73"/>
        <v>9200/000Sundry suppliers</v>
      </c>
      <c r="N380" s="70"/>
      <c r="P380" s="71"/>
      <c r="Q380" s="51"/>
      <c r="R380" s="31"/>
    </row>
    <row r="381" spans="1:18" x14ac:dyDescent="0.2">
      <c r="A381" s="238"/>
      <c r="B381" s="54" t="s">
        <v>438</v>
      </c>
      <c r="C381" s="242" t="s">
        <v>753</v>
      </c>
      <c r="D381" s="284"/>
      <c r="E381" s="272"/>
      <c r="F381" s="79">
        <f>K381</f>
        <v>0</v>
      </c>
      <c r="G381" s="47">
        <f>SUMIF(JournalsB!D$14:D$920,TrialBalanceB!M381,JournalsB!J$14:J$920)+SUMIF(JournalsB!E$14:E$920,TrialBalanceB!M381,JournalsB!J$14:J$920)</f>
        <v>0</v>
      </c>
      <c r="H381" s="288"/>
      <c r="I381" s="290">
        <f t="shared" si="110"/>
        <v>0</v>
      </c>
      <c r="J381" s="75"/>
      <c r="K381" s="48">
        <f t="shared" si="72"/>
        <v>0</v>
      </c>
      <c r="M381" s="140" t="str">
        <f t="shared" si="73"/>
        <v>9200/010Audit and accounting fee accrual</v>
      </c>
      <c r="N381" s="70"/>
      <c r="P381" s="71"/>
      <c r="Q381" s="51"/>
      <c r="R381" s="31"/>
    </row>
    <row r="382" spans="1:18" x14ac:dyDescent="0.2">
      <c r="A382" s="238"/>
      <c r="B382" s="54" t="s">
        <v>439</v>
      </c>
      <c r="C382" s="242" t="s">
        <v>580</v>
      </c>
      <c r="D382" s="282"/>
      <c r="E382" s="272"/>
      <c r="F382" s="79">
        <f>K382</f>
        <v>0</v>
      </c>
      <c r="G382" s="47">
        <f>SUMIF(JournalsB!D$14:D$920,TrialBalanceB!M382,JournalsB!J$14:J$920)+SUMIF(JournalsB!E$14:E$920,TrialBalanceB!M382,JournalsB!J$14:J$920)</f>
        <v>0</v>
      </c>
      <c r="H382" s="288"/>
      <c r="I382" s="290">
        <f t="shared" si="110"/>
        <v>0</v>
      </c>
      <c r="J382" s="75"/>
      <c r="K382" s="48">
        <f t="shared" si="72"/>
        <v>0</v>
      </c>
      <c r="M382" s="140" t="str">
        <f t="shared" si="73"/>
        <v>9200/020Other accruals</v>
      </c>
      <c r="N382" s="70"/>
      <c r="P382" s="71"/>
      <c r="Q382" s="51"/>
      <c r="R382" s="31"/>
    </row>
    <row r="383" spans="1:18" x14ac:dyDescent="0.2">
      <c r="A383" s="238"/>
      <c r="B383" s="54" t="s">
        <v>440</v>
      </c>
      <c r="C383" s="242" t="s">
        <v>749</v>
      </c>
      <c r="D383" s="282"/>
      <c r="E383" s="272"/>
      <c r="F383" s="79">
        <f>K383</f>
        <v>0</v>
      </c>
      <c r="G383" s="47">
        <f>SUMIF(JournalsB!D$14:D$920,TrialBalanceB!M383,JournalsB!J$14:J$920)+SUMIF(JournalsB!E$14:E$920,TrialBalanceB!M383,JournalsB!J$14:J$920)</f>
        <v>0</v>
      </c>
      <c r="H383" s="288"/>
      <c r="I383" s="290">
        <f t="shared" si="110"/>
        <v>0</v>
      </c>
      <c r="J383" s="75"/>
      <c r="K383" s="48">
        <f t="shared" si="72"/>
        <v>0</v>
      </c>
      <c r="M383" s="140" t="str">
        <f t="shared" si="73"/>
        <v>9250/000Salary and wages control</v>
      </c>
      <c r="N383" s="70"/>
      <c r="P383" s="71"/>
      <c r="Q383" s="51"/>
      <c r="R383" s="31"/>
    </row>
    <row r="384" spans="1:18" x14ac:dyDescent="0.2">
      <c r="A384" s="238"/>
      <c r="B384" s="54" t="s">
        <v>338</v>
      </c>
      <c r="C384" s="239" t="s">
        <v>116</v>
      </c>
      <c r="D384" s="283"/>
      <c r="E384" s="272"/>
      <c r="F384" s="79"/>
      <c r="G384" s="47">
        <f>SUMIF(JournalsB!D$14:D$920,TrialBalanceB!M384,JournalsB!J$14:J$920)+SUMIF(JournalsB!E$14:E$920,TrialBalanceB!M384,JournalsB!J$14:J$920)</f>
        <v>0</v>
      </c>
      <c r="H384" s="288"/>
      <c r="I384" s="290">
        <f t="shared" si="110"/>
        <v>0</v>
      </c>
      <c r="J384" s="75"/>
      <c r="K384" s="48">
        <f t="shared" si="72"/>
        <v>0</v>
      </c>
      <c r="M384" s="140" t="str">
        <f t="shared" si="73"/>
        <v>9300/000TAXATION</v>
      </c>
      <c r="N384" s="70"/>
      <c r="P384" s="71"/>
      <c r="Q384" s="51"/>
      <c r="R384" s="31"/>
    </row>
    <row r="385" spans="1:18" x14ac:dyDescent="0.2">
      <c r="A385" s="238"/>
      <c r="B385" s="54" t="s">
        <v>451</v>
      </c>
      <c r="C385" s="240" t="s">
        <v>83</v>
      </c>
      <c r="D385" s="282"/>
      <c r="E385" s="272"/>
      <c r="F385" s="79">
        <f>SUM(K385:K392)</f>
        <v>0</v>
      </c>
      <c r="G385" s="47">
        <f>SUMIF(JournalsB!D$14:D$920,TrialBalanceB!M385,JournalsB!J$14:J$920)+SUMIF(JournalsB!E$14:E$920,TrialBalanceB!M385,JournalsB!J$14:J$920)</f>
        <v>0</v>
      </c>
      <c r="H385" s="288"/>
      <c r="I385" s="290">
        <f t="shared" si="110"/>
        <v>0</v>
      </c>
      <c r="J385" s="75"/>
      <c r="K385" s="48">
        <f t="shared" si="72"/>
        <v>0</v>
      </c>
      <c r="M385" s="140" t="str">
        <f t="shared" si="73"/>
        <v>9300/010Balance b/fwd</v>
      </c>
      <c r="N385" s="70"/>
      <c r="P385" s="71"/>
      <c r="Q385" s="51"/>
      <c r="R385" s="31"/>
    </row>
    <row r="386" spans="1:18" x14ac:dyDescent="0.2">
      <c r="A386" s="238"/>
      <c r="B386" s="54" t="s">
        <v>452</v>
      </c>
      <c r="C386" s="246" t="s">
        <v>123</v>
      </c>
      <c r="D386" s="272"/>
      <c r="E386" s="272"/>
      <c r="F386" s="79"/>
      <c r="G386" s="47">
        <f>SUMIF(JournalsB!D$14:D$920,TrialBalanceB!M386,JournalsB!J$14:J$920)+SUMIF(JournalsB!E$14:E$920,TrialBalanceB!M386,JournalsB!J$14:J$920)</f>
        <v>0</v>
      </c>
      <c r="H386" s="288"/>
      <c r="I386" s="290">
        <f t="shared" si="110"/>
        <v>0</v>
      </c>
      <c r="J386" s="75"/>
      <c r="K386" s="48">
        <f t="shared" si="72"/>
        <v>0</v>
      </c>
      <c r="M386" s="140" t="str">
        <f t="shared" si="73"/>
        <v>9300/020Tax provision this year</v>
      </c>
      <c r="N386" s="70"/>
      <c r="P386" s="71"/>
      <c r="Q386" s="51"/>
      <c r="R386" s="31"/>
    </row>
    <row r="387" spans="1:18" x14ac:dyDescent="0.2">
      <c r="A387" s="238"/>
      <c r="B387" s="54" t="s">
        <v>453</v>
      </c>
      <c r="C387" s="242" t="s">
        <v>834</v>
      </c>
      <c r="D387" s="282"/>
      <c r="E387" s="272"/>
      <c r="F387" s="79"/>
      <c r="G387" s="47">
        <f>SUMIF(JournalsB!D$14:D$920,TrialBalanceB!M387,JournalsB!J$14:J$920)+SUMIF(JournalsB!E$14:E$920,TrialBalanceB!M387,JournalsB!J$14:J$920)</f>
        <v>0</v>
      </c>
      <c r="H387" s="288"/>
      <c r="I387" s="290">
        <f t="shared" si="110"/>
        <v>0</v>
      </c>
      <c r="J387" s="75"/>
      <c r="K387" s="48">
        <f t="shared" si="72"/>
        <v>0</v>
      </c>
      <c r="M387" s="140" t="str">
        <f t="shared" si="73"/>
        <v>9300/030Over-/(Under) provision previous year</v>
      </c>
      <c r="N387" s="70"/>
      <c r="P387" s="71"/>
      <c r="Q387" s="51"/>
      <c r="R387" s="31"/>
    </row>
    <row r="388" spans="1:18" x14ac:dyDescent="0.2">
      <c r="A388" s="238"/>
      <c r="B388" s="54" t="s">
        <v>454</v>
      </c>
      <c r="C388" s="242" t="s">
        <v>835</v>
      </c>
      <c r="D388" s="282"/>
      <c r="E388" s="272"/>
      <c r="F388" s="79"/>
      <c r="G388" s="47">
        <f>SUMIF(JournalsB!D$14:D$920,TrialBalanceB!M388,JournalsB!J$14:J$920)+SUMIF(JournalsB!E$14:E$920,TrialBalanceB!M388,JournalsB!J$14:J$920)</f>
        <v>0</v>
      </c>
      <c r="H388" s="288"/>
      <c r="I388" s="290">
        <f t="shared" si="110"/>
        <v>0</v>
      </c>
      <c r="J388" s="75"/>
      <c r="K388" s="48">
        <f t="shared" si="72"/>
        <v>0</v>
      </c>
      <c r="M388" s="140" t="str">
        <f t="shared" si="73"/>
        <v>9300/040Tax paid/(refund) for previous year provisions</v>
      </c>
      <c r="N388" s="70"/>
      <c r="P388" s="71"/>
      <c r="Q388" s="51"/>
      <c r="R388" s="31"/>
    </row>
    <row r="389" spans="1:18" x14ac:dyDescent="0.2">
      <c r="A389" s="238"/>
      <c r="B389" s="54" t="s">
        <v>455</v>
      </c>
      <c r="C389" s="242" t="s">
        <v>804</v>
      </c>
      <c r="D389" s="282"/>
      <c r="E389" s="272"/>
      <c r="F389" s="79"/>
      <c r="G389" s="47">
        <f>SUMIF(JournalsB!D$14:D$920,TrialBalanceB!M389,JournalsB!J$14:J$920)+SUMIF(JournalsB!E$14:E$920,TrialBalanceB!M389,JournalsB!J$14:J$920)</f>
        <v>0</v>
      </c>
      <c r="H389" s="288"/>
      <c r="I389" s="290">
        <f t="shared" si="110"/>
        <v>0</v>
      </c>
      <c r="J389" s="75"/>
      <c r="K389" s="48">
        <f t="shared" ref="K389:K400" si="111">ROUND(SUM(A389),0)</f>
        <v>0</v>
      </c>
      <c r="M389" s="140" t="str">
        <f t="shared" ref="M389:M400" si="112">CONCATENATE(B389,C389)</f>
        <v>9300/0501st Provisional paid</v>
      </c>
      <c r="N389" s="70"/>
      <c r="P389" s="71"/>
      <c r="Q389" s="51"/>
      <c r="R389" s="31"/>
    </row>
    <row r="390" spans="1:18" x14ac:dyDescent="0.2">
      <c r="A390" s="238"/>
      <c r="B390" s="54" t="s">
        <v>456</v>
      </c>
      <c r="C390" s="242" t="s">
        <v>805</v>
      </c>
      <c r="D390" s="282"/>
      <c r="E390" s="272"/>
      <c r="F390" s="79"/>
      <c r="G390" s="47">
        <f>SUMIF(JournalsB!D$14:D$920,TrialBalanceB!M390,JournalsB!J$14:J$920)+SUMIF(JournalsB!E$14:E$920,TrialBalanceB!M390,JournalsB!J$14:J$920)</f>
        <v>0</v>
      </c>
      <c r="H390" s="288"/>
      <c r="I390" s="290">
        <f t="shared" si="110"/>
        <v>0</v>
      </c>
      <c r="J390" s="75"/>
      <c r="K390" s="48">
        <f t="shared" si="111"/>
        <v>0</v>
      </c>
      <c r="M390" s="140" t="str">
        <f t="shared" si="112"/>
        <v>9300/0602nd Provisional paid</v>
      </c>
      <c r="N390" s="70"/>
      <c r="P390" s="71"/>
      <c r="Q390" s="51"/>
      <c r="R390" s="31"/>
    </row>
    <row r="391" spans="1:18" x14ac:dyDescent="0.2">
      <c r="A391" s="238"/>
      <c r="B391" s="54" t="s">
        <v>457</v>
      </c>
      <c r="C391" s="240" t="s">
        <v>124</v>
      </c>
      <c r="D391" s="282"/>
      <c r="E391" s="272"/>
      <c r="F391" s="79"/>
      <c r="G391" s="47">
        <f>SUMIF(JournalsB!D$14:D$920,TrialBalanceB!M391,JournalsB!J$14:J$920)+SUMIF(JournalsB!E$14:E$920,TrialBalanceB!M391,JournalsB!J$14:J$920)</f>
        <v>0</v>
      </c>
      <c r="H391" s="288"/>
      <c r="I391" s="290">
        <f t="shared" si="110"/>
        <v>0</v>
      </c>
      <c r="J391" s="75"/>
      <c r="K391" s="48">
        <f t="shared" si="111"/>
        <v>0</v>
      </c>
      <c r="M391" s="140" t="str">
        <f t="shared" si="112"/>
        <v>9300/0703rd Provisional paid</v>
      </c>
      <c r="N391" s="70"/>
      <c r="P391" s="71"/>
      <c r="Q391" s="51"/>
      <c r="R391" s="31"/>
    </row>
    <row r="392" spans="1:18" x14ac:dyDescent="0.2">
      <c r="A392" s="238"/>
      <c r="B392" s="54" t="s">
        <v>458</v>
      </c>
      <c r="C392" s="242" t="s">
        <v>837</v>
      </c>
      <c r="D392" s="282"/>
      <c r="E392" s="272"/>
      <c r="F392" s="79"/>
      <c r="G392" s="47">
        <f>SUMIF(JournalsB!D$14:D$920,TrialBalanceB!M392,JournalsB!J$14:J$920)+SUMIF(JournalsB!E$14:E$920,TrialBalanceB!M392,JournalsB!J$14:J$920)</f>
        <v>0</v>
      </c>
      <c r="H392" s="288"/>
      <c r="I392" s="290">
        <f t="shared" si="110"/>
        <v>0</v>
      </c>
      <c r="J392" s="75"/>
      <c r="K392" s="48">
        <f t="shared" si="111"/>
        <v>0</v>
      </c>
      <c r="M392" s="140" t="str">
        <f t="shared" si="112"/>
        <v>9300/090Dividends tax provision</v>
      </c>
      <c r="N392" s="70"/>
      <c r="P392" s="71"/>
      <c r="Q392" s="51"/>
      <c r="R392" s="31"/>
    </row>
    <row r="393" spans="1:18" x14ac:dyDescent="0.2">
      <c r="A393" s="238"/>
      <c r="B393" s="54" t="s">
        <v>339</v>
      </c>
      <c r="C393" s="242" t="s">
        <v>566</v>
      </c>
      <c r="D393" s="282"/>
      <c r="E393" s="272"/>
      <c r="F393" s="79">
        <f>K393</f>
        <v>0</v>
      </c>
      <c r="G393" s="47">
        <f>SUMIF(JournalsB!D$14:D$920,TrialBalanceB!M393,JournalsB!J$14:J$920)+SUMIF(JournalsB!E$14:E$920,TrialBalanceB!M393,JournalsB!J$14:J$920)</f>
        <v>0</v>
      </c>
      <c r="H393" s="288"/>
      <c r="I393" s="290">
        <f t="shared" si="110"/>
        <v>0</v>
      </c>
      <c r="J393" s="75"/>
      <c r="K393" s="48">
        <f t="shared" si="111"/>
        <v>0</v>
      </c>
      <c r="M393" s="140" t="str">
        <f t="shared" si="112"/>
        <v>9350/000Dividends payable</v>
      </c>
      <c r="N393" s="70"/>
      <c r="P393" s="71"/>
      <c r="Q393" s="51"/>
      <c r="R393" s="31"/>
    </row>
    <row r="394" spans="1:18" x14ac:dyDescent="0.2">
      <c r="A394" s="238"/>
      <c r="B394" s="54" t="s">
        <v>340</v>
      </c>
      <c r="C394" s="242" t="s">
        <v>567</v>
      </c>
      <c r="D394" s="282"/>
      <c r="E394" s="272"/>
      <c r="F394" s="79">
        <f>K394</f>
        <v>0</v>
      </c>
      <c r="G394" s="47">
        <f>SUMIF(JournalsB!D$14:D$920,TrialBalanceB!M394,JournalsB!J$14:J$920)+SUMIF(JournalsB!E$14:E$920,TrialBalanceB!M394,JournalsB!J$14:J$920)</f>
        <v>0</v>
      </c>
      <c r="H394" s="288"/>
      <c r="I394" s="290">
        <f t="shared" si="110"/>
        <v>0</v>
      </c>
      <c r="J394" s="75"/>
      <c r="K394" s="48">
        <f t="shared" si="111"/>
        <v>0</v>
      </c>
      <c r="M394" s="140" t="str">
        <f t="shared" si="112"/>
        <v>9400/000Provision for future expenses</v>
      </c>
      <c r="N394" s="70"/>
      <c r="P394" s="71"/>
      <c r="Q394" s="51"/>
      <c r="R394" s="31"/>
    </row>
    <row r="395" spans="1:18" x14ac:dyDescent="0.2">
      <c r="A395" s="238"/>
      <c r="B395" s="54" t="s">
        <v>341</v>
      </c>
      <c r="C395" s="242" t="s">
        <v>568</v>
      </c>
      <c r="D395" s="282"/>
      <c r="E395" s="272"/>
      <c r="F395" s="79">
        <f>K395</f>
        <v>0</v>
      </c>
      <c r="G395" s="47">
        <f>SUMIF(JournalsB!D$14:D$920,TrialBalanceB!M395,JournalsB!J$14:J$920)+SUMIF(JournalsB!E$14:E$920,TrialBalanceB!M395,JournalsB!J$14:J$920)</f>
        <v>0</v>
      </c>
      <c r="H395" s="288"/>
      <c r="I395" s="290">
        <f t="shared" si="110"/>
        <v>0</v>
      </c>
      <c r="J395" s="75"/>
      <c r="K395" s="48">
        <f t="shared" si="111"/>
        <v>0</v>
      </c>
      <c r="M395" s="140" t="str">
        <f t="shared" si="112"/>
        <v>9400/010Provision for insurance</v>
      </c>
      <c r="N395" s="70"/>
      <c r="P395" s="71"/>
      <c r="Q395" s="51"/>
      <c r="R395" s="31"/>
    </row>
    <row r="396" spans="1:18" x14ac:dyDescent="0.2">
      <c r="A396" s="238"/>
      <c r="B396" s="54" t="s">
        <v>342</v>
      </c>
      <c r="C396" s="242" t="s">
        <v>569</v>
      </c>
      <c r="D396" s="282"/>
      <c r="E396" s="272"/>
      <c r="F396" s="79">
        <f>K396</f>
        <v>0</v>
      </c>
      <c r="G396" s="47">
        <f>SUMIF(JournalsB!D$14:D$920,TrialBalanceB!M396,JournalsB!J$14:J$920)+SUMIF(JournalsB!E$14:E$920,TrialBalanceB!M396,JournalsB!J$14:J$920)</f>
        <v>0</v>
      </c>
      <c r="H396" s="288"/>
      <c r="I396" s="290">
        <f t="shared" si="110"/>
        <v>0</v>
      </c>
      <c r="J396" s="75"/>
      <c r="K396" s="48">
        <f t="shared" si="111"/>
        <v>0</v>
      </c>
      <c r="M396" s="140" t="str">
        <f t="shared" si="112"/>
        <v>9400/020Provision for salary bonus</v>
      </c>
      <c r="N396" s="70"/>
      <c r="P396" s="71"/>
      <c r="Q396" s="51"/>
      <c r="R396" s="31"/>
    </row>
    <row r="397" spans="1:18" x14ac:dyDescent="0.2">
      <c r="A397" s="238"/>
      <c r="B397" s="54" t="s">
        <v>343</v>
      </c>
      <c r="C397" s="239" t="s">
        <v>344</v>
      </c>
      <c r="D397" s="283"/>
      <c r="E397" s="272"/>
      <c r="F397" s="79"/>
      <c r="G397" s="47">
        <f>SUMIF(JournalsB!D$14:D$920,TrialBalanceB!M397,JournalsB!J$14:J$920)+SUMIF(JournalsB!E$14:E$920,TrialBalanceB!M397,JournalsB!J$14:J$920)</f>
        <v>0</v>
      </c>
      <c r="H397" s="288"/>
      <c r="I397" s="290">
        <f t="shared" si="110"/>
        <v>0</v>
      </c>
      <c r="J397" s="75"/>
      <c r="K397" s="48">
        <f t="shared" si="111"/>
        <v>0</v>
      </c>
      <c r="M397" s="140" t="str">
        <f t="shared" si="112"/>
        <v>9500/000VALUE ADDED TAX</v>
      </c>
      <c r="N397" s="70"/>
      <c r="P397" s="71"/>
      <c r="Q397" s="51"/>
      <c r="R397" s="31"/>
    </row>
    <row r="398" spans="1:18" x14ac:dyDescent="0.2">
      <c r="A398" s="238"/>
      <c r="B398" s="54" t="s">
        <v>345</v>
      </c>
      <c r="C398" s="240" t="s">
        <v>346</v>
      </c>
      <c r="D398" s="282"/>
      <c r="E398" s="272"/>
      <c r="F398" s="79">
        <f>K398</f>
        <v>0</v>
      </c>
      <c r="G398" s="47">
        <f>SUMIF(JournalsB!D$14:D$920,TrialBalanceB!M398,JournalsB!J$14:J$920)+SUMIF(JournalsB!E$14:E$920,TrialBalanceB!M398,JournalsB!J$14:J$920)</f>
        <v>0</v>
      </c>
      <c r="H398" s="288"/>
      <c r="I398" s="290">
        <f t="shared" si="110"/>
        <v>0</v>
      </c>
      <c r="J398" s="75"/>
      <c r="K398" s="48">
        <f t="shared" si="111"/>
        <v>0</v>
      </c>
      <c r="M398" s="140" t="str">
        <f t="shared" si="112"/>
        <v>9501/000VAT account</v>
      </c>
      <c r="N398" s="70"/>
      <c r="P398" s="71"/>
      <c r="Q398" s="51"/>
      <c r="R398" s="31"/>
    </row>
    <row r="399" spans="1:18" x14ac:dyDescent="0.2">
      <c r="A399" s="238"/>
      <c r="B399" s="54" t="s">
        <v>347</v>
      </c>
      <c r="C399" s="240" t="s">
        <v>29</v>
      </c>
      <c r="D399" s="282"/>
      <c r="E399" s="272"/>
      <c r="F399" s="79"/>
      <c r="G399" s="47">
        <f>SUMIF(JournalsB!D$14:D$920,TrialBalanceB!M399,JournalsB!J$14:J$920)+SUMIF(JournalsB!E$14:E$920,TrialBalanceB!M399,JournalsB!J$14:J$920)</f>
        <v>0</v>
      </c>
      <c r="H399" s="288"/>
      <c r="I399" s="290">
        <f t="shared" si="110"/>
        <v>0</v>
      </c>
      <c r="J399" s="75"/>
      <c r="K399" s="48">
        <f t="shared" si="111"/>
        <v>0</v>
      </c>
      <c r="M399" s="140" t="str">
        <f t="shared" si="112"/>
        <v>9510/000----------------------------------------</v>
      </c>
      <c r="N399" s="70"/>
      <c r="P399" s="71"/>
      <c r="Q399" s="51"/>
      <c r="R399" s="31"/>
    </row>
    <row r="400" spans="1:18" x14ac:dyDescent="0.2">
      <c r="A400" s="238"/>
      <c r="B400" s="54" t="s">
        <v>348</v>
      </c>
      <c r="C400" s="239" t="s">
        <v>806</v>
      </c>
      <c r="D400" s="283"/>
      <c r="E400" s="272"/>
      <c r="F400" s="79">
        <f>K400</f>
        <v>0</v>
      </c>
      <c r="G400" s="47">
        <f>SUMIF(JournalsB!D$14:D$920,TrialBalanceB!M400,JournalsB!J$14:J$920)+SUMIF(JournalsB!E$14:E$920,TrialBalanceB!M400,JournalsB!J$14:J$920)</f>
        <v>0</v>
      </c>
      <c r="H400" s="288"/>
      <c r="I400" s="290">
        <f t="shared" si="110"/>
        <v>0</v>
      </c>
      <c r="J400" s="75"/>
      <c r="K400" s="48">
        <f t="shared" si="111"/>
        <v>0</v>
      </c>
      <c r="M400" s="140" t="str">
        <f t="shared" si="112"/>
        <v>9990/000Suspense account</v>
      </c>
      <c r="N400" s="70"/>
      <c r="P400" s="71"/>
      <c r="Q400" s="51"/>
      <c r="R400" s="31"/>
    </row>
    <row r="401" spans="1:18" x14ac:dyDescent="0.2">
      <c r="A401" s="238"/>
      <c r="B401" s="54"/>
      <c r="C401" s="54"/>
      <c r="D401" s="282"/>
      <c r="E401" s="272"/>
      <c r="F401" s="79"/>
      <c r="G401" s="47"/>
      <c r="H401" s="288"/>
      <c r="I401" s="290"/>
      <c r="J401" s="75"/>
      <c r="K401" s="48"/>
      <c r="M401" s="140"/>
      <c r="N401" s="70"/>
      <c r="P401" s="71"/>
      <c r="Q401" s="51"/>
      <c r="R401" s="31"/>
    </row>
    <row r="402" spans="1:18" x14ac:dyDescent="0.2">
      <c r="A402" s="238"/>
      <c r="B402" s="54" t="s">
        <v>228</v>
      </c>
      <c r="C402" s="55" t="s">
        <v>228</v>
      </c>
      <c r="D402" s="263"/>
      <c r="E402" s="263"/>
      <c r="F402" s="82"/>
      <c r="G402" s="47"/>
      <c r="H402" s="288"/>
      <c r="I402" s="290"/>
      <c r="J402" s="75"/>
      <c r="K402" s="48"/>
      <c r="M402" s="140">
        <v>0</v>
      </c>
      <c r="N402" s="70"/>
      <c r="P402" s="73"/>
      <c r="Q402" s="73"/>
      <c r="R402" s="31"/>
    </row>
    <row r="403" spans="1:18" ht="13.5" thickBot="1" x14ac:dyDescent="0.25">
      <c r="A403" s="41">
        <f>SUM(A5:A402)</f>
        <v>0</v>
      </c>
      <c r="B403" s="54" t="s">
        <v>228</v>
      </c>
      <c r="C403" s="55" t="s">
        <v>228</v>
      </c>
      <c r="D403" s="41">
        <f>SUM(D5:D402)</f>
        <v>0</v>
      </c>
      <c r="E403" s="41">
        <f>SUM(E5:E402)</f>
        <v>0</v>
      </c>
      <c r="F403" s="41">
        <f>SUM(F5:F402)</f>
        <v>0</v>
      </c>
      <c r="G403" s="41">
        <f>SUM(G5:G402)</f>
        <v>0</v>
      </c>
      <c r="H403" s="41"/>
      <c r="I403" s="122">
        <f>SUM(I5:I402)</f>
        <v>0</v>
      </c>
      <c r="J403" s="41"/>
      <c r="K403" s="41">
        <f>SUM(K5:K402)</f>
        <v>0</v>
      </c>
      <c r="M403" s="140">
        <v>0</v>
      </c>
      <c r="N403" s="74"/>
      <c r="O403" s="74"/>
      <c r="P403" s="74"/>
      <c r="Q403" s="74"/>
      <c r="R403" s="74"/>
    </row>
    <row r="404" spans="1:18" ht="13.5" thickTop="1" x14ac:dyDescent="0.2">
      <c r="A404" s="38"/>
      <c r="B404" s="42"/>
      <c r="C404" s="45"/>
      <c r="D404" s="39"/>
      <c r="E404" s="39"/>
      <c r="F404" s="39"/>
      <c r="G404" s="39"/>
      <c r="H404" s="39"/>
      <c r="I404" s="51"/>
      <c r="J404" s="59"/>
      <c r="K404" s="38"/>
      <c r="P404" s="39"/>
      <c r="Q404" s="39"/>
    </row>
    <row r="405" spans="1:18" x14ac:dyDescent="0.2">
      <c r="A405" s="38"/>
      <c r="B405" s="42"/>
      <c r="C405" s="45"/>
      <c r="D405" s="39"/>
      <c r="E405" s="39"/>
      <c r="F405" s="39"/>
      <c r="G405" s="39"/>
      <c r="H405" s="39"/>
      <c r="K405" s="42"/>
      <c r="P405" s="39"/>
      <c r="Q405" s="39"/>
    </row>
    <row r="406" spans="1:18" x14ac:dyDescent="0.2">
      <c r="A406" s="38"/>
      <c r="B406" s="42"/>
      <c r="C406" s="45"/>
      <c r="D406" s="39"/>
      <c r="E406" s="39"/>
      <c r="F406" s="39"/>
      <c r="G406" s="39"/>
      <c r="H406" s="39"/>
      <c r="K406" s="42"/>
      <c r="P406" s="39"/>
      <c r="Q406" s="39"/>
    </row>
    <row r="407" spans="1:18" x14ac:dyDescent="0.2">
      <c r="A407" s="38"/>
      <c r="B407" s="42"/>
      <c r="C407" s="45"/>
      <c r="D407" s="39"/>
      <c r="E407" s="39"/>
      <c r="F407" s="39"/>
      <c r="G407" s="39"/>
      <c r="H407" s="39"/>
      <c r="K407" s="42"/>
      <c r="P407" s="39"/>
      <c r="Q407" s="39"/>
    </row>
    <row r="408" spans="1:18" x14ac:dyDescent="0.2">
      <c r="A408" s="38"/>
      <c r="B408" s="42"/>
      <c r="C408" s="45"/>
      <c r="D408" s="39"/>
      <c r="E408" s="39"/>
      <c r="F408" s="39"/>
      <c r="G408" s="39"/>
      <c r="H408" s="39"/>
      <c r="K408" s="42"/>
      <c r="P408" s="39"/>
      <c r="Q408" s="39"/>
    </row>
    <row r="409" spans="1:18" x14ac:dyDescent="0.2">
      <c r="A409" s="38"/>
      <c r="B409" s="42"/>
      <c r="C409" s="45"/>
      <c r="D409" s="39"/>
      <c r="E409" s="39"/>
      <c r="F409" s="39"/>
      <c r="G409" s="39"/>
      <c r="H409" s="39"/>
      <c r="K409" s="42"/>
      <c r="P409" s="39"/>
      <c r="Q409" s="39"/>
    </row>
    <row r="410" spans="1:18" x14ac:dyDescent="0.2">
      <c r="A410" s="38"/>
      <c r="B410" s="42"/>
      <c r="C410" s="45"/>
      <c r="D410" s="39"/>
      <c r="E410" s="39"/>
      <c r="F410" s="39"/>
      <c r="G410" s="39"/>
      <c r="H410" s="39"/>
      <c r="K410" s="42"/>
      <c r="P410" s="39"/>
      <c r="Q410" s="39"/>
    </row>
    <row r="411" spans="1:18" x14ac:dyDescent="0.2">
      <c r="A411" s="38"/>
      <c r="B411" s="42"/>
      <c r="C411" s="45"/>
      <c r="D411" s="39"/>
      <c r="E411" s="39"/>
      <c r="F411" s="39"/>
      <c r="G411" s="39"/>
      <c r="H411" s="39"/>
      <c r="K411" s="42"/>
      <c r="P411" s="39" t="s">
        <v>95</v>
      </c>
      <c r="Q411" s="39" t="s">
        <v>95</v>
      </c>
    </row>
    <row r="412" spans="1:18" x14ac:dyDescent="0.2">
      <c r="A412" s="38"/>
      <c r="B412" s="42"/>
      <c r="C412" s="45"/>
      <c r="D412" s="39"/>
      <c r="E412" s="39"/>
      <c r="F412" s="39"/>
      <c r="G412" s="39"/>
      <c r="H412" s="39"/>
      <c r="K412" s="42"/>
      <c r="P412" s="39" t="s">
        <v>95</v>
      </c>
      <c r="Q412" s="39" t="s">
        <v>95</v>
      </c>
    </row>
    <row r="413" spans="1:18" x14ac:dyDescent="0.2">
      <c r="A413" s="38"/>
      <c r="B413" s="42"/>
      <c r="C413" s="45"/>
      <c r="D413" s="39"/>
      <c r="E413" s="39"/>
      <c r="F413" s="39"/>
      <c r="G413" s="39"/>
      <c r="H413" s="39"/>
      <c r="K413" s="42"/>
      <c r="P413" s="39" t="s">
        <v>95</v>
      </c>
      <c r="Q413" s="39" t="s">
        <v>95</v>
      </c>
    </row>
    <row r="414" spans="1:18" x14ac:dyDescent="0.2">
      <c r="A414" s="38"/>
      <c r="B414" s="42"/>
      <c r="C414" s="45"/>
      <c r="D414" s="39"/>
      <c r="E414" s="39"/>
      <c r="F414" s="39"/>
      <c r="G414" s="39"/>
      <c r="H414" s="39"/>
      <c r="K414" s="42"/>
      <c r="P414" s="39" t="s">
        <v>95</v>
      </c>
      <c r="Q414" s="39" t="s">
        <v>95</v>
      </c>
    </row>
    <row r="415" spans="1:18" x14ac:dyDescent="0.2">
      <c r="A415" s="38"/>
      <c r="B415" s="42"/>
      <c r="C415" s="45"/>
      <c r="D415" s="39"/>
      <c r="E415" s="39"/>
      <c r="F415" s="39"/>
      <c r="G415" s="39"/>
      <c r="H415" s="39"/>
      <c r="K415" s="42"/>
      <c r="P415" s="39" t="s">
        <v>95</v>
      </c>
      <c r="Q415" s="39" t="s">
        <v>95</v>
      </c>
    </row>
    <row r="416" spans="1:18" x14ac:dyDescent="0.2">
      <c r="A416" s="38"/>
      <c r="B416" s="42"/>
      <c r="C416" s="45"/>
      <c r="D416" s="39"/>
      <c r="E416" s="39"/>
      <c r="F416" s="39"/>
      <c r="G416" s="39"/>
      <c r="H416" s="39"/>
      <c r="K416" s="42"/>
      <c r="P416" s="39"/>
      <c r="Q416" s="39"/>
    </row>
    <row r="417" spans="1:17" x14ac:dyDescent="0.2">
      <c r="A417" s="38"/>
      <c r="B417" s="42"/>
      <c r="C417" s="45"/>
      <c r="D417" s="39"/>
      <c r="E417" s="39"/>
      <c r="F417" s="39"/>
      <c r="G417" s="39"/>
      <c r="H417" s="39"/>
      <c r="K417" s="42"/>
      <c r="P417" s="39"/>
      <c r="Q417" s="39"/>
    </row>
    <row r="418" spans="1:17" x14ac:dyDescent="0.2">
      <c r="A418" s="38"/>
      <c r="B418" s="42"/>
      <c r="C418" s="45"/>
      <c r="D418" s="39"/>
      <c r="E418" s="39"/>
      <c r="F418" s="39"/>
      <c r="G418" s="39"/>
      <c r="H418" s="39"/>
      <c r="K418" s="42"/>
      <c r="P418" s="39"/>
      <c r="Q418" s="39"/>
    </row>
    <row r="419" spans="1:17" x14ac:dyDescent="0.2">
      <c r="A419" s="38"/>
      <c r="B419" s="42"/>
      <c r="C419" s="45"/>
      <c r="D419" s="39"/>
      <c r="E419" s="39"/>
      <c r="F419" s="39"/>
      <c r="G419" s="39"/>
      <c r="H419" s="39"/>
      <c r="K419" s="42"/>
      <c r="P419" s="39"/>
      <c r="Q419" s="39"/>
    </row>
    <row r="420" spans="1:17" x14ac:dyDescent="0.2">
      <c r="A420" s="38"/>
      <c r="B420" s="42"/>
      <c r="C420" s="45"/>
      <c r="D420" s="39"/>
      <c r="E420" s="39"/>
      <c r="F420" s="39"/>
      <c r="G420" s="39"/>
      <c r="H420" s="39"/>
      <c r="K420" s="42"/>
      <c r="P420" s="39"/>
      <c r="Q420" s="39"/>
    </row>
    <row r="421" spans="1:17" x14ac:dyDescent="0.2">
      <c r="A421" s="38"/>
      <c r="B421" s="42"/>
      <c r="C421" s="45"/>
      <c r="D421" s="39"/>
      <c r="E421" s="39"/>
      <c r="F421" s="39"/>
      <c r="G421" s="39"/>
      <c r="H421" s="39"/>
      <c r="K421" s="42"/>
      <c r="P421" s="39"/>
      <c r="Q421" s="39"/>
    </row>
    <row r="422" spans="1:17" x14ac:dyDescent="0.2">
      <c r="A422" s="38"/>
      <c r="B422" s="42"/>
      <c r="C422" s="45"/>
      <c r="D422" s="39"/>
      <c r="E422" s="39"/>
      <c r="F422" s="39"/>
      <c r="G422" s="39"/>
      <c r="H422" s="39"/>
      <c r="K422" s="42"/>
      <c r="P422" s="39"/>
      <c r="Q422" s="39"/>
    </row>
    <row r="423" spans="1:17" x14ac:dyDescent="0.2">
      <c r="A423" s="38"/>
      <c r="B423" s="42"/>
      <c r="C423" s="45"/>
      <c r="D423" s="39"/>
      <c r="E423" s="39"/>
      <c r="F423" s="39"/>
      <c r="G423" s="39"/>
      <c r="H423" s="39"/>
      <c r="K423" s="42"/>
      <c r="P423" s="39"/>
      <c r="Q423" s="39"/>
    </row>
    <row r="424" spans="1:17" x14ac:dyDescent="0.2">
      <c r="A424" s="38"/>
      <c r="B424" s="42"/>
      <c r="C424" s="45"/>
      <c r="D424" s="39"/>
      <c r="E424" s="39"/>
      <c r="F424" s="39"/>
      <c r="G424" s="39"/>
      <c r="H424" s="39"/>
      <c r="K424" s="42"/>
      <c r="P424" s="39"/>
      <c r="Q424" s="39"/>
    </row>
    <row r="425" spans="1:17" x14ac:dyDescent="0.2">
      <c r="A425" s="38"/>
      <c r="B425" s="42"/>
      <c r="C425" s="45"/>
      <c r="D425" s="39"/>
      <c r="E425" s="39"/>
      <c r="F425" s="39"/>
      <c r="G425" s="39"/>
      <c r="H425" s="39"/>
      <c r="K425" s="42"/>
      <c r="P425" s="39"/>
      <c r="Q425" s="39"/>
    </row>
    <row r="426" spans="1:17" x14ac:dyDescent="0.2">
      <c r="A426" s="38"/>
      <c r="B426" s="42"/>
      <c r="C426" s="45"/>
      <c r="D426" s="39"/>
      <c r="E426" s="39"/>
      <c r="F426" s="39"/>
      <c r="G426" s="39"/>
      <c r="H426" s="39"/>
      <c r="K426" s="42"/>
      <c r="P426" s="39"/>
      <c r="Q426" s="39"/>
    </row>
    <row r="427" spans="1:17" x14ac:dyDescent="0.2">
      <c r="A427" s="38"/>
      <c r="B427" s="42"/>
      <c r="C427" s="45"/>
      <c r="D427" s="39"/>
      <c r="E427" s="39"/>
      <c r="F427" s="39"/>
      <c r="G427" s="39"/>
      <c r="H427" s="39"/>
      <c r="K427" s="42"/>
      <c r="P427" s="39"/>
      <c r="Q427" s="39"/>
    </row>
    <row r="428" spans="1:17" x14ac:dyDescent="0.2">
      <c r="A428" s="38"/>
      <c r="B428" s="42"/>
      <c r="C428" s="45"/>
      <c r="D428" s="39"/>
      <c r="E428" s="39"/>
      <c r="F428" s="39"/>
      <c r="G428" s="39"/>
      <c r="H428" s="39"/>
      <c r="K428" s="42"/>
      <c r="P428" s="39"/>
      <c r="Q428" s="39"/>
    </row>
    <row r="429" spans="1:17" x14ac:dyDescent="0.2">
      <c r="A429" s="38"/>
      <c r="B429" s="42"/>
      <c r="C429" s="45"/>
      <c r="D429" s="39"/>
      <c r="E429" s="39"/>
      <c r="F429" s="39"/>
      <c r="G429" s="39"/>
      <c r="H429" s="39"/>
      <c r="K429" s="42"/>
      <c r="P429" s="39"/>
      <c r="Q429" s="39"/>
    </row>
    <row r="430" spans="1:17" x14ac:dyDescent="0.2">
      <c r="A430" s="38"/>
      <c r="B430" s="42"/>
      <c r="C430" s="45"/>
      <c r="G430" s="39"/>
      <c r="H430" s="39"/>
      <c r="K430" s="42"/>
      <c r="P430" s="39"/>
      <c r="Q430" s="39"/>
    </row>
    <row r="431" spans="1:17" x14ac:dyDescent="0.2">
      <c r="P431" s="13"/>
      <c r="Q431" s="13"/>
    </row>
  </sheetData>
  <sheetProtection algorithmName="SHA-512" hashValue="2XoSqUfGYonnvnrPSotsTr+nDKfVvk1ukJ8cO0fsRCbmIbZOPe06qnB0QV52qCk8ofp6fB+PavvAcS0tAuAu5A==" saltValue="bLeVlzKYBKDt95FJhanPuQ==" spinCount="100000" sheet="1" objects="1" scenarios="1" formatColumns="0" selectLockedCells="1"/>
  <mergeCells count="1">
    <mergeCell ref="D2:E2"/>
  </mergeCells>
  <hyperlinks>
    <hyperlink ref="B17" location="bank2!A1" display="2000/010" xr:uid="{8B825FBE-AB4B-4184-B57E-A4A09432A284}"/>
    <hyperlink ref="B18" location="bank2!A1" display="2000/011" xr:uid="{27BF5E4B-EC80-4791-9FBE-6F8F34941F26}"/>
    <hyperlink ref="C1" location="TrialBalance!A1" display="TrialBalance!A1" xr:uid="{DC1A1368-7AC6-43A4-8190-CDE48DEADF7F}"/>
    <hyperlink ref="B5" location="bank2!A1" display="1000/001" xr:uid="{6A13A1DB-1335-429A-AC05-EDFFC4D43D34}"/>
  </hyperlink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81</v>
      </c>
      <c r="I3" s="77"/>
    </row>
    <row r="4" spans="1:13" x14ac:dyDescent="0.25">
      <c r="C4" s="3" t="s">
        <v>80</v>
      </c>
      <c r="D4" s="35" t="str">
        <f>Criteria!E20</f>
        <v>29 FEBRUARY 2024</v>
      </c>
    </row>
    <row r="5" spans="1:13" x14ac:dyDescent="0.25">
      <c r="H5" s="77" t="s">
        <v>82</v>
      </c>
      <c r="I5" s="77"/>
    </row>
    <row r="6" spans="1:13" x14ac:dyDescent="0.25">
      <c r="C6" s="3" t="s">
        <v>168</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292</v>
      </c>
      <c r="E9" s="8"/>
      <c r="F9" s="4">
        <f>F486</f>
        <v>0</v>
      </c>
    </row>
    <row r="10" spans="1:13" x14ac:dyDescent="0.25">
      <c r="D10" s="8"/>
      <c r="E10" s="8"/>
    </row>
    <row r="11" spans="1:13" x14ac:dyDescent="0.25">
      <c r="A11" s="34" t="s">
        <v>269</v>
      </c>
      <c r="F11" s="527"/>
      <c r="G11" s="527"/>
      <c r="H11" s="527"/>
      <c r="I11" s="527"/>
    </row>
    <row r="12" spans="1:13" x14ac:dyDescent="0.25">
      <c r="A12" s="34" t="s">
        <v>663</v>
      </c>
      <c r="F12" s="527" t="s">
        <v>352</v>
      </c>
      <c r="G12" s="527"/>
      <c r="H12" s="527" t="s">
        <v>92</v>
      </c>
      <c r="I12" s="527"/>
    </row>
    <row r="13" spans="1:13" x14ac:dyDescent="0.25">
      <c r="A13" s="34" t="s">
        <v>270</v>
      </c>
      <c r="B13" s="32" t="s">
        <v>700</v>
      </c>
      <c r="C13" s="32" t="s">
        <v>226</v>
      </c>
      <c r="D13" s="32" t="s">
        <v>245</v>
      </c>
      <c r="E13" s="32" t="s">
        <v>416</v>
      </c>
      <c r="F13" s="22" t="s">
        <v>229</v>
      </c>
      <c r="G13" s="22" t="s">
        <v>230</v>
      </c>
      <c r="H13" s="22" t="s">
        <v>229</v>
      </c>
      <c r="I13" s="22" t="s">
        <v>230</v>
      </c>
    </row>
    <row r="14" spans="1:13" x14ac:dyDescent="0.25">
      <c r="A14" s="34"/>
    </row>
    <row r="15" spans="1:13" x14ac:dyDescent="0.25">
      <c r="A15" s="34" t="str">
        <f t="shared" ref="A15:A78" si="0">IF(COUNTIF(K15:M15,"ERROR")&gt;0,"ERROR"," ")</f>
        <v xml:space="preserve"> </v>
      </c>
      <c r="B15" s="5">
        <v>1</v>
      </c>
      <c r="D15" s="33"/>
      <c r="E15" s="33"/>
      <c r="J15" s="14">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x14ac:dyDescent="0.25">
      <c r="A16" s="34" t="str">
        <f t="shared" si="0"/>
        <v xml:space="preserve"> </v>
      </c>
      <c r="B16" s="25"/>
      <c r="D16" s="33"/>
      <c r="E16" s="33"/>
      <c r="J16" s="14">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4" t="str">
        <f t="shared" si="0"/>
        <v xml:space="preserve"> </v>
      </c>
      <c r="D17" s="33"/>
      <c r="E17" s="33"/>
      <c r="J17" s="14">
        <f t="shared" si="3"/>
        <v>0</v>
      </c>
      <c r="K17" s="2" t="str">
        <f t="shared" si="4"/>
        <v xml:space="preserve"> </v>
      </c>
      <c r="L17" s="2" t="str">
        <f t="shared" si="1"/>
        <v xml:space="preserve"> </v>
      </c>
      <c r="M17" s="2" t="str">
        <f t="shared" si="2"/>
        <v xml:space="preserve"> </v>
      </c>
    </row>
    <row r="18" spans="1:13" x14ac:dyDescent="0.25">
      <c r="A18" s="34" t="str">
        <f t="shared" si="0"/>
        <v xml:space="preserve"> </v>
      </c>
      <c r="D18" s="33"/>
      <c r="E18" s="33"/>
      <c r="J18" s="14">
        <f t="shared" si="3"/>
        <v>0</v>
      </c>
      <c r="K18" s="2" t="str">
        <f t="shared" si="4"/>
        <v xml:space="preserve"> </v>
      </c>
      <c r="L18" s="2" t="str">
        <f t="shared" si="1"/>
        <v xml:space="preserve"> </v>
      </c>
      <c r="M18" s="2" t="str">
        <f t="shared" si="2"/>
        <v xml:space="preserve"> </v>
      </c>
    </row>
    <row r="19" spans="1:13" x14ac:dyDescent="0.25">
      <c r="A19" s="34" t="str">
        <f t="shared" si="0"/>
        <v xml:space="preserve"> </v>
      </c>
      <c r="D19" s="33"/>
      <c r="E19" s="33"/>
      <c r="J19" s="14">
        <f t="shared" si="3"/>
        <v>0</v>
      </c>
      <c r="K19" s="2" t="str">
        <f t="shared" si="4"/>
        <v xml:space="preserve"> </v>
      </c>
      <c r="L19" s="2" t="str">
        <f t="shared" si="1"/>
        <v xml:space="preserve"> </v>
      </c>
      <c r="M19" s="2" t="str">
        <f t="shared" si="2"/>
        <v xml:space="preserve"> </v>
      </c>
    </row>
    <row r="20" spans="1:13" x14ac:dyDescent="0.25">
      <c r="A20" s="34" t="str">
        <f t="shared" si="0"/>
        <v xml:space="preserve"> </v>
      </c>
      <c r="D20" s="33"/>
      <c r="E20" s="33"/>
      <c r="J20" s="14">
        <f t="shared" si="3"/>
        <v>0</v>
      </c>
      <c r="K20" s="2" t="str">
        <f t="shared" si="4"/>
        <v xml:space="preserve"> </v>
      </c>
      <c r="L20" s="2" t="str">
        <f t="shared" si="1"/>
        <v xml:space="preserve"> </v>
      </c>
      <c r="M20" s="2" t="str">
        <f t="shared" si="2"/>
        <v xml:space="preserve"> </v>
      </c>
    </row>
    <row r="21" spans="1:13" x14ac:dyDescent="0.25">
      <c r="A21" s="34" t="str">
        <f t="shared" si="0"/>
        <v xml:space="preserve"> </v>
      </c>
      <c r="D21" s="33"/>
      <c r="E21" s="33"/>
      <c r="J21" s="14">
        <f t="shared" si="3"/>
        <v>0</v>
      </c>
      <c r="K21" s="2" t="str">
        <f t="shared" si="4"/>
        <v xml:space="preserve"> </v>
      </c>
      <c r="L21" s="2" t="str">
        <f t="shared" si="1"/>
        <v xml:space="preserve"> </v>
      </c>
      <c r="M21" s="2" t="str">
        <f t="shared" si="2"/>
        <v xml:space="preserve"> </v>
      </c>
    </row>
    <row r="22" spans="1:13" x14ac:dyDescent="0.25">
      <c r="A22" s="34" t="str">
        <f t="shared" si="0"/>
        <v xml:space="preserve"> </v>
      </c>
      <c r="D22" s="33"/>
      <c r="E22" s="33"/>
      <c r="J22" s="14">
        <f t="shared" si="3"/>
        <v>0</v>
      </c>
      <c r="K22" s="2" t="str">
        <f t="shared" si="4"/>
        <v xml:space="preserve"> </v>
      </c>
      <c r="L22" s="2" t="str">
        <f t="shared" si="1"/>
        <v xml:space="preserve"> </v>
      </c>
      <c r="M22" s="2" t="str">
        <f t="shared" si="2"/>
        <v xml:space="preserve"> </v>
      </c>
    </row>
    <row r="23" spans="1:13" x14ac:dyDescent="0.25">
      <c r="A23" s="34" t="str">
        <f t="shared" si="0"/>
        <v xml:space="preserve"> </v>
      </c>
      <c r="D23" s="33"/>
      <c r="E23" s="33"/>
      <c r="J23" s="14">
        <f t="shared" si="3"/>
        <v>0</v>
      </c>
      <c r="K23" s="2" t="str">
        <f t="shared" si="4"/>
        <v xml:space="preserve"> </v>
      </c>
      <c r="L23" s="2" t="str">
        <f t="shared" si="1"/>
        <v xml:space="preserve"> </v>
      </c>
      <c r="M23" s="2" t="str">
        <f t="shared" si="2"/>
        <v xml:space="preserve"> </v>
      </c>
    </row>
    <row r="24" spans="1:13" x14ac:dyDescent="0.25">
      <c r="A24" s="34" t="str">
        <f t="shared" si="0"/>
        <v xml:space="preserve"> </v>
      </c>
      <c r="D24" s="33"/>
      <c r="E24" s="33"/>
      <c r="J24" s="14">
        <f t="shared" si="3"/>
        <v>0</v>
      </c>
      <c r="K24" s="2" t="str">
        <f t="shared" si="4"/>
        <v xml:space="preserve"> </v>
      </c>
      <c r="L24" s="2" t="str">
        <f t="shared" si="1"/>
        <v xml:space="preserve"> </v>
      </c>
      <c r="M24" s="2" t="str">
        <f t="shared" si="2"/>
        <v xml:space="preserve"> </v>
      </c>
    </row>
    <row r="25" spans="1:13" x14ac:dyDescent="0.25">
      <c r="A25" s="34" t="str">
        <f t="shared" si="0"/>
        <v xml:space="preserve"> </v>
      </c>
      <c r="C25" s="52"/>
      <c r="D25" s="33"/>
      <c r="E25" s="33"/>
      <c r="J25" s="14">
        <f t="shared" si="3"/>
        <v>0</v>
      </c>
      <c r="K25" s="2" t="str">
        <f t="shared" si="4"/>
        <v xml:space="preserve"> </v>
      </c>
      <c r="L25" s="2" t="str">
        <f t="shared" si="1"/>
        <v xml:space="preserve"> </v>
      </c>
      <c r="M25" s="2" t="str">
        <f t="shared" si="2"/>
        <v xml:space="preserve"> </v>
      </c>
    </row>
    <row r="26" spans="1:13" x14ac:dyDescent="0.25">
      <c r="A26" s="34" t="str">
        <f t="shared" si="0"/>
        <v xml:space="preserve"> </v>
      </c>
      <c r="D26" s="33"/>
      <c r="E26" s="33"/>
      <c r="J26" s="14">
        <f t="shared" si="3"/>
        <v>0</v>
      </c>
      <c r="K26" s="2" t="str">
        <f t="shared" si="4"/>
        <v xml:space="preserve"> </v>
      </c>
      <c r="L26" s="2" t="str">
        <f t="shared" si="1"/>
        <v xml:space="preserve"> </v>
      </c>
      <c r="M26" s="2" t="str">
        <f t="shared" si="2"/>
        <v xml:space="preserve"> </v>
      </c>
    </row>
    <row r="27" spans="1:13" x14ac:dyDescent="0.25">
      <c r="A27" s="34" t="str">
        <f t="shared" si="0"/>
        <v xml:space="preserve"> </v>
      </c>
      <c r="D27" s="33"/>
      <c r="E27" s="33"/>
      <c r="J27" s="14">
        <f t="shared" si="3"/>
        <v>0</v>
      </c>
      <c r="K27" s="2" t="str">
        <f t="shared" si="4"/>
        <v xml:space="preserve"> </v>
      </c>
      <c r="L27" s="2" t="str">
        <f t="shared" si="1"/>
        <v xml:space="preserve"> </v>
      </c>
      <c r="M27" s="2" t="str">
        <f t="shared" si="2"/>
        <v xml:space="preserve"> </v>
      </c>
    </row>
    <row r="28" spans="1:13" x14ac:dyDescent="0.25">
      <c r="A28" s="34" t="str">
        <f t="shared" si="0"/>
        <v xml:space="preserve"> </v>
      </c>
      <c r="D28" s="33"/>
      <c r="E28" s="33"/>
      <c r="J28" s="14">
        <f t="shared" si="3"/>
        <v>0</v>
      </c>
      <c r="K28" s="2" t="str">
        <f t="shared" si="4"/>
        <v xml:space="preserve"> </v>
      </c>
      <c r="L28" s="2" t="str">
        <f t="shared" si="1"/>
        <v xml:space="preserve"> </v>
      </c>
      <c r="M28" s="2" t="str">
        <f t="shared" si="2"/>
        <v xml:space="preserve"> </v>
      </c>
    </row>
    <row r="29" spans="1:13" x14ac:dyDescent="0.25">
      <c r="A29" s="34" t="str">
        <f t="shared" si="0"/>
        <v xml:space="preserve"> </v>
      </c>
      <c r="D29" s="33"/>
      <c r="E29" s="33"/>
      <c r="J29" s="14">
        <f t="shared" si="3"/>
        <v>0</v>
      </c>
      <c r="K29" s="2" t="str">
        <f t="shared" si="4"/>
        <v xml:space="preserve"> </v>
      </c>
      <c r="L29" s="2" t="str">
        <f t="shared" si="1"/>
        <v xml:space="preserve"> </v>
      </c>
      <c r="M29" s="2" t="str">
        <f t="shared" si="2"/>
        <v xml:space="preserve"> </v>
      </c>
    </row>
    <row r="30" spans="1:13" x14ac:dyDescent="0.25">
      <c r="A30" s="34" t="str">
        <f t="shared" si="0"/>
        <v xml:space="preserve"> </v>
      </c>
      <c r="D30" s="33"/>
      <c r="E30" s="33"/>
      <c r="J30" s="14">
        <f t="shared" si="3"/>
        <v>0</v>
      </c>
      <c r="K30" s="2" t="str">
        <f t="shared" si="4"/>
        <v xml:space="preserve"> </v>
      </c>
      <c r="L30" s="2" t="str">
        <f t="shared" si="1"/>
        <v xml:space="preserve"> </v>
      </c>
      <c r="M30" s="2" t="str">
        <f t="shared" si="2"/>
        <v xml:space="preserve"> </v>
      </c>
    </row>
    <row r="31" spans="1:13" x14ac:dyDescent="0.25">
      <c r="A31" s="34" t="str">
        <f t="shared" si="0"/>
        <v xml:space="preserve"> </v>
      </c>
      <c r="D31" s="33"/>
      <c r="E31" s="33"/>
      <c r="J31" s="14">
        <f t="shared" si="3"/>
        <v>0</v>
      </c>
      <c r="K31" s="2" t="str">
        <f t="shared" si="4"/>
        <v xml:space="preserve"> </v>
      </c>
      <c r="L31" s="2" t="str">
        <f t="shared" si="1"/>
        <v xml:space="preserve"> </v>
      </c>
      <c r="M31" s="2" t="str">
        <f t="shared" si="2"/>
        <v xml:space="preserve"> </v>
      </c>
    </row>
    <row r="32" spans="1:13" x14ac:dyDescent="0.25">
      <c r="A32" s="34" t="str">
        <f t="shared" si="0"/>
        <v xml:space="preserve"> </v>
      </c>
      <c r="D32" s="33"/>
      <c r="E32" s="33"/>
      <c r="J32" s="14">
        <f t="shared" si="3"/>
        <v>0</v>
      </c>
      <c r="K32" s="2" t="str">
        <f t="shared" si="4"/>
        <v xml:space="preserve"> </v>
      </c>
      <c r="L32" s="2" t="str">
        <f t="shared" si="1"/>
        <v xml:space="preserve"> </v>
      </c>
      <c r="M32" s="2" t="str">
        <f t="shared" si="2"/>
        <v xml:space="preserve"> </v>
      </c>
    </row>
    <row r="33" spans="1:13" x14ac:dyDescent="0.25">
      <c r="A33" s="34" t="str">
        <f t="shared" si="0"/>
        <v xml:space="preserve"> </v>
      </c>
      <c r="D33" s="33"/>
      <c r="E33" s="33"/>
      <c r="J33" s="14">
        <f t="shared" si="3"/>
        <v>0</v>
      </c>
      <c r="K33" s="2" t="str">
        <f t="shared" si="4"/>
        <v xml:space="preserve"> </v>
      </c>
      <c r="L33" s="2" t="str">
        <f t="shared" si="1"/>
        <v xml:space="preserve"> </v>
      </c>
      <c r="M33" s="2" t="str">
        <f t="shared" si="2"/>
        <v xml:space="preserve"> </v>
      </c>
    </row>
    <row r="34" spans="1:13" x14ac:dyDescent="0.25">
      <c r="A34" s="34" t="str">
        <f t="shared" si="0"/>
        <v xml:space="preserve"> </v>
      </c>
      <c r="D34" s="33"/>
      <c r="E34" s="33"/>
      <c r="J34" s="14">
        <f t="shared" si="3"/>
        <v>0</v>
      </c>
      <c r="K34" s="2" t="str">
        <f t="shared" si="4"/>
        <v xml:space="preserve"> </v>
      </c>
      <c r="L34" s="2" t="str">
        <f t="shared" si="1"/>
        <v xml:space="preserve"> </v>
      </c>
      <c r="M34" s="2" t="str">
        <f t="shared" si="2"/>
        <v xml:space="preserve"> </v>
      </c>
    </row>
    <row r="35" spans="1:13" x14ac:dyDescent="0.25">
      <c r="A35" s="34" t="str">
        <f t="shared" si="0"/>
        <v xml:space="preserve"> </v>
      </c>
      <c r="D35" s="33"/>
      <c r="E35" s="33"/>
      <c r="J35" s="14">
        <f t="shared" si="3"/>
        <v>0</v>
      </c>
      <c r="K35" s="2" t="str">
        <f t="shared" si="4"/>
        <v xml:space="preserve"> </v>
      </c>
      <c r="L35" s="2" t="str">
        <f t="shared" si="1"/>
        <v xml:space="preserve"> </v>
      </c>
      <c r="M35" s="2" t="str">
        <f t="shared" si="2"/>
        <v xml:space="preserve"> </v>
      </c>
    </row>
    <row r="36" spans="1:13" x14ac:dyDescent="0.25">
      <c r="A36" s="34" t="str">
        <f t="shared" si="0"/>
        <v xml:space="preserve"> </v>
      </c>
      <c r="D36" s="33"/>
      <c r="E36" s="33"/>
      <c r="J36" s="14">
        <f t="shared" si="3"/>
        <v>0</v>
      </c>
      <c r="K36" s="2" t="str">
        <f t="shared" si="4"/>
        <v xml:space="preserve"> </v>
      </c>
      <c r="L36" s="2" t="str">
        <f t="shared" si="1"/>
        <v xml:space="preserve"> </v>
      </c>
      <c r="M36" s="2" t="str">
        <f t="shared" si="2"/>
        <v xml:space="preserve"> </v>
      </c>
    </row>
    <row r="37" spans="1:13" x14ac:dyDescent="0.25">
      <c r="A37" s="34" t="str">
        <f t="shared" si="0"/>
        <v xml:space="preserve"> </v>
      </c>
      <c r="D37" s="33"/>
      <c r="E37" s="33"/>
      <c r="J37" s="14">
        <f t="shared" si="3"/>
        <v>0</v>
      </c>
      <c r="K37" s="2" t="str">
        <f t="shared" si="4"/>
        <v xml:space="preserve"> </v>
      </c>
      <c r="L37" s="2" t="str">
        <f t="shared" si="1"/>
        <v xml:space="preserve"> </v>
      </c>
      <c r="M37" s="2" t="str">
        <f t="shared" si="2"/>
        <v xml:space="preserve"> </v>
      </c>
    </row>
    <row r="38" spans="1:13" x14ac:dyDescent="0.25">
      <c r="A38" s="34" t="str">
        <f t="shared" si="0"/>
        <v xml:space="preserve"> </v>
      </c>
      <c r="D38" s="33"/>
      <c r="E38" s="33"/>
      <c r="J38" s="14">
        <f t="shared" si="3"/>
        <v>0</v>
      </c>
      <c r="K38" s="2" t="str">
        <f t="shared" si="4"/>
        <v xml:space="preserve"> </v>
      </c>
      <c r="L38" s="2" t="str">
        <f t="shared" si="1"/>
        <v xml:space="preserve"> </v>
      </c>
      <c r="M38" s="2" t="str">
        <f t="shared" si="2"/>
        <v xml:space="preserve"> </v>
      </c>
    </row>
    <row r="39" spans="1:13" x14ac:dyDescent="0.25">
      <c r="A39" s="34" t="str">
        <f t="shared" si="0"/>
        <v xml:space="preserve"> </v>
      </c>
      <c r="D39" s="33"/>
      <c r="E39" s="33"/>
      <c r="J39" s="14">
        <f t="shared" si="3"/>
        <v>0</v>
      </c>
      <c r="K39" s="2" t="str">
        <f t="shared" si="4"/>
        <v xml:space="preserve"> </v>
      </c>
      <c r="L39" s="2" t="str">
        <f t="shared" si="1"/>
        <v xml:space="preserve"> </v>
      </c>
      <c r="M39" s="2" t="str">
        <f t="shared" si="2"/>
        <v xml:space="preserve"> </v>
      </c>
    </row>
    <row r="40" spans="1:13" x14ac:dyDescent="0.25">
      <c r="A40" s="34" t="str">
        <f t="shared" si="0"/>
        <v xml:space="preserve"> </v>
      </c>
      <c r="D40" s="33"/>
      <c r="E40" s="33"/>
      <c r="J40" s="14">
        <f t="shared" si="3"/>
        <v>0</v>
      </c>
      <c r="K40" s="2" t="str">
        <f t="shared" si="4"/>
        <v xml:space="preserve"> </v>
      </c>
      <c r="L40" s="2" t="str">
        <f t="shared" si="1"/>
        <v xml:space="preserve"> </v>
      </c>
      <c r="M40" s="2" t="str">
        <f t="shared" si="2"/>
        <v xml:space="preserve"> </v>
      </c>
    </row>
    <row r="41" spans="1:13" x14ac:dyDescent="0.25">
      <c r="A41" s="34" t="str">
        <f t="shared" si="0"/>
        <v xml:space="preserve"> </v>
      </c>
      <c r="D41" s="33"/>
      <c r="E41" s="33"/>
      <c r="J41" s="14">
        <f t="shared" si="3"/>
        <v>0</v>
      </c>
      <c r="K41" s="2" t="str">
        <f t="shared" si="4"/>
        <v xml:space="preserve"> </v>
      </c>
      <c r="L41" s="2" t="str">
        <f t="shared" si="1"/>
        <v xml:space="preserve"> </v>
      </c>
      <c r="M41" s="2" t="str">
        <f t="shared" si="2"/>
        <v xml:space="preserve"> </v>
      </c>
    </row>
    <row r="42" spans="1:13" x14ac:dyDescent="0.25">
      <c r="A42" s="34" t="str">
        <f t="shared" si="0"/>
        <v xml:space="preserve"> </v>
      </c>
      <c r="D42" s="33"/>
      <c r="E42" s="33"/>
      <c r="J42" s="14">
        <f t="shared" si="3"/>
        <v>0</v>
      </c>
      <c r="K42" s="2" t="str">
        <f t="shared" si="4"/>
        <v xml:space="preserve"> </v>
      </c>
      <c r="L42" s="2" t="str">
        <f t="shared" si="1"/>
        <v xml:space="preserve"> </v>
      </c>
      <c r="M42" s="2" t="str">
        <f t="shared" si="2"/>
        <v xml:space="preserve"> </v>
      </c>
    </row>
    <row r="43" spans="1:13" x14ac:dyDescent="0.25">
      <c r="A43" s="34" t="str">
        <f t="shared" si="0"/>
        <v xml:space="preserve"> </v>
      </c>
      <c r="D43" s="33"/>
      <c r="E43" s="33"/>
      <c r="J43" s="14">
        <f t="shared" si="3"/>
        <v>0</v>
      </c>
      <c r="K43" s="2" t="str">
        <f t="shared" si="4"/>
        <v xml:space="preserve"> </v>
      </c>
      <c r="L43" s="2" t="str">
        <f t="shared" si="1"/>
        <v xml:space="preserve"> </v>
      </c>
      <c r="M43" s="2" t="str">
        <f t="shared" si="2"/>
        <v xml:space="preserve"> </v>
      </c>
    </row>
    <row r="44" spans="1:13" x14ac:dyDescent="0.25">
      <c r="A44" s="34" t="str">
        <f t="shared" si="0"/>
        <v xml:space="preserve"> </v>
      </c>
      <c r="D44" s="33"/>
      <c r="E44" s="33"/>
      <c r="J44" s="14">
        <f t="shared" si="3"/>
        <v>0</v>
      </c>
      <c r="K44" s="2" t="str">
        <f t="shared" si="4"/>
        <v xml:space="preserve"> </v>
      </c>
      <c r="L44" s="2" t="str">
        <f t="shared" si="1"/>
        <v xml:space="preserve"> </v>
      </c>
      <c r="M44" s="2" t="str">
        <f t="shared" si="2"/>
        <v xml:space="preserve"> </v>
      </c>
    </row>
    <row r="45" spans="1:13" x14ac:dyDescent="0.25">
      <c r="A45" s="34" t="str">
        <f t="shared" si="0"/>
        <v xml:space="preserve"> </v>
      </c>
      <c r="D45" s="33"/>
      <c r="E45" s="33"/>
      <c r="J45" s="14">
        <f t="shared" si="3"/>
        <v>0</v>
      </c>
      <c r="K45" s="2" t="str">
        <f t="shared" si="4"/>
        <v xml:space="preserve"> </v>
      </c>
      <c r="L45" s="2" t="str">
        <f t="shared" si="1"/>
        <v xml:space="preserve"> </v>
      </c>
      <c r="M45" s="2" t="str">
        <f t="shared" si="2"/>
        <v xml:space="preserve"> </v>
      </c>
    </row>
    <row r="46" spans="1:13" x14ac:dyDescent="0.25">
      <c r="A46" s="34" t="str">
        <f t="shared" si="0"/>
        <v xml:space="preserve"> </v>
      </c>
      <c r="D46" s="33"/>
      <c r="E46" s="33"/>
      <c r="J46" s="14">
        <f t="shared" si="3"/>
        <v>0</v>
      </c>
      <c r="K46" s="2" t="str">
        <f t="shared" si="4"/>
        <v xml:space="preserve"> </v>
      </c>
      <c r="L46" s="2" t="str">
        <f t="shared" si="1"/>
        <v xml:space="preserve"> </v>
      </c>
      <c r="M46" s="2" t="str">
        <f t="shared" si="2"/>
        <v xml:space="preserve"> </v>
      </c>
    </row>
    <row r="47" spans="1:13" x14ac:dyDescent="0.25">
      <c r="A47" s="34" t="str">
        <f t="shared" si="0"/>
        <v xml:space="preserve"> </v>
      </c>
      <c r="D47" s="33"/>
      <c r="E47" s="33"/>
      <c r="J47" s="14">
        <f t="shared" si="3"/>
        <v>0</v>
      </c>
      <c r="K47" s="2" t="str">
        <f t="shared" si="4"/>
        <v xml:space="preserve"> </v>
      </c>
      <c r="L47" s="2" t="str">
        <f t="shared" si="1"/>
        <v xml:space="preserve"> </v>
      </c>
      <c r="M47" s="2" t="str">
        <f t="shared" si="2"/>
        <v xml:space="preserve"> </v>
      </c>
    </row>
    <row r="48" spans="1:13" x14ac:dyDescent="0.25">
      <c r="A48" s="34" t="str">
        <f t="shared" si="0"/>
        <v xml:space="preserve"> </v>
      </c>
      <c r="D48" s="33"/>
      <c r="E48" s="33"/>
      <c r="J48" s="14">
        <f t="shared" si="3"/>
        <v>0</v>
      </c>
      <c r="K48" s="2" t="str">
        <f t="shared" si="4"/>
        <v xml:space="preserve"> </v>
      </c>
      <c r="L48" s="2" t="str">
        <f t="shared" si="1"/>
        <v xml:space="preserve"> </v>
      </c>
      <c r="M48" s="2" t="str">
        <f t="shared" si="2"/>
        <v xml:space="preserve"> </v>
      </c>
    </row>
    <row r="49" spans="1:13" x14ac:dyDescent="0.25">
      <c r="A49" s="34" t="str">
        <f t="shared" si="0"/>
        <v xml:space="preserve"> </v>
      </c>
      <c r="D49" s="33"/>
      <c r="E49" s="33"/>
      <c r="J49" s="14">
        <f t="shared" si="3"/>
        <v>0</v>
      </c>
      <c r="K49" s="2" t="str">
        <f t="shared" si="4"/>
        <v xml:space="preserve"> </v>
      </c>
      <c r="L49" s="2" t="str">
        <f t="shared" si="1"/>
        <v xml:space="preserve"> </v>
      </c>
      <c r="M49" s="2" t="str">
        <f t="shared" si="2"/>
        <v xml:space="preserve"> </v>
      </c>
    </row>
    <row r="50" spans="1:13" x14ac:dyDescent="0.25">
      <c r="A50" s="34" t="str">
        <f t="shared" si="0"/>
        <v xml:space="preserve"> </v>
      </c>
      <c r="D50" s="33"/>
      <c r="E50" s="33"/>
      <c r="J50" s="14">
        <f t="shared" si="3"/>
        <v>0</v>
      </c>
      <c r="K50" s="2" t="str">
        <f t="shared" si="4"/>
        <v xml:space="preserve"> </v>
      </c>
      <c r="L50" s="2" t="str">
        <f t="shared" si="1"/>
        <v xml:space="preserve"> </v>
      </c>
      <c r="M50" s="2" t="str">
        <f t="shared" si="2"/>
        <v xml:space="preserve"> </v>
      </c>
    </row>
    <row r="51" spans="1:13" x14ac:dyDescent="0.25">
      <c r="A51" s="34" t="str">
        <f t="shared" si="0"/>
        <v xml:space="preserve"> </v>
      </c>
      <c r="D51" s="33"/>
      <c r="E51" s="33"/>
      <c r="J51" s="14">
        <f t="shared" si="3"/>
        <v>0</v>
      </c>
      <c r="K51" s="2" t="str">
        <f t="shared" si="4"/>
        <v xml:space="preserve"> </v>
      </c>
      <c r="L51" s="2" t="str">
        <f t="shared" si="1"/>
        <v xml:space="preserve"> </v>
      </c>
      <c r="M51" s="2" t="str">
        <f t="shared" si="2"/>
        <v xml:space="preserve"> </v>
      </c>
    </row>
    <row r="52" spans="1:13" x14ac:dyDescent="0.25">
      <c r="A52" s="34" t="str">
        <f t="shared" si="0"/>
        <v xml:space="preserve"> </v>
      </c>
      <c r="D52" s="33"/>
      <c r="E52" s="33"/>
      <c r="J52" s="14">
        <f t="shared" si="3"/>
        <v>0</v>
      </c>
      <c r="K52" s="2" t="str">
        <f t="shared" si="4"/>
        <v xml:space="preserve"> </v>
      </c>
      <c r="L52" s="2" t="str">
        <f t="shared" si="1"/>
        <v xml:space="preserve"> </v>
      </c>
      <c r="M52" s="2" t="str">
        <f t="shared" si="2"/>
        <v xml:space="preserve"> </v>
      </c>
    </row>
    <row r="53" spans="1:13" x14ac:dyDescent="0.25">
      <c r="A53" s="34" t="str">
        <f t="shared" si="0"/>
        <v xml:space="preserve"> </v>
      </c>
      <c r="D53" s="33"/>
      <c r="E53" s="33"/>
      <c r="J53" s="14">
        <f t="shared" si="3"/>
        <v>0</v>
      </c>
      <c r="K53" s="2" t="str">
        <f t="shared" si="4"/>
        <v xml:space="preserve"> </v>
      </c>
      <c r="L53" s="2" t="str">
        <f t="shared" si="1"/>
        <v xml:space="preserve"> </v>
      </c>
      <c r="M53" s="2" t="str">
        <f t="shared" si="2"/>
        <v xml:space="preserve"> </v>
      </c>
    </row>
    <row r="54" spans="1:13" x14ac:dyDescent="0.25">
      <c r="A54" s="34" t="str">
        <f t="shared" si="0"/>
        <v xml:space="preserve"> </v>
      </c>
      <c r="D54" s="33"/>
      <c r="E54" s="33"/>
      <c r="J54" s="14">
        <f t="shared" si="3"/>
        <v>0</v>
      </c>
      <c r="K54" s="2" t="str">
        <f t="shared" si="4"/>
        <v xml:space="preserve"> </v>
      </c>
      <c r="L54" s="2" t="str">
        <f t="shared" si="1"/>
        <v xml:space="preserve"> </v>
      </c>
      <c r="M54" s="2" t="str">
        <f t="shared" si="2"/>
        <v xml:space="preserve"> </v>
      </c>
    </row>
    <row r="55" spans="1:13" x14ac:dyDescent="0.25">
      <c r="A55" s="34" t="str">
        <f t="shared" si="0"/>
        <v xml:space="preserve"> </v>
      </c>
      <c r="D55" s="33"/>
      <c r="E55" s="33"/>
      <c r="J55" s="14">
        <f t="shared" si="3"/>
        <v>0</v>
      </c>
      <c r="K55" s="2" t="str">
        <f t="shared" si="4"/>
        <v xml:space="preserve"> </v>
      </c>
      <c r="L55" s="2" t="str">
        <f t="shared" si="1"/>
        <v xml:space="preserve"> </v>
      </c>
      <c r="M55" s="2" t="str">
        <f t="shared" si="2"/>
        <v xml:space="preserve"> </v>
      </c>
    </row>
    <row r="56" spans="1:13" x14ac:dyDescent="0.25">
      <c r="A56" s="34" t="str">
        <f t="shared" si="0"/>
        <v xml:space="preserve"> </v>
      </c>
      <c r="D56" s="33"/>
      <c r="E56" s="33"/>
      <c r="J56" s="14">
        <f t="shared" si="3"/>
        <v>0</v>
      </c>
      <c r="K56" s="2" t="str">
        <f t="shared" si="4"/>
        <v xml:space="preserve"> </v>
      </c>
      <c r="L56" s="2" t="str">
        <f t="shared" si="1"/>
        <v xml:space="preserve"> </v>
      </c>
      <c r="M56" s="2" t="str">
        <f t="shared" si="2"/>
        <v xml:space="preserve"> </v>
      </c>
    </row>
    <row r="57" spans="1:13" x14ac:dyDescent="0.25">
      <c r="A57" s="34" t="str">
        <f t="shared" si="0"/>
        <v xml:space="preserve"> </v>
      </c>
      <c r="D57" s="33"/>
      <c r="E57" s="33"/>
      <c r="J57" s="14">
        <f t="shared" si="3"/>
        <v>0</v>
      </c>
      <c r="K57" s="2" t="str">
        <f t="shared" si="4"/>
        <v xml:space="preserve"> </v>
      </c>
      <c r="L57" s="2" t="str">
        <f t="shared" si="1"/>
        <v xml:space="preserve"> </v>
      </c>
      <c r="M57" s="2" t="str">
        <f t="shared" si="2"/>
        <v xml:space="preserve"> </v>
      </c>
    </row>
    <row r="58" spans="1:13" x14ac:dyDescent="0.25">
      <c r="A58" s="34" t="str">
        <f t="shared" si="0"/>
        <v xml:space="preserve"> </v>
      </c>
      <c r="D58" s="33"/>
      <c r="E58" s="33"/>
      <c r="J58" s="14">
        <f t="shared" si="3"/>
        <v>0</v>
      </c>
      <c r="K58" s="2" t="str">
        <f t="shared" si="4"/>
        <v xml:space="preserve"> </v>
      </c>
      <c r="L58" s="2" t="str">
        <f t="shared" si="1"/>
        <v xml:space="preserve"> </v>
      </c>
      <c r="M58" s="2" t="str">
        <f t="shared" si="2"/>
        <v xml:space="preserve"> </v>
      </c>
    </row>
    <row r="59" spans="1:13" x14ac:dyDescent="0.25">
      <c r="A59" s="34" t="str">
        <f t="shared" si="0"/>
        <v xml:space="preserve"> </v>
      </c>
      <c r="D59" s="33"/>
      <c r="E59" s="33"/>
      <c r="J59" s="14">
        <f t="shared" si="3"/>
        <v>0</v>
      </c>
      <c r="K59" s="2" t="str">
        <f t="shared" si="4"/>
        <v xml:space="preserve"> </v>
      </c>
      <c r="L59" s="2" t="str">
        <f t="shared" si="1"/>
        <v xml:space="preserve"> </v>
      </c>
      <c r="M59" s="2" t="str">
        <f t="shared" si="2"/>
        <v xml:space="preserve"> </v>
      </c>
    </row>
    <row r="60" spans="1:13" x14ac:dyDescent="0.25">
      <c r="A60" s="34" t="str">
        <f t="shared" si="0"/>
        <v xml:space="preserve"> </v>
      </c>
      <c r="D60" s="33"/>
      <c r="E60" s="33"/>
      <c r="J60" s="14">
        <f t="shared" si="3"/>
        <v>0</v>
      </c>
      <c r="K60" s="2" t="str">
        <f t="shared" si="4"/>
        <v xml:space="preserve"> </v>
      </c>
      <c r="L60" s="2" t="str">
        <f t="shared" si="1"/>
        <v xml:space="preserve"> </v>
      </c>
      <c r="M60" s="2" t="str">
        <f t="shared" si="2"/>
        <v xml:space="preserve"> </v>
      </c>
    </row>
    <row r="61" spans="1:13" x14ac:dyDescent="0.25">
      <c r="A61" s="34" t="str">
        <f t="shared" si="0"/>
        <v xml:space="preserve"> </v>
      </c>
      <c r="D61" s="33"/>
      <c r="E61" s="33"/>
      <c r="J61" s="14">
        <f t="shared" si="3"/>
        <v>0</v>
      </c>
      <c r="K61" s="2" t="str">
        <f t="shared" si="4"/>
        <v xml:space="preserve"> </v>
      </c>
      <c r="L61" s="2" t="str">
        <f t="shared" si="1"/>
        <v xml:space="preserve"> </v>
      </c>
      <c r="M61" s="2" t="str">
        <f t="shared" si="2"/>
        <v xml:space="preserve"> </v>
      </c>
    </row>
    <row r="62" spans="1:13" x14ac:dyDescent="0.25">
      <c r="A62" s="34" t="str">
        <f t="shared" si="0"/>
        <v xml:space="preserve"> </v>
      </c>
      <c r="D62" s="33"/>
      <c r="E62" s="33"/>
      <c r="J62" s="14">
        <f t="shared" si="3"/>
        <v>0</v>
      </c>
      <c r="K62" s="2" t="str">
        <f t="shared" si="4"/>
        <v xml:space="preserve"> </v>
      </c>
      <c r="L62" s="2" t="str">
        <f t="shared" si="1"/>
        <v xml:space="preserve"> </v>
      </c>
      <c r="M62" s="2" t="str">
        <f t="shared" si="2"/>
        <v xml:space="preserve"> </v>
      </c>
    </row>
    <row r="63" spans="1:13" x14ac:dyDescent="0.25">
      <c r="A63" s="34" t="str">
        <f t="shared" si="0"/>
        <v xml:space="preserve"> </v>
      </c>
      <c r="D63" s="33"/>
      <c r="E63" s="33"/>
      <c r="J63" s="14">
        <f t="shared" si="3"/>
        <v>0</v>
      </c>
      <c r="K63" s="2" t="str">
        <f t="shared" si="4"/>
        <v xml:space="preserve"> </v>
      </c>
      <c r="L63" s="2" t="str">
        <f t="shared" si="1"/>
        <v xml:space="preserve"> </v>
      </c>
      <c r="M63" s="2" t="str">
        <f t="shared" si="2"/>
        <v xml:space="preserve"> </v>
      </c>
    </row>
    <row r="64" spans="1:13" x14ac:dyDescent="0.25">
      <c r="A64" s="34" t="str">
        <f t="shared" si="0"/>
        <v xml:space="preserve"> </v>
      </c>
      <c r="D64" s="33"/>
      <c r="E64" s="33"/>
      <c r="J64" s="14">
        <f t="shared" si="3"/>
        <v>0</v>
      </c>
      <c r="K64" s="2" t="str">
        <f t="shared" si="4"/>
        <v xml:space="preserve"> </v>
      </c>
      <c r="L64" s="2" t="str">
        <f t="shared" si="1"/>
        <v xml:space="preserve"> </v>
      </c>
      <c r="M64" s="2" t="str">
        <f t="shared" si="2"/>
        <v xml:space="preserve"> </v>
      </c>
    </row>
    <row r="65" spans="1:13" x14ac:dyDescent="0.25">
      <c r="A65" s="34" t="str">
        <f t="shared" si="0"/>
        <v xml:space="preserve"> </v>
      </c>
      <c r="D65" s="33"/>
      <c r="E65" s="33"/>
      <c r="J65" s="14">
        <f t="shared" si="3"/>
        <v>0</v>
      </c>
      <c r="K65" s="2" t="str">
        <f t="shared" si="4"/>
        <v xml:space="preserve"> </v>
      </c>
      <c r="L65" s="2" t="str">
        <f t="shared" si="1"/>
        <v xml:space="preserve"> </v>
      </c>
      <c r="M65" s="2" t="str">
        <f t="shared" si="2"/>
        <v xml:space="preserve"> </v>
      </c>
    </row>
    <row r="66" spans="1:13" x14ac:dyDescent="0.25">
      <c r="A66" s="34" t="str">
        <f t="shared" si="0"/>
        <v xml:space="preserve"> </v>
      </c>
      <c r="D66" s="33"/>
      <c r="E66" s="33"/>
      <c r="J66" s="14">
        <f t="shared" si="3"/>
        <v>0</v>
      </c>
      <c r="K66" s="2" t="str">
        <f t="shared" si="4"/>
        <v xml:space="preserve"> </v>
      </c>
      <c r="L66" s="2" t="str">
        <f t="shared" si="1"/>
        <v xml:space="preserve"> </v>
      </c>
      <c r="M66" s="2" t="str">
        <f t="shared" si="2"/>
        <v xml:space="preserve"> </v>
      </c>
    </row>
    <row r="67" spans="1:13" x14ac:dyDescent="0.25">
      <c r="A67" s="34" t="str">
        <f t="shared" si="0"/>
        <v xml:space="preserve"> </v>
      </c>
      <c r="D67" s="33"/>
      <c r="E67" s="33"/>
      <c r="J67" s="14">
        <f t="shared" si="3"/>
        <v>0</v>
      </c>
      <c r="K67" s="2" t="str">
        <f t="shared" si="4"/>
        <v xml:space="preserve"> </v>
      </c>
      <c r="L67" s="2" t="str">
        <f t="shared" si="1"/>
        <v xml:space="preserve"> </v>
      </c>
      <c r="M67" s="2" t="str">
        <f t="shared" si="2"/>
        <v xml:space="preserve"> </v>
      </c>
    </row>
    <row r="68" spans="1:13" x14ac:dyDescent="0.25">
      <c r="A68" s="34" t="str">
        <f t="shared" si="0"/>
        <v xml:space="preserve"> </v>
      </c>
      <c r="D68" s="33"/>
      <c r="E68" s="33"/>
      <c r="J68" s="14">
        <f t="shared" si="3"/>
        <v>0</v>
      </c>
      <c r="K68" s="2" t="str">
        <f t="shared" si="4"/>
        <v xml:space="preserve"> </v>
      </c>
      <c r="L68" s="2" t="str">
        <f t="shared" si="1"/>
        <v xml:space="preserve"> </v>
      </c>
      <c r="M68" s="2" t="str">
        <f t="shared" si="2"/>
        <v xml:space="preserve"> </v>
      </c>
    </row>
    <row r="69" spans="1:13" x14ac:dyDescent="0.25">
      <c r="A69" s="34" t="str">
        <f t="shared" si="0"/>
        <v xml:space="preserve"> </v>
      </c>
      <c r="D69" s="33"/>
      <c r="E69" s="33"/>
      <c r="J69" s="14">
        <f t="shared" si="3"/>
        <v>0</v>
      </c>
      <c r="K69" s="2" t="str">
        <f t="shared" si="4"/>
        <v xml:space="preserve"> </v>
      </c>
      <c r="L69" s="2" t="str">
        <f t="shared" si="1"/>
        <v xml:space="preserve"> </v>
      </c>
      <c r="M69" s="2" t="str">
        <f t="shared" si="2"/>
        <v xml:space="preserve"> </v>
      </c>
    </row>
    <row r="70" spans="1:13" x14ac:dyDescent="0.25">
      <c r="A70" s="34" t="str">
        <f t="shared" si="0"/>
        <v xml:space="preserve"> </v>
      </c>
      <c r="D70" s="33"/>
      <c r="E70" s="33"/>
      <c r="J70" s="14">
        <f t="shared" si="3"/>
        <v>0</v>
      </c>
      <c r="K70" s="2" t="str">
        <f t="shared" si="4"/>
        <v xml:space="preserve"> </v>
      </c>
      <c r="L70" s="2" t="str">
        <f t="shared" si="1"/>
        <v xml:space="preserve"> </v>
      </c>
      <c r="M70" s="2" t="str">
        <f t="shared" si="2"/>
        <v xml:space="preserve"> </v>
      </c>
    </row>
    <row r="71" spans="1:13" x14ac:dyDescent="0.25">
      <c r="A71" s="34" t="str">
        <f t="shared" si="0"/>
        <v xml:space="preserve"> </v>
      </c>
      <c r="D71" s="33"/>
      <c r="E71" s="33"/>
      <c r="J71" s="14">
        <f t="shared" si="3"/>
        <v>0</v>
      </c>
      <c r="K71" s="2" t="str">
        <f t="shared" si="4"/>
        <v xml:space="preserve"> </v>
      </c>
      <c r="L71" s="2" t="str">
        <f t="shared" si="1"/>
        <v xml:space="preserve"> </v>
      </c>
      <c r="M71" s="2" t="str">
        <f t="shared" si="2"/>
        <v xml:space="preserve"> </v>
      </c>
    </row>
    <row r="72" spans="1:13" x14ac:dyDescent="0.25">
      <c r="A72" s="34" t="str">
        <f t="shared" si="0"/>
        <v xml:space="preserve"> </v>
      </c>
      <c r="D72" s="33"/>
      <c r="E72" s="33"/>
      <c r="J72" s="14">
        <f t="shared" si="3"/>
        <v>0</v>
      </c>
      <c r="K72" s="2" t="str">
        <f t="shared" si="4"/>
        <v xml:space="preserve"> </v>
      </c>
      <c r="L72" s="2" t="str">
        <f t="shared" si="1"/>
        <v xml:space="preserve"> </v>
      </c>
      <c r="M72" s="2" t="str">
        <f t="shared" si="2"/>
        <v xml:space="preserve"> </v>
      </c>
    </row>
    <row r="73" spans="1:13" x14ac:dyDescent="0.25">
      <c r="A73" s="34" t="str">
        <f t="shared" si="0"/>
        <v xml:space="preserve"> </v>
      </c>
      <c r="D73" s="33"/>
      <c r="E73" s="33"/>
      <c r="J73" s="14">
        <f t="shared" si="3"/>
        <v>0</v>
      </c>
      <c r="K73" s="2" t="str">
        <f t="shared" si="4"/>
        <v xml:space="preserve"> </v>
      </c>
      <c r="L73" s="2" t="str">
        <f t="shared" si="1"/>
        <v xml:space="preserve"> </v>
      </c>
      <c r="M73" s="2" t="str">
        <f t="shared" si="2"/>
        <v xml:space="preserve"> </v>
      </c>
    </row>
    <row r="74" spans="1:13" x14ac:dyDescent="0.25">
      <c r="A74" s="34" t="str">
        <f t="shared" si="0"/>
        <v xml:space="preserve"> </v>
      </c>
      <c r="D74" s="33"/>
      <c r="E74" s="33"/>
      <c r="J74" s="14">
        <f t="shared" si="3"/>
        <v>0</v>
      </c>
      <c r="K74" s="2" t="str">
        <f t="shared" si="4"/>
        <v xml:space="preserve"> </v>
      </c>
      <c r="L74" s="2" t="str">
        <f t="shared" si="1"/>
        <v xml:space="preserve"> </v>
      </c>
      <c r="M74" s="2" t="str">
        <f t="shared" si="2"/>
        <v xml:space="preserve"> </v>
      </c>
    </row>
    <row r="75" spans="1:13" x14ac:dyDescent="0.25">
      <c r="A75" s="34" t="str">
        <f t="shared" si="0"/>
        <v xml:space="preserve"> </v>
      </c>
      <c r="D75" s="33"/>
      <c r="E75" s="33"/>
      <c r="J75" s="14">
        <f t="shared" si="3"/>
        <v>0</v>
      </c>
      <c r="K75" s="2" t="str">
        <f t="shared" si="4"/>
        <v xml:space="preserve"> </v>
      </c>
      <c r="L75" s="2" t="str">
        <f t="shared" si="1"/>
        <v xml:space="preserve"> </v>
      </c>
      <c r="M75" s="2" t="str">
        <f t="shared" si="2"/>
        <v xml:space="preserve"> </v>
      </c>
    </row>
    <row r="76" spans="1:13" x14ac:dyDescent="0.25">
      <c r="A76" s="34" t="str">
        <f t="shared" si="0"/>
        <v xml:space="preserve"> </v>
      </c>
      <c r="D76" s="33"/>
      <c r="E76" s="33"/>
      <c r="J76" s="14">
        <f t="shared" si="3"/>
        <v>0</v>
      </c>
      <c r="K76" s="2" t="str">
        <f t="shared" si="4"/>
        <v xml:space="preserve"> </v>
      </c>
      <c r="L76" s="2" t="str">
        <f t="shared" si="1"/>
        <v xml:space="preserve"> </v>
      </c>
      <c r="M76" s="2" t="str">
        <f t="shared" si="2"/>
        <v xml:space="preserve"> </v>
      </c>
    </row>
    <row r="77" spans="1:13" x14ac:dyDescent="0.25">
      <c r="A77" s="34" t="str">
        <f t="shared" si="0"/>
        <v xml:space="preserve"> </v>
      </c>
      <c r="D77" s="33"/>
      <c r="E77" s="33"/>
      <c r="J77" s="14">
        <f t="shared" si="3"/>
        <v>0</v>
      </c>
      <c r="K77" s="2" t="str">
        <f t="shared" si="4"/>
        <v xml:space="preserve"> </v>
      </c>
      <c r="L77" s="2" t="str">
        <f t="shared" si="1"/>
        <v xml:space="preserve"> </v>
      </c>
      <c r="M77" s="2" t="str">
        <f t="shared" si="2"/>
        <v xml:space="preserve"> </v>
      </c>
    </row>
    <row r="78" spans="1:13" x14ac:dyDescent="0.25">
      <c r="A78" s="34" t="str">
        <f t="shared" si="0"/>
        <v xml:space="preserve"> </v>
      </c>
      <c r="D78" s="33"/>
      <c r="E78" s="33"/>
      <c r="J78" s="14">
        <f t="shared" si="3"/>
        <v>0</v>
      </c>
      <c r="K78" s="2" t="str">
        <f t="shared" si="4"/>
        <v xml:space="preserve"> </v>
      </c>
      <c r="L78" s="2" t="str">
        <f t="shared" si="1"/>
        <v xml:space="preserve"> </v>
      </c>
      <c r="M78" s="2" t="str">
        <f t="shared" si="2"/>
        <v xml:space="preserve"> </v>
      </c>
    </row>
    <row r="79" spans="1:13" x14ac:dyDescent="0.25">
      <c r="A79" s="34" t="str">
        <f t="shared" ref="A79:A142" si="5">IF(COUNTIF(K79:M79,"ERROR")&gt;0,"ERROR"," ")</f>
        <v xml:space="preserve"> </v>
      </c>
      <c r="D79" s="33"/>
      <c r="E79" s="33"/>
      <c r="J79" s="14">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x14ac:dyDescent="0.25">
      <c r="A80" s="34" t="str">
        <f t="shared" si="5"/>
        <v xml:space="preserve"> </v>
      </c>
      <c r="D80" s="33"/>
      <c r="E80" s="33"/>
      <c r="J80" s="14">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4" t="str">
        <f t="shared" si="5"/>
        <v xml:space="preserve"> </v>
      </c>
      <c r="D81" s="33"/>
      <c r="E81" s="33"/>
      <c r="J81" s="14">
        <f t="shared" si="8"/>
        <v>0</v>
      </c>
      <c r="K81" s="2" t="str">
        <f t="shared" si="9"/>
        <v xml:space="preserve"> </v>
      </c>
      <c r="L81" s="2" t="str">
        <f t="shared" si="6"/>
        <v xml:space="preserve"> </v>
      </c>
      <c r="M81" s="2" t="str">
        <f t="shared" si="7"/>
        <v xml:space="preserve"> </v>
      </c>
    </row>
    <row r="82" spans="1:13" x14ac:dyDescent="0.25">
      <c r="A82" s="34" t="str">
        <f t="shared" si="5"/>
        <v xml:space="preserve"> </v>
      </c>
      <c r="D82" s="33"/>
      <c r="E82" s="33"/>
      <c r="J82" s="14">
        <f t="shared" si="8"/>
        <v>0</v>
      </c>
      <c r="K82" s="2" t="str">
        <f t="shared" si="9"/>
        <v xml:space="preserve"> </v>
      </c>
      <c r="L82" s="2" t="str">
        <f t="shared" si="6"/>
        <v xml:space="preserve"> </v>
      </c>
      <c r="M82" s="2" t="str">
        <f t="shared" si="7"/>
        <v xml:space="preserve"> </v>
      </c>
    </row>
    <row r="83" spans="1:13" x14ac:dyDescent="0.25">
      <c r="A83" s="34" t="str">
        <f t="shared" si="5"/>
        <v xml:space="preserve"> </v>
      </c>
      <c r="D83" s="33"/>
      <c r="E83" s="33"/>
      <c r="J83" s="14">
        <f t="shared" si="8"/>
        <v>0</v>
      </c>
      <c r="K83" s="2" t="str">
        <f t="shared" si="9"/>
        <v xml:space="preserve"> </v>
      </c>
      <c r="L83" s="2" t="str">
        <f t="shared" si="6"/>
        <v xml:space="preserve"> </v>
      </c>
      <c r="M83" s="2" t="str">
        <f t="shared" si="7"/>
        <v xml:space="preserve"> </v>
      </c>
    </row>
    <row r="84" spans="1:13" x14ac:dyDescent="0.25">
      <c r="A84" s="34" t="str">
        <f t="shared" si="5"/>
        <v xml:space="preserve"> </v>
      </c>
      <c r="D84" s="33"/>
      <c r="E84" s="33"/>
      <c r="J84" s="14">
        <f t="shared" si="8"/>
        <v>0</v>
      </c>
      <c r="K84" s="2" t="str">
        <f t="shared" si="9"/>
        <v xml:space="preserve"> </v>
      </c>
      <c r="L84" s="2" t="str">
        <f t="shared" si="6"/>
        <v xml:space="preserve"> </v>
      </c>
      <c r="M84" s="2" t="str">
        <f t="shared" si="7"/>
        <v xml:space="preserve"> </v>
      </c>
    </row>
    <row r="85" spans="1:13" x14ac:dyDescent="0.25">
      <c r="A85" s="34" t="str">
        <f t="shared" si="5"/>
        <v xml:space="preserve"> </v>
      </c>
      <c r="D85" s="33"/>
      <c r="E85" s="33"/>
      <c r="J85" s="14">
        <f t="shared" si="8"/>
        <v>0</v>
      </c>
      <c r="K85" s="2" t="str">
        <f t="shared" si="9"/>
        <v xml:space="preserve"> </v>
      </c>
      <c r="L85" s="2" t="str">
        <f t="shared" si="6"/>
        <v xml:space="preserve"> </v>
      </c>
      <c r="M85" s="2" t="str">
        <f t="shared" si="7"/>
        <v xml:space="preserve"> </v>
      </c>
    </row>
    <row r="86" spans="1:13" x14ac:dyDescent="0.25">
      <c r="A86" s="34" t="str">
        <f t="shared" si="5"/>
        <v xml:space="preserve"> </v>
      </c>
      <c r="D86" s="33"/>
      <c r="E86" s="33"/>
      <c r="J86" s="14">
        <f t="shared" si="8"/>
        <v>0</v>
      </c>
      <c r="K86" s="2" t="str">
        <f t="shared" si="9"/>
        <v xml:space="preserve"> </v>
      </c>
      <c r="L86" s="2" t="str">
        <f t="shared" si="6"/>
        <v xml:space="preserve"> </v>
      </c>
      <c r="M86" s="2" t="str">
        <f t="shared" si="7"/>
        <v xml:space="preserve"> </v>
      </c>
    </row>
    <row r="87" spans="1:13" x14ac:dyDescent="0.25">
      <c r="A87" s="34" t="str">
        <f t="shared" si="5"/>
        <v xml:space="preserve"> </v>
      </c>
      <c r="D87" s="33"/>
      <c r="E87" s="33"/>
      <c r="J87" s="14">
        <f t="shared" si="8"/>
        <v>0</v>
      </c>
      <c r="K87" s="2" t="str">
        <f t="shared" si="9"/>
        <v xml:space="preserve"> </v>
      </c>
      <c r="L87" s="2" t="str">
        <f t="shared" si="6"/>
        <v xml:space="preserve"> </v>
      </c>
      <c r="M87" s="2" t="str">
        <f t="shared" si="7"/>
        <v xml:space="preserve"> </v>
      </c>
    </row>
    <row r="88" spans="1:13" x14ac:dyDescent="0.25">
      <c r="A88" s="34" t="str">
        <f t="shared" si="5"/>
        <v xml:space="preserve"> </v>
      </c>
      <c r="D88" s="33"/>
      <c r="E88" s="33"/>
      <c r="J88" s="14">
        <f t="shared" si="8"/>
        <v>0</v>
      </c>
      <c r="K88" s="2" t="str">
        <f t="shared" si="9"/>
        <v xml:space="preserve"> </v>
      </c>
      <c r="L88" s="2" t="str">
        <f t="shared" si="6"/>
        <v xml:space="preserve"> </v>
      </c>
      <c r="M88" s="2" t="str">
        <f t="shared" si="7"/>
        <v xml:space="preserve"> </v>
      </c>
    </row>
    <row r="89" spans="1:13" x14ac:dyDescent="0.25">
      <c r="A89" s="34" t="str">
        <f t="shared" si="5"/>
        <v xml:space="preserve"> </v>
      </c>
      <c r="D89" s="33"/>
      <c r="E89" s="33"/>
      <c r="J89" s="14">
        <f t="shared" si="8"/>
        <v>0</v>
      </c>
      <c r="K89" s="2" t="str">
        <f t="shared" si="9"/>
        <v xml:space="preserve"> </v>
      </c>
      <c r="L89" s="2" t="str">
        <f t="shared" si="6"/>
        <v xml:space="preserve"> </v>
      </c>
      <c r="M89" s="2" t="str">
        <f t="shared" si="7"/>
        <v xml:space="preserve"> </v>
      </c>
    </row>
    <row r="90" spans="1:13" x14ac:dyDescent="0.25">
      <c r="A90" s="34" t="str">
        <f t="shared" si="5"/>
        <v xml:space="preserve"> </v>
      </c>
      <c r="D90" s="33"/>
      <c r="E90" s="33"/>
      <c r="J90" s="14">
        <f t="shared" si="8"/>
        <v>0</v>
      </c>
      <c r="K90" s="2" t="str">
        <f t="shared" si="9"/>
        <v xml:space="preserve"> </v>
      </c>
      <c r="L90" s="2" t="str">
        <f t="shared" si="6"/>
        <v xml:space="preserve"> </v>
      </c>
      <c r="M90" s="2" t="str">
        <f t="shared" si="7"/>
        <v xml:space="preserve"> </v>
      </c>
    </row>
    <row r="91" spans="1:13" x14ac:dyDescent="0.25">
      <c r="A91" s="34" t="str">
        <f t="shared" si="5"/>
        <v xml:space="preserve"> </v>
      </c>
      <c r="D91" s="33"/>
      <c r="E91" s="33"/>
      <c r="J91" s="14">
        <f t="shared" si="8"/>
        <v>0</v>
      </c>
      <c r="K91" s="2" t="str">
        <f t="shared" si="9"/>
        <v xml:space="preserve"> </v>
      </c>
      <c r="L91" s="2" t="str">
        <f t="shared" si="6"/>
        <v xml:space="preserve"> </v>
      </c>
      <c r="M91" s="2" t="str">
        <f t="shared" si="7"/>
        <v xml:space="preserve"> </v>
      </c>
    </row>
    <row r="92" spans="1:13" x14ac:dyDescent="0.25">
      <c r="A92" s="34" t="str">
        <f t="shared" si="5"/>
        <v xml:space="preserve"> </v>
      </c>
      <c r="D92" s="33"/>
      <c r="E92" s="33"/>
      <c r="J92" s="14">
        <f t="shared" si="8"/>
        <v>0</v>
      </c>
      <c r="K92" s="2" t="str">
        <f t="shared" si="9"/>
        <v xml:space="preserve"> </v>
      </c>
      <c r="L92" s="2" t="str">
        <f t="shared" si="6"/>
        <v xml:space="preserve"> </v>
      </c>
      <c r="M92" s="2" t="str">
        <f t="shared" si="7"/>
        <v xml:space="preserve"> </v>
      </c>
    </row>
    <row r="93" spans="1:13" x14ac:dyDescent="0.25">
      <c r="A93" s="34" t="str">
        <f t="shared" si="5"/>
        <v xml:space="preserve"> </v>
      </c>
      <c r="D93" s="33"/>
      <c r="E93" s="33"/>
      <c r="J93" s="14">
        <f t="shared" si="8"/>
        <v>0</v>
      </c>
      <c r="K93" s="2" t="str">
        <f t="shared" si="9"/>
        <v xml:space="preserve"> </v>
      </c>
      <c r="L93" s="2" t="str">
        <f t="shared" si="6"/>
        <v xml:space="preserve"> </v>
      </c>
      <c r="M93" s="2" t="str">
        <f t="shared" si="7"/>
        <v xml:space="preserve"> </v>
      </c>
    </row>
    <row r="94" spans="1:13" x14ac:dyDescent="0.25">
      <c r="A94" s="34" t="str">
        <f t="shared" si="5"/>
        <v xml:space="preserve"> </v>
      </c>
      <c r="D94" s="33"/>
      <c r="E94" s="33"/>
      <c r="J94" s="14">
        <f t="shared" si="8"/>
        <v>0</v>
      </c>
      <c r="K94" s="2" t="str">
        <f t="shared" si="9"/>
        <v xml:space="preserve"> </v>
      </c>
      <c r="L94" s="2" t="str">
        <f t="shared" si="6"/>
        <v xml:space="preserve"> </v>
      </c>
      <c r="M94" s="2" t="str">
        <f t="shared" si="7"/>
        <v xml:space="preserve"> </v>
      </c>
    </row>
    <row r="95" spans="1:13" x14ac:dyDescent="0.25">
      <c r="A95" s="34" t="str">
        <f t="shared" si="5"/>
        <v xml:space="preserve"> </v>
      </c>
      <c r="D95" s="33"/>
      <c r="E95" s="33"/>
      <c r="J95" s="14">
        <f t="shared" si="8"/>
        <v>0</v>
      </c>
      <c r="K95" s="2" t="str">
        <f t="shared" si="9"/>
        <v xml:space="preserve"> </v>
      </c>
      <c r="L95" s="2" t="str">
        <f t="shared" si="6"/>
        <v xml:space="preserve"> </v>
      </c>
      <c r="M95" s="2" t="str">
        <f t="shared" si="7"/>
        <v xml:space="preserve"> </v>
      </c>
    </row>
    <row r="96" spans="1:13" x14ac:dyDescent="0.25">
      <c r="A96" s="34" t="str">
        <f t="shared" si="5"/>
        <v xml:space="preserve"> </v>
      </c>
      <c r="D96" s="33"/>
      <c r="E96" s="33"/>
      <c r="J96" s="14">
        <f t="shared" si="8"/>
        <v>0</v>
      </c>
      <c r="K96" s="2" t="str">
        <f t="shared" si="9"/>
        <v xml:space="preserve"> </v>
      </c>
      <c r="L96" s="2" t="str">
        <f t="shared" si="6"/>
        <v xml:space="preserve"> </v>
      </c>
      <c r="M96" s="2" t="str">
        <f t="shared" si="7"/>
        <v xml:space="preserve"> </v>
      </c>
    </row>
    <row r="97" spans="1:13" x14ac:dyDescent="0.25">
      <c r="A97" s="34" t="str">
        <f t="shared" si="5"/>
        <v xml:space="preserve"> </v>
      </c>
      <c r="D97" s="33"/>
      <c r="E97" s="33"/>
      <c r="J97" s="14">
        <f t="shared" si="8"/>
        <v>0</v>
      </c>
      <c r="K97" s="2" t="str">
        <f t="shared" si="9"/>
        <v xml:space="preserve"> </v>
      </c>
      <c r="L97" s="2" t="str">
        <f t="shared" si="6"/>
        <v xml:space="preserve"> </v>
      </c>
      <c r="M97" s="2" t="str">
        <f t="shared" si="7"/>
        <v xml:space="preserve"> </v>
      </c>
    </row>
    <row r="98" spans="1:13" x14ac:dyDescent="0.25">
      <c r="A98" s="34" t="str">
        <f t="shared" si="5"/>
        <v xml:space="preserve"> </v>
      </c>
      <c r="D98" s="33"/>
      <c r="E98" s="33"/>
      <c r="J98" s="14">
        <f t="shared" si="8"/>
        <v>0</v>
      </c>
      <c r="K98" s="2" t="str">
        <f t="shared" si="9"/>
        <v xml:space="preserve"> </v>
      </c>
      <c r="L98" s="2" t="str">
        <f t="shared" si="6"/>
        <v xml:space="preserve"> </v>
      </c>
      <c r="M98" s="2" t="str">
        <f t="shared" si="7"/>
        <v xml:space="preserve"> </v>
      </c>
    </row>
    <row r="99" spans="1:13" x14ac:dyDescent="0.25">
      <c r="A99" s="34" t="str">
        <f t="shared" si="5"/>
        <v xml:space="preserve"> </v>
      </c>
      <c r="D99" s="33"/>
      <c r="E99" s="33"/>
      <c r="J99" s="14">
        <f t="shared" si="8"/>
        <v>0</v>
      </c>
      <c r="K99" s="2" t="str">
        <f t="shared" si="9"/>
        <v xml:space="preserve"> </v>
      </c>
      <c r="L99" s="2" t="str">
        <f t="shared" si="6"/>
        <v xml:space="preserve"> </v>
      </c>
      <c r="M99" s="2" t="str">
        <f t="shared" si="7"/>
        <v xml:space="preserve"> </v>
      </c>
    </row>
    <row r="100" spans="1:13" x14ac:dyDescent="0.25">
      <c r="A100" s="34" t="str">
        <f t="shared" si="5"/>
        <v xml:space="preserve"> </v>
      </c>
      <c r="D100" s="33"/>
      <c r="E100" s="33"/>
      <c r="J100" s="14">
        <f t="shared" si="8"/>
        <v>0</v>
      </c>
      <c r="K100" s="2" t="str">
        <f t="shared" si="9"/>
        <v xml:space="preserve"> </v>
      </c>
      <c r="L100" s="2" t="str">
        <f t="shared" si="6"/>
        <v xml:space="preserve"> </v>
      </c>
      <c r="M100" s="2" t="str">
        <f t="shared" si="7"/>
        <v xml:space="preserve"> </v>
      </c>
    </row>
    <row r="101" spans="1:13" x14ac:dyDescent="0.25">
      <c r="A101" s="34" t="str">
        <f t="shared" si="5"/>
        <v xml:space="preserve"> </v>
      </c>
      <c r="D101" s="33"/>
      <c r="E101" s="33"/>
      <c r="J101" s="14">
        <f t="shared" si="8"/>
        <v>0</v>
      </c>
      <c r="K101" s="2" t="str">
        <f t="shared" si="9"/>
        <v xml:space="preserve"> </v>
      </c>
      <c r="L101" s="2" t="str">
        <f t="shared" si="6"/>
        <v xml:space="preserve"> </v>
      </c>
      <c r="M101" s="2" t="str">
        <f t="shared" si="7"/>
        <v xml:space="preserve"> </v>
      </c>
    </row>
    <row r="102" spans="1:13" x14ac:dyDescent="0.25">
      <c r="A102" s="34" t="str">
        <f t="shared" si="5"/>
        <v xml:space="preserve"> </v>
      </c>
      <c r="D102" s="33"/>
      <c r="E102" s="33"/>
      <c r="J102" s="14">
        <f t="shared" si="8"/>
        <v>0</v>
      </c>
      <c r="K102" s="2" t="str">
        <f t="shared" si="9"/>
        <v xml:space="preserve"> </v>
      </c>
      <c r="L102" s="2" t="str">
        <f t="shared" si="6"/>
        <v xml:space="preserve"> </v>
      </c>
      <c r="M102" s="2" t="str">
        <f t="shared" si="7"/>
        <v xml:space="preserve"> </v>
      </c>
    </row>
    <row r="103" spans="1:13" x14ac:dyDescent="0.25">
      <c r="A103" s="34" t="str">
        <f t="shared" si="5"/>
        <v xml:space="preserve"> </v>
      </c>
      <c r="D103" s="33"/>
      <c r="E103" s="33"/>
      <c r="J103" s="14">
        <f t="shared" si="8"/>
        <v>0</v>
      </c>
      <c r="K103" s="2" t="str">
        <f t="shared" si="9"/>
        <v xml:space="preserve"> </v>
      </c>
      <c r="L103" s="2" t="str">
        <f t="shared" si="6"/>
        <v xml:space="preserve"> </v>
      </c>
      <c r="M103" s="2" t="str">
        <f t="shared" si="7"/>
        <v xml:space="preserve"> </v>
      </c>
    </row>
    <row r="104" spans="1:13" x14ac:dyDescent="0.25">
      <c r="A104" s="34" t="str">
        <f t="shared" si="5"/>
        <v xml:space="preserve"> </v>
      </c>
      <c r="D104" s="33"/>
      <c r="E104" s="33"/>
      <c r="J104" s="14">
        <f t="shared" si="8"/>
        <v>0</v>
      </c>
      <c r="K104" s="2" t="str">
        <f t="shared" si="9"/>
        <v xml:space="preserve"> </v>
      </c>
      <c r="L104" s="2" t="str">
        <f t="shared" si="6"/>
        <v xml:space="preserve"> </v>
      </c>
      <c r="M104" s="2" t="str">
        <f t="shared" si="7"/>
        <v xml:space="preserve"> </v>
      </c>
    </row>
    <row r="105" spans="1:13" x14ac:dyDescent="0.25">
      <c r="A105" s="34" t="str">
        <f t="shared" si="5"/>
        <v xml:space="preserve"> </v>
      </c>
      <c r="D105" s="33"/>
      <c r="E105" s="33"/>
      <c r="J105" s="14">
        <f t="shared" si="8"/>
        <v>0</v>
      </c>
      <c r="K105" s="2" t="str">
        <f t="shared" si="9"/>
        <v xml:space="preserve"> </v>
      </c>
      <c r="L105" s="2" t="str">
        <f t="shared" si="6"/>
        <v xml:space="preserve"> </v>
      </c>
      <c r="M105" s="2" t="str">
        <f t="shared" si="7"/>
        <v xml:space="preserve"> </v>
      </c>
    </row>
    <row r="106" spans="1:13" x14ac:dyDescent="0.25">
      <c r="A106" s="34" t="str">
        <f t="shared" si="5"/>
        <v xml:space="preserve"> </v>
      </c>
      <c r="D106" s="33"/>
      <c r="E106" s="33"/>
      <c r="J106" s="14">
        <f t="shared" si="8"/>
        <v>0</v>
      </c>
      <c r="K106" s="2" t="str">
        <f t="shared" si="9"/>
        <v xml:space="preserve"> </v>
      </c>
      <c r="L106" s="2" t="str">
        <f t="shared" si="6"/>
        <v xml:space="preserve"> </v>
      </c>
      <c r="M106" s="2" t="str">
        <f t="shared" si="7"/>
        <v xml:space="preserve"> </v>
      </c>
    </row>
    <row r="107" spans="1:13" x14ac:dyDescent="0.25">
      <c r="A107" s="34" t="str">
        <f t="shared" si="5"/>
        <v xml:space="preserve"> </v>
      </c>
      <c r="D107" s="33"/>
      <c r="E107" s="33"/>
      <c r="J107" s="14">
        <f t="shared" si="8"/>
        <v>0</v>
      </c>
      <c r="K107" s="2" t="str">
        <f t="shared" si="9"/>
        <v xml:space="preserve"> </v>
      </c>
      <c r="L107" s="2" t="str">
        <f t="shared" si="6"/>
        <v xml:space="preserve"> </v>
      </c>
      <c r="M107" s="2" t="str">
        <f t="shared" si="7"/>
        <v xml:space="preserve"> </v>
      </c>
    </row>
    <row r="108" spans="1:13" x14ac:dyDescent="0.25">
      <c r="A108" s="34" t="str">
        <f t="shared" si="5"/>
        <v xml:space="preserve"> </v>
      </c>
      <c r="D108" s="33"/>
      <c r="E108" s="33"/>
      <c r="J108" s="14">
        <f t="shared" si="8"/>
        <v>0</v>
      </c>
      <c r="K108" s="2" t="str">
        <f t="shared" si="9"/>
        <v xml:space="preserve"> </v>
      </c>
      <c r="L108" s="2" t="str">
        <f t="shared" si="6"/>
        <v xml:space="preserve"> </v>
      </c>
      <c r="M108" s="2" t="str">
        <f t="shared" si="7"/>
        <v xml:space="preserve"> </v>
      </c>
    </row>
    <row r="109" spans="1:13" x14ac:dyDescent="0.25">
      <c r="A109" s="34" t="str">
        <f t="shared" si="5"/>
        <v xml:space="preserve"> </v>
      </c>
      <c r="D109" s="33"/>
      <c r="E109" s="33"/>
      <c r="J109" s="14">
        <f t="shared" si="8"/>
        <v>0</v>
      </c>
      <c r="K109" s="2" t="str">
        <f t="shared" si="9"/>
        <v xml:space="preserve"> </v>
      </c>
      <c r="L109" s="2" t="str">
        <f t="shared" si="6"/>
        <v xml:space="preserve"> </v>
      </c>
      <c r="M109" s="2" t="str">
        <f t="shared" si="7"/>
        <v xml:space="preserve"> </v>
      </c>
    </row>
    <row r="110" spans="1:13" x14ac:dyDescent="0.25">
      <c r="A110" s="34" t="str">
        <f t="shared" si="5"/>
        <v xml:space="preserve"> </v>
      </c>
      <c r="B110" s="17"/>
      <c r="D110" s="33"/>
      <c r="E110" s="33"/>
      <c r="J110" s="14">
        <f t="shared" si="8"/>
        <v>0</v>
      </c>
      <c r="K110" s="2" t="str">
        <f t="shared" si="9"/>
        <v xml:space="preserve"> </v>
      </c>
      <c r="L110" s="2" t="str">
        <f t="shared" si="6"/>
        <v xml:space="preserve"> </v>
      </c>
      <c r="M110" s="2" t="str">
        <f t="shared" si="7"/>
        <v xml:space="preserve"> </v>
      </c>
    </row>
    <row r="111" spans="1:13" x14ac:dyDescent="0.25">
      <c r="A111" s="34" t="str">
        <f t="shared" si="5"/>
        <v xml:space="preserve"> </v>
      </c>
      <c r="D111" s="33"/>
      <c r="E111" s="33"/>
      <c r="J111" s="14">
        <f t="shared" si="8"/>
        <v>0</v>
      </c>
      <c r="K111" s="2" t="str">
        <f t="shared" si="9"/>
        <v xml:space="preserve"> </v>
      </c>
      <c r="L111" s="2" t="str">
        <f t="shared" si="6"/>
        <v xml:space="preserve"> </v>
      </c>
      <c r="M111" s="2" t="str">
        <f t="shared" si="7"/>
        <v xml:space="preserve"> </v>
      </c>
    </row>
    <row r="112" spans="1:13" x14ac:dyDescent="0.25">
      <c r="A112" s="34" t="str">
        <f t="shared" si="5"/>
        <v xml:space="preserve"> </v>
      </c>
      <c r="D112" s="33"/>
      <c r="E112" s="33"/>
      <c r="J112" s="14">
        <f t="shared" si="8"/>
        <v>0</v>
      </c>
      <c r="K112" s="2" t="str">
        <f t="shared" si="9"/>
        <v xml:space="preserve"> </v>
      </c>
      <c r="L112" s="2" t="str">
        <f t="shared" si="6"/>
        <v xml:space="preserve"> </v>
      </c>
      <c r="M112" s="2" t="str">
        <f t="shared" si="7"/>
        <v xml:space="preserve"> </v>
      </c>
    </row>
    <row r="113" spans="1:13" x14ac:dyDescent="0.25">
      <c r="A113" s="34" t="str">
        <f t="shared" si="5"/>
        <v xml:space="preserve"> </v>
      </c>
      <c r="D113" s="33"/>
      <c r="E113" s="33"/>
      <c r="J113" s="14">
        <f t="shared" si="8"/>
        <v>0</v>
      </c>
      <c r="K113" s="2" t="str">
        <f t="shared" si="9"/>
        <v xml:space="preserve"> </v>
      </c>
      <c r="L113" s="2" t="str">
        <f t="shared" si="6"/>
        <v xml:space="preserve"> </v>
      </c>
      <c r="M113" s="2" t="str">
        <f t="shared" si="7"/>
        <v xml:space="preserve"> </v>
      </c>
    </row>
    <row r="114" spans="1:13" x14ac:dyDescent="0.25">
      <c r="A114" s="34" t="str">
        <f t="shared" si="5"/>
        <v xml:space="preserve"> </v>
      </c>
      <c r="D114" s="33"/>
      <c r="E114" s="33"/>
      <c r="J114" s="14">
        <f t="shared" si="8"/>
        <v>0</v>
      </c>
      <c r="K114" s="2" t="str">
        <f t="shared" si="9"/>
        <v xml:space="preserve"> </v>
      </c>
      <c r="L114" s="2" t="str">
        <f t="shared" si="6"/>
        <v xml:space="preserve"> </v>
      </c>
      <c r="M114" s="2" t="str">
        <f t="shared" si="7"/>
        <v xml:space="preserve"> </v>
      </c>
    </row>
    <row r="115" spans="1:13" x14ac:dyDescent="0.25">
      <c r="A115" s="34" t="str">
        <f t="shared" si="5"/>
        <v xml:space="preserve"> </v>
      </c>
      <c r="D115" s="33"/>
      <c r="E115" s="33"/>
      <c r="J115" s="14">
        <f t="shared" si="8"/>
        <v>0</v>
      </c>
      <c r="K115" s="2" t="str">
        <f t="shared" si="9"/>
        <v xml:space="preserve"> </v>
      </c>
      <c r="L115" s="2" t="str">
        <f t="shared" si="6"/>
        <v xml:space="preserve"> </v>
      </c>
      <c r="M115" s="2" t="str">
        <f t="shared" si="7"/>
        <v xml:space="preserve"> </v>
      </c>
    </row>
    <row r="116" spans="1:13" x14ac:dyDescent="0.25">
      <c r="A116" s="34" t="str">
        <f t="shared" si="5"/>
        <v xml:space="preserve"> </v>
      </c>
      <c r="D116" s="33"/>
      <c r="E116" s="33"/>
      <c r="J116" s="14">
        <f t="shared" si="8"/>
        <v>0</v>
      </c>
      <c r="K116" s="2" t="str">
        <f t="shared" si="9"/>
        <v xml:space="preserve"> </v>
      </c>
      <c r="L116" s="2" t="str">
        <f t="shared" si="6"/>
        <v xml:space="preserve"> </v>
      </c>
      <c r="M116" s="2" t="str">
        <f t="shared" si="7"/>
        <v xml:space="preserve"> </v>
      </c>
    </row>
    <row r="117" spans="1:13" x14ac:dyDescent="0.25">
      <c r="A117" s="34" t="str">
        <f t="shared" si="5"/>
        <v xml:space="preserve"> </v>
      </c>
      <c r="D117" s="33"/>
      <c r="E117" s="33"/>
      <c r="J117" s="14">
        <f t="shared" si="8"/>
        <v>0</v>
      </c>
      <c r="K117" s="2" t="str">
        <f t="shared" si="9"/>
        <v xml:space="preserve"> </v>
      </c>
      <c r="L117" s="2" t="str">
        <f t="shared" si="6"/>
        <v xml:space="preserve"> </v>
      </c>
      <c r="M117" s="2" t="str">
        <f t="shared" si="7"/>
        <v xml:space="preserve"> </v>
      </c>
    </row>
    <row r="118" spans="1:13" x14ac:dyDescent="0.25">
      <c r="A118" s="34" t="str">
        <f t="shared" si="5"/>
        <v xml:space="preserve"> </v>
      </c>
      <c r="D118" s="33"/>
      <c r="E118" s="33"/>
      <c r="J118" s="14">
        <f t="shared" si="8"/>
        <v>0</v>
      </c>
      <c r="K118" s="2" t="str">
        <f t="shared" si="9"/>
        <v xml:space="preserve"> </v>
      </c>
      <c r="L118" s="2" t="str">
        <f t="shared" si="6"/>
        <v xml:space="preserve"> </v>
      </c>
      <c r="M118" s="2" t="str">
        <f t="shared" si="7"/>
        <v xml:space="preserve"> </v>
      </c>
    </row>
    <row r="119" spans="1:13" x14ac:dyDescent="0.25">
      <c r="A119" s="34" t="str">
        <f t="shared" si="5"/>
        <v xml:space="preserve"> </v>
      </c>
      <c r="D119" s="33"/>
      <c r="E119" s="33"/>
      <c r="J119" s="14">
        <f t="shared" si="8"/>
        <v>0</v>
      </c>
      <c r="K119" s="2" t="str">
        <f t="shared" si="9"/>
        <v xml:space="preserve"> </v>
      </c>
      <c r="L119" s="2" t="str">
        <f t="shared" si="6"/>
        <v xml:space="preserve"> </v>
      </c>
      <c r="M119" s="2" t="str">
        <f t="shared" si="7"/>
        <v xml:space="preserve"> </v>
      </c>
    </row>
    <row r="120" spans="1:13" x14ac:dyDescent="0.25">
      <c r="A120" s="34" t="str">
        <f t="shared" si="5"/>
        <v xml:space="preserve"> </v>
      </c>
      <c r="D120" s="33"/>
      <c r="E120" s="33"/>
      <c r="J120" s="14">
        <f t="shared" si="8"/>
        <v>0</v>
      </c>
      <c r="K120" s="2" t="str">
        <f t="shared" si="9"/>
        <v xml:space="preserve"> </v>
      </c>
      <c r="L120" s="2" t="str">
        <f t="shared" si="6"/>
        <v xml:space="preserve"> </v>
      </c>
      <c r="M120" s="2" t="str">
        <f t="shared" si="7"/>
        <v xml:space="preserve"> </v>
      </c>
    </row>
    <row r="121" spans="1:13" x14ac:dyDescent="0.25">
      <c r="A121" s="34" t="str">
        <f t="shared" si="5"/>
        <v xml:space="preserve"> </v>
      </c>
      <c r="D121" s="33"/>
      <c r="E121" s="33"/>
      <c r="J121" s="14">
        <f t="shared" si="8"/>
        <v>0</v>
      </c>
      <c r="K121" s="2" t="str">
        <f t="shared" si="9"/>
        <v xml:space="preserve"> </v>
      </c>
      <c r="L121" s="2" t="str">
        <f t="shared" si="6"/>
        <v xml:space="preserve"> </v>
      </c>
      <c r="M121" s="2" t="str">
        <f t="shared" si="7"/>
        <v xml:space="preserve"> </v>
      </c>
    </row>
    <row r="122" spans="1:13" x14ac:dyDescent="0.25">
      <c r="A122" s="34" t="str">
        <f t="shared" si="5"/>
        <v xml:space="preserve"> </v>
      </c>
      <c r="D122" s="33"/>
      <c r="E122" s="33"/>
      <c r="J122" s="14">
        <f t="shared" si="8"/>
        <v>0</v>
      </c>
      <c r="K122" s="2" t="str">
        <f t="shared" si="9"/>
        <v xml:space="preserve"> </v>
      </c>
      <c r="L122" s="2" t="str">
        <f t="shared" si="6"/>
        <v xml:space="preserve"> </v>
      </c>
      <c r="M122" s="2" t="str">
        <f t="shared" si="7"/>
        <v xml:space="preserve"> </v>
      </c>
    </row>
    <row r="123" spans="1:13" x14ac:dyDescent="0.25">
      <c r="A123" s="34" t="str">
        <f t="shared" si="5"/>
        <v xml:space="preserve"> </v>
      </c>
      <c r="D123" s="33"/>
      <c r="E123" s="33"/>
      <c r="J123" s="14">
        <f t="shared" si="8"/>
        <v>0</v>
      </c>
      <c r="K123" s="2" t="str">
        <f t="shared" si="9"/>
        <v xml:space="preserve"> </v>
      </c>
      <c r="L123" s="2" t="str">
        <f t="shared" si="6"/>
        <v xml:space="preserve"> </v>
      </c>
      <c r="M123" s="2" t="str">
        <f t="shared" si="7"/>
        <v xml:space="preserve"> </v>
      </c>
    </row>
    <row r="124" spans="1:13" x14ac:dyDescent="0.25">
      <c r="A124" s="34" t="str">
        <f t="shared" si="5"/>
        <v xml:space="preserve"> </v>
      </c>
      <c r="C124" s="40"/>
      <c r="D124" s="33"/>
      <c r="E124" s="33"/>
      <c r="J124" s="14">
        <f t="shared" si="8"/>
        <v>0</v>
      </c>
      <c r="K124" s="2" t="str">
        <f t="shared" si="9"/>
        <v xml:space="preserve"> </v>
      </c>
      <c r="L124" s="2" t="str">
        <f t="shared" si="6"/>
        <v xml:space="preserve"> </v>
      </c>
      <c r="M124" s="2" t="str">
        <f t="shared" si="7"/>
        <v xml:space="preserve"> </v>
      </c>
    </row>
    <row r="125" spans="1:13" x14ac:dyDescent="0.25">
      <c r="A125" s="34" t="str">
        <f t="shared" si="5"/>
        <v xml:space="preserve"> </v>
      </c>
      <c r="D125" s="33"/>
      <c r="E125" s="33"/>
      <c r="J125" s="14">
        <f t="shared" si="8"/>
        <v>0</v>
      </c>
      <c r="K125" s="2" t="str">
        <f t="shared" si="9"/>
        <v xml:space="preserve"> </v>
      </c>
      <c r="L125" s="2" t="str">
        <f t="shared" si="6"/>
        <v xml:space="preserve"> </v>
      </c>
      <c r="M125" s="2" t="str">
        <f t="shared" si="7"/>
        <v xml:space="preserve"> </v>
      </c>
    </row>
    <row r="126" spans="1:13" x14ac:dyDescent="0.25">
      <c r="A126" s="34" t="str">
        <f t="shared" si="5"/>
        <v xml:space="preserve"> </v>
      </c>
      <c r="D126" s="33"/>
      <c r="E126" s="33"/>
      <c r="J126" s="14">
        <f t="shared" si="8"/>
        <v>0</v>
      </c>
      <c r="K126" s="2" t="str">
        <f t="shared" si="9"/>
        <v xml:space="preserve"> </v>
      </c>
      <c r="L126" s="2" t="str">
        <f t="shared" si="6"/>
        <v xml:space="preserve"> </v>
      </c>
      <c r="M126" s="2" t="str">
        <f t="shared" si="7"/>
        <v xml:space="preserve"> </v>
      </c>
    </row>
    <row r="127" spans="1:13" x14ac:dyDescent="0.25">
      <c r="A127" s="34" t="str">
        <f t="shared" si="5"/>
        <v xml:space="preserve"> </v>
      </c>
      <c r="D127" s="33"/>
      <c r="E127" s="33"/>
      <c r="J127" s="14">
        <f t="shared" si="8"/>
        <v>0</v>
      </c>
      <c r="K127" s="2" t="str">
        <f t="shared" si="9"/>
        <v xml:space="preserve"> </v>
      </c>
      <c r="L127" s="2" t="str">
        <f t="shared" si="6"/>
        <v xml:space="preserve"> </v>
      </c>
      <c r="M127" s="2" t="str">
        <f t="shared" si="7"/>
        <v xml:space="preserve"> </v>
      </c>
    </row>
    <row r="128" spans="1:13" x14ac:dyDescent="0.25">
      <c r="A128" s="34" t="str">
        <f t="shared" si="5"/>
        <v xml:space="preserve"> </v>
      </c>
      <c r="D128" s="33"/>
      <c r="E128" s="33"/>
      <c r="J128" s="14">
        <f t="shared" si="8"/>
        <v>0</v>
      </c>
      <c r="K128" s="2" t="str">
        <f t="shared" si="9"/>
        <v xml:space="preserve"> </v>
      </c>
      <c r="L128" s="2" t="str">
        <f t="shared" si="6"/>
        <v xml:space="preserve"> </v>
      </c>
      <c r="M128" s="2" t="str">
        <f t="shared" si="7"/>
        <v xml:space="preserve"> </v>
      </c>
    </row>
    <row r="129" spans="1:13" x14ac:dyDescent="0.25">
      <c r="A129" s="34" t="str">
        <f t="shared" si="5"/>
        <v xml:space="preserve"> </v>
      </c>
      <c r="D129" s="33"/>
      <c r="E129" s="33"/>
      <c r="J129" s="14">
        <f t="shared" si="8"/>
        <v>0</v>
      </c>
      <c r="K129" s="2" t="str">
        <f t="shared" si="9"/>
        <v xml:space="preserve"> </v>
      </c>
      <c r="L129" s="2" t="str">
        <f t="shared" si="6"/>
        <v xml:space="preserve"> </v>
      </c>
      <c r="M129" s="2" t="str">
        <f t="shared" si="7"/>
        <v xml:space="preserve"> </v>
      </c>
    </row>
    <row r="130" spans="1:13" x14ac:dyDescent="0.25">
      <c r="A130" s="34" t="str">
        <f t="shared" si="5"/>
        <v xml:space="preserve"> </v>
      </c>
      <c r="D130" s="33"/>
      <c r="E130" s="33"/>
      <c r="J130" s="14">
        <f t="shared" si="8"/>
        <v>0</v>
      </c>
      <c r="K130" s="2" t="str">
        <f t="shared" si="9"/>
        <v xml:space="preserve"> </v>
      </c>
      <c r="L130" s="2" t="str">
        <f t="shared" si="6"/>
        <v xml:space="preserve"> </v>
      </c>
      <c r="M130" s="2" t="str">
        <f t="shared" si="7"/>
        <v xml:space="preserve"> </v>
      </c>
    </row>
    <row r="131" spans="1:13" x14ac:dyDescent="0.25">
      <c r="A131" s="34" t="str">
        <f t="shared" si="5"/>
        <v xml:space="preserve"> </v>
      </c>
      <c r="D131" s="33"/>
      <c r="E131" s="33"/>
      <c r="J131" s="14">
        <f t="shared" si="8"/>
        <v>0</v>
      </c>
      <c r="K131" s="2" t="str">
        <f t="shared" si="9"/>
        <v xml:space="preserve"> </v>
      </c>
      <c r="L131" s="2" t="str">
        <f t="shared" si="6"/>
        <v xml:space="preserve"> </v>
      </c>
      <c r="M131" s="2" t="str">
        <f t="shared" si="7"/>
        <v xml:space="preserve"> </v>
      </c>
    </row>
    <row r="132" spans="1:13" x14ac:dyDescent="0.25">
      <c r="A132" s="34" t="str">
        <f t="shared" si="5"/>
        <v xml:space="preserve"> </v>
      </c>
      <c r="D132" s="33"/>
      <c r="E132" s="33"/>
      <c r="J132" s="14">
        <f t="shared" si="8"/>
        <v>0</v>
      </c>
      <c r="K132" s="2" t="str">
        <f t="shared" si="9"/>
        <v xml:space="preserve"> </v>
      </c>
      <c r="L132" s="2" t="str">
        <f t="shared" si="6"/>
        <v xml:space="preserve"> </v>
      </c>
      <c r="M132" s="2" t="str">
        <f t="shared" si="7"/>
        <v xml:space="preserve"> </v>
      </c>
    </row>
    <row r="133" spans="1:13" x14ac:dyDescent="0.25">
      <c r="A133" s="34" t="str">
        <f t="shared" si="5"/>
        <v xml:space="preserve"> </v>
      </c>
      <c r="D133" s="33"/>
      <c r="E133" s="33"/>
      <c r="J133" s="14">
        <f t="shared" si="8"/>
        <v>0</v>
      </c>
      <c r="K133" s="2" t="str">
        <f t="shared" si="9"/>
        <v xml:space="preserve"> </v>
      </c>
      <c r="L133" s="2" t="str">
        <f t="shared" si="6"/>
        <v xml:space="preserve"> </v>
      </c>
      <c r="M133" s="2" t="str">
        <f t="shared" si="7"/>
        <v xml:space="preserve"> </v>
      </c>
    </row>
    <row r="134" spans="1:13" x14ac:dyDescent="0.25">
      <c r="A134" s="34" t="str">
        <f t="shared" si="5"/>
        <v xml:space="preserve"> </v>
      </c>
      <c r="D134" s="33"/>
      <c r="E134" s="33"/>
      <c r="J134" s="14">
        <f t="shared" si="8"/>
        <v>0</v>
      </c>
      <c r="K134" s="2" t="str">
        <f t="shared" si="9"/>
        <v xml:space="preserve"> </v>
      </c>
      <c r="L134" s="2" t="str">
        <f t="shared" si="6"/>
        <v xml:space="preserve"> </v>
      </c>
      <c r="M134" s="2" t="str">
        <f t="shared" si="7"/>
        <v xml:space="preserve"> </v>
      </c>
    </row>
    <row r="135" spans="1:13" x14ac:dyDescent="0.25">
      <c r="A135" s="34" t="str">
        <f t="shared" si="5"/>
        <v xml:space="preserve"> </v>
      </c>
      <c r="D135" s="33"/>
      <c r="E135" s="33"/>
      <c r="J135" s="14">
        <f t="shared" si="8"/>
        <v>0</v>
      </c>
      <c r="K135" s="2" t="str">
        <f t="shared" si="9"/>
        <v xml:space="preserve"> </v>
      </c>
      <c r="L135" s="2" t="str">
        <f t="shared" si="6"/>
        <v xml:space="preserve"> </v>
      </c>
      <c r="M135" s="2" t="str">
        <f t="shared" si="7"/>
        <v xml:space="preserve"> </v>
      </c>
    </row>
    <row r="136" spans="1:13" x14ac:dyDescent="0.25">
      <c r="A136" s="34" t="str">
        <f t="shared" si="5"/>
        <v xml:space="preserve"> </v>
      </c>
      <c r="D136" s="33"/>
      <c r="E136" s="33"/>
      <c r="J136" s="14">
        <f t="shared" si="8"/>
        <v>0</v>
      </c>
      <c r="K136" s="2" t="str">
        <f t="shared" si="9"/>
        <v xml:space="preserve"> </v>
      </c>
      <c r="L136" s="2" t="str">
        <f t="shared" si="6"/>
        <v xml:space="preserve"> </v>
      </c>
      <c r="M136" s="2" t="str">
        <f t="shared" si="7"/>
        <v xml:space="preserve"> </v>
      </c>
    </row>
    <row r="137" spans="1:13" x14ac:dyDescent="0.25">
      <c r="A137" s="34" t="str">
        <f t="shared" si="5"/>
        <v xml:space="preserve"> </v>
      </c>
      <c r="D137" s="33"/>
      <c r="E137" s="33"/>
      <c r="J137" s="14">
        <f t="shared" si="8"/>
        <v>0</v>
      </c>
      <c r="K137" s="2" t="str">
        <f t="shared" si="9"/>
        <v xml:space="preserve"> </v>
      </c>
      <c r="L137" s="2" t="str">
        <f t="shared" si="6"/>
        <v xml:space="preserve"> </v>
      </c>
      <c r="M137" s="2" t="str">
        <f t="shared" si="7"/>
        <v xml:space="preserve"> </v>
      </c>
    </row>
    <row r="138" spans="1:13" x14ac:dyDescent="0.25">
      <c r="A138" s="34" t="str">
        <f t="shared" si="5"/>
        <v xml:space="preserve"> </v>
      </c>
      <c r="D138" s="33"/>
      <c r="E138" s="33"/>
      <c r="J138" s="14">
        <f t="shared" si="8"/>
        <v>0</v>
      </c>
      <c r="K138" s="2" t="str">
        <f t="shared" si="9"/>
        <v xml:space="preserve"> </v>
      </c>
      <c r="L138" s="2" t="str">
        <f t="shared" si="6"/>
        <v xml:space="preserve"> </v>
      </c>
      <c r="M138" s="2" t="str">
        <f t="shared" si="7"/>
        <v xml:space="preserve"> </v>
      </c>
    </row>
    <row r="139" spans="1:13" x14ac:dyDescent="0.25">
      <c r="A139" s="34" t="str">
        <f t="shared" si="5"/>
        <v xml:space="preserve"> </v>
      </c>
      <c r="D139" s="33"/>
      <c r="E139" s="33"/>
      <c r="J139" s="14">
        <f t="shared" si="8"/>
        <v>0</v>
      </c>
      <c r="K139" s="2" t="str">
        <f t="shared" si="9"/>
        <v xml:space="preserve"> </v>
      </c>
      <c r="L139" s="2" t="str">
        <f t="shared" si="6"/>
        <v xml:space="preserve"> </v>
      </c>
      <c r="M139" s="2" t="str">
        <f t="shared" si="7"/>
        <v xml:space="preserve"> </v>
      </c>
    </row>
    <row r="140" spans="1:13" x14ac:dyDescent="0.25">
      <c r="A140" s="34" t="str">
        <f t="shared" si="5"/>
        <v xml:space="preserve"> </v>
      </c>
      <c r="D140" s="33"/>
      <c r="E140" s="33"/>
      <c r="J140" s="14">
        <f t="shared" si="8"/>
        <v>0</v>
      </c>
      <c r="K140" s="2" t="str">
        <f t="shared" si="9"/>
        <v xml:space="preserve"> </v>
      </c>
      <c r="L140" s="2" t="str">
        <f t="shared" si="6"/>
        <v xml:space="preserve"> </v>
      </c>
      <c r="M140" s="2" t="str">
        <f t="shared" si="7"/>
        <v xml:space="preserve"> </v>
      </c>
    </row>
    <row r="141" spans="1:13" x14ac:dyDescent="0.25">
      <c r="A141" s="34" t="str">
        <f t="shared" si="5"/>
        <v xml:space="preserve"> </v>
      </c>
      <c r="D141" s="33"/>
      <c r="E141" s="33"/>
      <c r="J141" s="14">
        <f t="shared" si="8"/>
        <v>0</v>
      </c>
      <c r="K141" s="2" t="str">
        <f t="shared" si="9"/>
        <v xml:space="preserve"> </v>
      </c>
      <c r="L141" s="2" t="str">
        <f t="shared" si="6"/>
        <v xml:space="preserve"> </v>
      </c>
      <c r="M141" s="2" t="str">
        <f t="shared" si="7"/>
        <v xml:space="preserve"> </v>
      </c>
    </row>
    <row r="142" spans="1:13" x14ac:dyDescent="0.25">
      <c r="A142" s="34" t="str">
        <f t="shared" si="5"/>
        <v xml:space="preserve"> </v>
      </c>
      <c r="D142" s="33"/>
      <c r="E142" s="33"/>
      <c r="J142" s="14">
        <f t="shared" si="8"/>
        <v>0</v>
      </c>
      <c r="K142" s="2" t="str">
        <f t="shared" si="9"/>
        <v xml:space="preserve"> </v>
      </c>
      <c r="L142" s="2" t="str">
        <f t="shared" si="6"/>
        <v xml:space="preserve"> </v>
      </c>
      <c r="M142" s="2" t="str">
        <f t="shared" si="7"/>
        <v xml:space="preserve"> </v>
      </c>
    </row>
    <row r="143" spans="1:13" x14ac:dyDescent="0.25">
      <c r="A143" s="34" t="str">
        <f t="shared" ref="A143:A206" si="10">IF(COUNTIF(K143:M143,"ERROR")&gt;0,"ERROR"," ")</f>
        <v xml:space="preserve"> </v>
      </c>
      <c r="D143" s="33"/>
      <c r="E143" s="33"/>
      <c r="J143" s="14">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x14ac:dyDescent="0.25">
      <c r="A144" s="34" t="str">
        <f t="shared" si="10"/>
        <v xml:space="preserve"> </v>
      </c>
      <c r="D144" s="33"/>
      <c r="E144" s="33"/>
      <c r="J144" s="14">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4" t="str">
        <f t="shared" si="10"/>
        <v xml:space="preserve"> </v>
      </c>
      <c r="D145" s="33"/>
      <c r="E145" s="33"/>
      <c r="J145" s="14">
        <f t="shared" si="13"/>
        <v>0</v>
      </c>
      <c r="K145" s="2" t="str">
        <f t="shared" si="14"/>
        <v xml:space="preserve"> </v>
      </c>
      <c r="L145" s="2" t="str">
        <f t="shared" si="11"/>
        <v xml:space="preserve"> </v>
      </c>
      <c r="M145" s="2" t="str">
        <f t="shared" si="12"/>
        <v xml:space="preserve"> </v>
      </c>
    </row>
    <row r="146" spans="1:13" x14ac:dyDescent="0.25">
      <c r="A146" s="34" t="str">
        <f t="shared" si="10"/>
        <v xml:space="preserve"> </v>
      </c>
      <c r="D146" s="33"/>
      <c r="E146" s="33"/>
      <c r="J146" s="14">
        <f t="shared" si="13"/>
        <v>0</v>
      </c>
      <c r="K146" s="2" t="str">
        <f t="shared" si="14"/>
        <v xml:space="preserve"> </v>
      </c>
      <c r="L146" s="2" t="str">
        <f t="shared" si="11"/>
        <v xml:space="preserve"> </v>
      </c>
      <c r="M146" s="2" t="str">
        <f t="shared" si="12"/>
        <v xml:space="preserve"> </v>
      </c>
    </row>
    <row r="147" spans="1:13" x14ac:dyDescent="0.25">
      <c r="A147" s="34" t="str">
        <f t="shared" si="10"/>
        <v xml:space="preserve"> </v>
      </c>
      <c r="D147" s="33"/>
      <c r="E147" s="33"/>
      <c r="J147" s="14">
        <f t="shared" si="13"/>
        <v>0</v>
      </c>
      <c r="K147" s="2" t="str">
        <f t="shared" si="14"/>
        <v xml:space="preserve"> </v>
      </c>
      <c r="L147" s="2" t="str">
        <f t="shared" si="11"/>
        <v xml:space="preserve"> </v>
      </c>
      <c r="M147" s="2" t="str">
        <f t="shared" si="12"/>
        <v xml:space="preserve"> </v>
      </c>
    </row>
    <row r="148" spans="1:13" x14ac:dyDescent="0.25">
      <c r="A148" s="34" t="str">
        <f t="shared" si="10"/>
        <v xml:space="preserve"> </v>
      </c>
      <c r="D148" s="33"/>
      <c r="E148" s="33"/>
      <c r="J148" s="14">
        <f t="shared" si="13"/>
        <v>0</v>
      </c>
      <c r="K148" s="2" t="str">
        <f t="shared" si="14"/>
        <v xml:space="preserve"> </v>
      </c>
      <c r="L148" s="2" t="str">
        <f t="shared" si="11"/>
        <v xml:space="preserve"> </v>
      </c>
      <c r="M148" s="2" t="str">
        <f t="shared" si="12"/>
        <v xml:space="preserve"> </v>
      </c>
    </row>
    <row r="149" spans="1:13" x14ac:dyDescent="0.25">
      <c r="A149" s="34" t="str">
        <f t="shared" si="10"/>
        <v xml:space="preserve"> </v>
      </c>
      <c r="D149" s="33"/>
      <c r="E149" s="33"/>
      <c r="J149" s="14">
        <f t="shared" si="13"/>
        <v>0</v>
      </c>
      <c r="K149" s="2" t="str">
        <f t="shared" si="14"/>
        <v xml:space="preserve"> </v>
      </c>
      <c r="L149" s="2" t="str">
        <f t="shared" si="11"/>
        <v xml:space="preserve"> </v>
      </c>
      <c r="M149" s="2" t="str">
        <f t="shared" si="12"/>
        <v xml:space="preserve"> </v>
      </c>
    </row>
    <row r="150" spans="1:13" x14ac:dyDescent="0.25">
      <c r="A150" s="34" t="str">
        <f t="shared" si="10"/>
        <v xml:space="preserve"> </v>
      </c>
      <c r="D150" s="33"/>
      <c r="E150" s="33"/>
      <c r="J150" s="14">
        <f t="shared" si="13"/>
        <v>0</v>
      </c>
      <c r="K150" s="2" t="str">
        <f t="shared" si="14"/>
        <v xml:space="preserve"> </v>
      </c>
      <c r="L150" s="2" t="str">
        <f t="shared" si="11"/>
        <v xml:space="preserve"> </v>
      </c>
      <c r="M150" s="2" t="str">
        <f t="shared" si="12"/>
        <v xml:space="preserve"> </v>
      </c>
    </row>
    <row r="151" spans="1:13" x14ac:dyDescent="0.25">
      <c r="A151" s="34" t="str">
        <f t="shared" si="10"/>
        <v xml:space="preserve"> </v>
      </c>
      <c r="D151" s="33"/>
      <c r="E151" s="33"/>
      <c r="J151" s="14">
        <f t="shared" si="13"/>
        <v>0</v>
      </c>
      <c r="K151" s="2" t="str">
        <f t="shared" si="14"/>
        <v xml:space="preserve"> </v>
      </c>
      <c r="L151" s="2" t="str">
        <f t="shared" si="11"/>
        <v xml:space="preserve"> </v>
      </c>
      <c r="M151" s="2" t="str">
        <f t="shared" si="12"/>
        <v xml:space="preserve"> </v>
      </c>
    </row>
    <row r="152" spans="1:13" x14ac:dyDescent="0.25">
      <c r="A152" s="34" t="str">
        <f t="shared" si="10"/>
        <v xml:space="preserve"> </v>
      </c>
      <c r="D152" s="33"/>
      <c r="E152" s="33"/>
      <c r="J152" s="14">
        <f t="shared" si="13"/>
        <v>0</v>
      </c>
      <c r="K152" s="2" t="str">
        <f t="shared" si="14"/>
        <v xml:space="preserve"> </v>
      </c>
      <c r="L152" s="2" t="str">
        <f t="shared" si="11"/>
        <v xml:space="preserve"> </v>
      </c>
      <c r="M152" s="2" t="str">
        <f t="shared" si="12"/>
        <v xml:space="preserve"> </v>
      </c>
    </row>
    <row r="153" spans="1:13" x14ac:dyDescent="0.25">
      <c r="A153" s="34" t="str">
        <f t="shared" si="10"/>
        <v xml:space="preserve"> </v>
      </c>
      <c r="D153" s="33"/>
      <c r="E153" s="33"/>
      <c r="J153" s="14">
        <f t="shared" si="13"/>
        <v>0</v>
      </c>
      <c r="K153" s="2" t="str">
        <f t="shared" si="14"/>
        <v xml:space="preserve"> </v>
      </c>
      <c r="L153" s="2" t="str">
        <f t="shared" si="11"/>
        <v xml:space="preserve"> </v>
      </c>
      <c r="M153" s="2" t="str">
        <f t="shared" si="12"/>
        <v xml:space="preserve"> </v>
      </c>
    </row>
    <row r="154" spans="1:13" x14ac:dyDescent="0.25">
      <c r="A154" s="34" t="str">
        <f t="shared" si="10"/>
        <v xml:space="preserve"> </v>
      </c>
      <c r="D154" s="33"/>
      <c r="E154" s="33"/>
      <c r="J154" s="14">
        <f t="shared" si="13"/>
        <v>0</v>
      </c>
      <c r="K154" s="2" t="str">
        <f t="shared" si="14"/>
        <v xml:space="preserve"> </v>
      </c>
      <c r="L154" s="2" t="str">
        <f t="shared" si="11"/>
        <v xml:space="preserve"> </v>
      </c>
      <c r="M154" s="2" t="str">
        <f t="shared" si="12"/>
        <v xml:space="preserve"> </v>
      </c>
    </row>
    <row r="155" spans="1:13" x14ac:dyDescent="0.25">
      <c r="A155" s="34" t="str">
        <f t="shared" si="10"/>
        <v xml:space="preserve"> </v>
      </c>
      <c r="D155" s="33"/>
      <c r="E155" s="33"/>
      <c r="J155" s="14">
        <f t="shared" si="13"/>
        <v>0</v>
      </c>
      <c r="K155" s="2" t="str">
        <f t="shared" si="14"/>
        <v xml:space="preserve"> </v>
      </c>
      <c r="L155" s="2" t="str">
        <f t="shared" si="11"/>
        <v xml:space="preserve"> </v>
      </c>
      <c r="M155" s="2" t="str">
        <f t="shared" si="12"/>
        <v xml:space="preserve"> </v>
      </c>
    </row>
    <row r="156" spans="1:13" x14ac:dyDescent="0.25">
      <c r="A156" s="34" t="str">
        <f t="shared" si="10"/>
        <v xml:space="preserve"> </v>
      </c>
      <c r="D156" s="33"/>
      <c r="E156" s="33"/>
      <c r="J156" s="14">
        <f t="shared" si="13"/>
        <v>0</v>
      </c>
      <c r="K156" s="2" t="str">
        <f t="shared" si="14"/>
        <v xml:space="preserve"> </v>
      </c>
      <c r="L156" s="2" t="str">
        <f t="shared" si="11"/>
        <v xml:space="preserve"> </v>
      </c>
      <c r="M156" s="2" t="str">
        <f t="shared" si="12"/>
        <v xml:space="preserve"> </v>
      </c>
    </row>
    <row r="157" spans="1:13" x14ac:dyDescent="0.25">
      <c r="A157" s="34" t="str">
        <f t="shared" si="10"/>
        <v xml:space="preserve"> </v>
      </c>
      <c r="D157" s="33"/>
      <c r="E157" s="33"/>
      <c r="J157" s="14">
        <f t="shared" si="13"/>
        <v>0</v>
      </c>
      <c r="K157" s="2" t="str">
        <f t="shared" si="14"/>
        <v xml:space="preserve"> </v>
      </c>
      <c r="L157" s="2" t="str">
        <f t="shared" si="11"/>
        <v xml:space="preserve"> </v>
      </c>
      <c r="M157" s="2" t="str">
        <f t="shared" si="12"/>
        <v xml:space="preserve"> </v>
      </c>
    </row>
    <row r="158" spans="1:13" x14ac:dyDescent="0.25">
      <c r="A158" s="34" t="str">
        <f t="shared" si="10"/>
        <v xml:space="preserve"> </v>
      </c>
      <c r="D158" s="33"/>
      <c r="E158" s="33"/>
      <c r="J158" s="14">
        <f t="shared" si="13"/>
        <v>0</v>
      </c>
      <c r="K158" s="2" t="str">
        <f t="shared" si="14"/>
        <v xml:space="preserve"> </v>
      </c>
      <c r="L158" s="2" t="str">
        <f t="shared" si="11"/>
        <v xml:space="preserve"> </v>
      </c>
      <c r="M158" s="2" t="str">
        <f t="shared" si="12"/>
        <v xml:space="preserve"> </v>
      </c>
    </row>
    <row r="159" spans="1:13" x14ac:dyDescent="0.25">
      <c r="A159" s="34" t="str">
        <f t="shared" si="10"/>
        <v xml:space="preserve"> </v>
      </c>
      <c r="D159" s="33"/>
      <c r="E159" s="33"/>
      <c r="J159" s="14">
        <f t="shared" si="13"/>
        <v>0</v>
      </c>
      <c r="K159" s="2" t="str">
        <f t="shared" si="14"/>
        <v xml:space="preserve"> </v>
      </c>
      <c r="L159" s="2" t="str">
        <f t="shared" si="11"/>
        <v xml:space="preserve"> </v>
      </c>
      <c r="M159" s="2" t="str">
        <f t="shared" si="12"/>
        <v xml:space="preserve"> </v>
      </c>
    </row>
    <row r="160" spans="1:13" x14ac:dyDescent="0.25">
      <c r="A160" s="34" t="str">
        <f t="shared" si="10"/>
        <v xml:space="preserve"> </v>
      </c>
      <c r="D160" s="33"/>
      <c r="E160" s="33"/>
      <c r="J160" s="14">
        <f t="shared" si="13"/>
        <v>0</v>
      </c>
      <c r="K160" s="2" t="str">
        <f t="shared" si="14"/>
        <v xml:space="preserve"> </v>
      </c>
      <c r="L160" s="2" t="str">
        <f t="shared" si="11"/>
        <v xml:space="preserve"> </v>
      </c>
      <c r="M160" s="2" t="str">
        <f t="shared" si="12"/>
        <v xml:space="preserve"> </v>
      </c>
    </row>
    <row r="161" spans="1:13" x14ac:dyDescent="0.25">
      <c r="A161" s="34" t="str">
        <f t="shared" si="10"/>
        <v xml:space="preserve"> </v>
      </c>
      <c r="D161" s="33"/>
      <c r="E161" s="33"/>
      <c r="J161" s="14">
        <f t="shared" si="13"/>
        <v>0</v>
      </c>
      <c r="K161" s="2" t="str">
        <f t="shared" si="14"/>
        <v xml:space="preserve"> </v>
      </c>
      <c r="L161" s="2" t="str">
        <f t="shared" si="11"/>
        <v xml:space="preserve"> </v>
      </c>
      <c r="M161" s="2" t="str">
        <f t="shared" si="12"/>
        <v xml:space="preserve"> </v>
      </c>
    </row>
    <row r="162" spans="1:13" x14ac:dyDescent="0.25">
      <c r="A162" s="34" t="str">
        <f t="shared" si="10"/>
        <v xml:space="preserve"> </v>
      </c>
      <c r="D162" s="33"/>
      <c r="E162" s="33"/>
      <c r="J162" s="14">
        <f t="shared" si="13"/>
        <v>0</v>
      </c>
      <c r="K162" s="2" t="str">
        <f t="shared" si="14"/>
        <v xml:space="preserve"> </v>
      </c>
      <c r="L162" s="2" t="str">
        <f t="shared" si="11"/>
        <v xml:space="preserve"> </v>
      </c>
      <c r="M162" s="2" t="str">
        <f t="shared" si="12"/>
        <v xml:space="preserve"> </v>
      </c>
    </row>
    <row r="163" spans="1:13" x14ac:dyDescent="0.25">
      <c r="A163" s="34" t="str">
        <f t="shared" si="10"/>
        <v xml:space="preserve"> </v>
      </c>
      <c r="D163" s="33"/>
      <c r="E163" s="33"/>
      <c r="J163" s="14">
        <f t="shared" si="13"/>
        <v>0</v>
      </c>
      <c r="K163" s="2" t="str">
        <f t="shared" si="14"/>
        <v xml:space="preserve"> </v>
      </c>
      <c r="L163" s="2" t="str">
        <f t="shared" si="11"/>
        <v xml:space="preserve"> </v>
      </c>
      <c r="M163" s="2" t="str">
        <f t="shared" si="12"/>
        <v xml:space="preserve"> </v>
      </c>
    </row>
    <row r="164" spans="1:13" x14ac:dyDescent="0.25">
      <c r="A164" s="34" t="str">
        <f t="shared" si="10"/>
        <v xml:space="preserve"> </v>
      </c>
      <c r="D164" s="33"/>
      <c r="E164" s="33"/>
      <c r="J164" s="14">
        <f t="shared" si="13"/>
        <v>0</v>
      </c>
      <c r="K164" s="2" t="str">
        <f t="shared" si="14"/>
        <v xml:space="preserve"> </v>
      </c>
      <c r="L164" s="2" t="str">
        <f t="shared" si="11"/>
        <v xml:space="preserve"> </v>
      </c>
      <c r="M164" s="2" t="str">
        <f t="shared" si="12"/>
        <v xml:space="preserve"> </v>
      </c>
    </row>
    <row r="165" spans="1:13" x14ac:dyDescent="0.25">
      <c r="A165" s="34" t="str">
        <f t="shared" si="10"/>
        <v xml:space="preserve"> </v>
      </c>
      <c r="D165" s="33"/>
      <c r="E165" s="33"/>
      <c r="J165" s="14">
        <f t="shared" si="13"/>
        <v>0</v>
      </c>
      <c r="K165" s="2" t="str">
        <f t="shared" si="14"/>
        <v xml:space="preserve"> </v>
      </c>
      <c r="L165" s="2" t="str">
        <f t="shared" si="11"/>
        <v xml:space="preserve"> </v>
      </c>
      <c r="M165" s="2" t="str">
        <f t="shared" si="12"/>
        <v xml:space="preserve"> </v>
      </c>
    </row>
    <row r="166" spans="1:13" x14ac:dyDescent="0.25">
      <c r="A166" s="34" t="str">
        <f t="shared" si="10"/>
        <v xml:space="preserve"> </v>
      </c>
      <c r="D166" s="33"/>
      <c r="E166" s="33"/>
      <c r="J166" s="14">
        <f t="shared" si="13"/>
        <v>0</v>
      </c>
      <c r="K166" s="2" t="str">
        <f t="shared" si="14"/>
        <v xml:space="preserve"> </v>
      </c>
      <c r="L166" s="2" t="str">
        <f t="shared" si="11"/>
        <v xml:space="preserve"> </v>
      </c>
      <c r="M166" s="2" t="str">
        <f t="shared" si="12"/>
        <v xml:space="preserve"> </v>
      </c>
    </row>
    <row r="167" spans="1:13" x14ac:dyDescent="0.25">
      <c r="A167" s="34" t="str">
        <f t="shared" si="10"/>
        <v xml:space="preserve"> </v>
      </c>
      <c r="D167" s="33"/>
      <c r="E167" s="33"/>
      <c r="J167" s="14">
        <f t="shared" si="13"/>
        <v>0</v>
      </c>
      <c r="K167" s="2" t="str">
        <f t="shared" si="14"/>
        <v xml:space="preserve"> </v>
      </c>
      <c r="L167" s="2" t="str">
        <f t="shared" si="11"/>
        <v xml:space="preserve"> </v>
      </c>
      <c r="M167" s="2" t="str">
        <f t="shared" si="12"/>
        <v xml:space="preserve"> </v>
      </c>
    </row>
    <row r="168" spans="1:13" x14ac:dyDescent="0.25">
      <c r="A168" s="34" t="str">
        <f t="shared" si="10"/>
        <v xml:space="preserve"> </v>
      </c>
      <c r="D168" s="33"/>
      <c r="E168" s="33"/>
      <c r="J168" s="14">
        <f t="shared" si="13"/>
        <v>0</v>
      </c>
      <c r="K168" s="2" t="str">
        <f t="shared" si="14"/>
        <v xml:space="preserve"> </v>
      </c>
      <c r="L168" s="2" t="str">
        <f t="shared" si="11"/>
        <v xml:space="preserve"> </v>
      </c>
      <c r="M168" s="2" t="str">
        <f t="shared" si="12"/>
        <v xml:space="preserve"> </v>
      </c>
    </row>
    <row r="169" spans="1:13" x14ac:dyDescent="0.25">
      <c r="A169" s="34" t="str">
        <f t="shared" si="10"/>
        <v xml:space="preserve"> </v>
      </c>
      <c r="D169" s="33"/>
      <c r="E169" s="33"/>
      <c r="J169" s="14">
        <f t="shared" si="13"/>
        <v>0</v>
      </c>
      <c r="K169" s="2" t="str">
        <f t="shared" si="14"/>
        <v xml:space="preserve"> </v>
      </c>
      <c r="L169" s="2" t="str">
        <f t="shared" si="11"/>
        <v xml:space="preserve"> </v>
      </c>
      <c r="M169" s="2" t="str">
        <f t="shared" si="12"/>
        <v xml:space="preserve"> </v>
      </c>
    </row>
    <row r="170" spans="1:13" x14ac:dyDescent="0.25">
      <c r="A170" s="34" t="str">
        <f t="shared" si="10"/>
        <v xml:space="preserve"> </v>
      </c>
      <c r="D170" s="33"/>
      <c r="E170" s="33"/>
      <c r="J170" s="14">
        <f t="shared" si="13"/>
        <v>0</v>
      </c>
      <c r="K170" s="2" t="str">
        <f t="shared" si="14"/>
        <v xml:space="preserve"> </v>
      </c>
      <c r="L170" s="2" t="str">
        <f t="shared" si="11"/>
        <v xml:space="preserve"> </v>
      </c>
      <c r="M170" s="2" t="str">
        <f t="shared" si="12"/>
        <v xml:space="preserve"> </v>
      </c>
    </row>
    <row r="171" spans="1:13" x14ac:dyDescent="0.25">
      <c r="A171" s="34" t="str">
        <f t="shared" si="10"/>
        <v xml:space="preserve"> </v>
      </c>
      <c r="D171" s="33"/>
      <c r="E171" s="33"/>
      <c r="J171" s="14">
        <f t="shared" si="13"/>
        <v>0</v>
      </c>
      <c r="K171" s="2" t="str">
        <f t="shared" si="14"/>
        <v xml:space="preserve"> </v>
      </c>
      <c r="L171" s="2" t="str">
        <f t="shared" si="11"/>
        <v xml:space="preserve"> </v>
      </c>
      <c r="M171" s="2" t="str">
        <f t="shared" si="12"/>
        <v xml:space="preserve"> </v>
      </c>
    </row>
    <row r="172" spans="1:13" x14ac:dyDescent="0.25">
      <c r="A172" s="34" t="str">
        <f t="shared" si="10"/>
        <v xml:space="preserve"> </v>
      </c>
      <c r="D172" s="33"/>
      <c r="E172" s="33"/>
      <c r="J172" s="14">
        <f t="shared" si="13"/>
        <v>0</v>
      </c>
      <c r="K172" s="2" t="str">
        <f t="shared" si="14"/>
        <v xml:space="preserve"> </v>
      </c>
      <c r="L172" s="2" t="str">
        <f t="shared" si="11"/>
        <v xml:space="preserve"> </v>
      </c>
      <c r="M172" s="2" t="str">
        <f t="shared" si="12"/>
        <v xml:space="preserve"> </v>
      </c>
    </row>
    <row r="173" spans="1:13" x14ac:dyDescent="0.25">
      <c r="A173" s="34" t="str">
        <f t="shared" si="10"/>
        <v xml:space="preserve"> </v>
      </c>
      <c r="D173" s="33"/>
      <c r="E173" s="33"/>
      <c r="J173" s="14">
        <f t="shared" si="13"/>
        <v>0</v>
      </c>
      <c r="K173" s="2" t="str">
        <f t="shared" si="14"/>
        <v xml:space="preserve"> </v>
      </c>
      <c r="L173" s="2" t="str">
        <f t="shared" si="11"/>
        <v xml:space="preserve"> </v>
      </c>
      <c r="M173" s="2" t="str">
        <f t="shared" si="12"/>
        <v xml:space="preserve"> </v>
      </c>
    </row>
    <row r="174" spans="1:13" x14ac:dyDescent="0.25">
      <c r="A174" s="34" t="str">
        <f t="shared" si="10"/>
        <v xml:space="preserve"> </v>
      </c>
      <c r="D174" s="33"/>
      <c r="E174" s="33"/>
      <c r="J174" s="14">
        <f t="shared" si="13"/>
        <v>0</v>
      </c>
      <c r="K174" s="2" t="str">
        <f t="shared" si="14"/>
        <v xml:space="preserve"> </v>
      </c>
      <c r="L174" s="2" t="str">
        <f t="shared" si="11"/>
        <v xml:space="preserve"> </v>
      </c>
      <c r="M174" s="2" t="str">
        <f t="shared" si="12"/>
        <v xml:space="preserve"> </v>
      </c>
    </row>
    <row r="175" spans="1:13" x14ac:dyDescent="0.25">
      <c r="A175" s="34" t="str">
        <f t="shared" si="10"/>
        <v xml:space="preserve"> </v>
      </c>
      <c r="D175" s="33"/>
      <c r="E175" s="33"/>
      <c r="J175" s="14">
        <f t="shared" si="13"/>
        <v>0</v>
      </c>
      <c r="K175" s="2" t="str">
        <f t="shared" si="14"/>
        <v xml:space="preserve"> </v>
      </c>
      <c r="L175" s="2" t="str">
        <f t="shared" si="11"/>
        <v xml:space="preserve"> </v>
      </c>
      <c r="M175" s="2" t="str">
        <f t="shared" si="12"/>
        <v xml:space="preserve"> </v>
      </c>
    </row>
    <row r="176" spans="1:13" x14ac:dyDescent="0.25">
      <c r="A176" s="34" t="str">
        <f t="shared" si="10"/>
        <v xml:space="preserve"> </v>
      </c>
      <c r="D176" s="33"/>
      <c r="E176" s="33"/>
      <c r="J176" s="14">
        <f t="shared" si="13"/>
        <v>0</v>
      </c>
      <c r="K176" s="2" t="str">
        <f t="shared" si="14"/>
        <v xml:space="preserve"> </v>
      </c>
      <c r="L176" s="2" t="str">
        <f t="shared" si="11"/>
        <v xml:space="preserve"> </v>
      </c>
      <c r="M176" s="2" t="str">
        <f t="shared" si="12"/>
        <v xml:space="preserve"> </v>
      </c>
    </row>
    <row r="177" spans="1:13" x14ac:dyDescent="0.25">
      <c r="A177" s="34" t="str">
        <f t="shared" si="10"/>
        <v xml:space="preserve"> </v>
      </c>
      <c r="D177" s="33"/>
      <c r="E177" s="33"/>
      <c r="J177" s="14">
        <f t="shared" si="13"/>
        <v>0</v>
      </c>
      <c r="K177" s="2" t="str">
        <f t="shared" si="14"/>
        <v xml:space="preserve"> </v>
      </c>
      <c r="L177" s="2" t="str">
        <f t="shared" si="11"/>
        <v xml:space="preserve"> </v>
      </c>
      <c r="M177" s="2" t="str">
        <f t="shared" si="12"/>
        <v xml:space="preserve"> </v>
      </c>
    </row>
    <row r="178" spans="1:13" x14ac:dyDescent="0.25">
      <c r="A178" s="34" t="str">
        <f t="shared" si="10"/>
        <v xml:space="preserve"> </v>
      </c>
      <c r="D178" s="33"/>
      <c r="E178" s="33"/>
      <c r="J178" s="14">
        <f t="shared" si="13"/>
        <v>0</v>
      </c>
      <c r="K178" s="2" t="str">
        <f t="shared" si="14"/>
        <v xml:space="preserve"> </v>
      </c>
      <c r="L178" s="2" t="str">
        <f t="shared" si="11"/>
        <v xml:space="preserve"> </v>
      </c>
      <c r="M178" s="2" t="str">
        <f t="shared" si="12"/>
        <v xml:space="preserve"> </v>
      </c>
    </row>
    <row r="179" spans="1:13" x14ac:dyDescent="0.25">
      <c r="A179" s="34" t="str">
        <f t="shared" si="10"/>
        <v xml:space="preserve"> </v>
      </c>
      <c r="D179" s="33"/>
      <c r="E179" s="33"/>
      <c r="J179" s="14">
        <f t="shared" si="13"/>
        <v>0</v>
      </c>
      <c r="K179" s="2" t="str">
        <f t="shared" si="14"/>
        <v xml:space="preserve"> </v>
      </c>
      <c r="L179" s="2" t="str">
        <f t="shared" si="11"/>
        <v xml:space="preserve"> </v>
      </c>
      <c r="M179" s="2" t="str">
        <f t="shared" si="12"/>
        <v xml:space="preserve"> </v>
      </c>
    </row>
    <row r="180" spans="1:13" x14ac:dyDescent="0.25">
      <c r="A180" s="34" t="str">
        <f t="shared" si="10"/>
        <v xml:space="preserve"> </v>
      </c>
      <c r="D180" s="33"/>
      <c r="E180" s="33"/>
      <c r="J180" s="14">
        <f t="shared" si="13"/>
        <v>0</v>
      </c>
      <c r="K180" s="2" t="str">
        <f t="shared" si="14"/>
        <v xml:space="preserve"> </v>
      </c>
      <c r="L180" s="2" t="str">
        <f t="shared" si="11"/>
        <v xml:space="preserve"> </v>
      </c>
      <c r="M180" s="2" t="str">
        <f t="shared" si="12"/>
        <v xml:space="preserve"> </v>
      </c>
    </row>
    <row r="181" spans="1:13" x14ac:dyDescent="0.25">
      <c r="A181" s="34" t="str">
        <f t="shared" si="10"/>
        <v xml:space="preserve"> </v>
      </c>
      <c r="D181" s="33"/>
      <c r="E181" s="33"/>
      <c r="J181" s="14">
        <f t="shared" si="13"/>
        <v>0</v>
      </c>
      <c r="K181" s="2" t="str">
        <f t="shared" si="14"/>
        <v xml:space="preserve"> </v>
      </c>
      <c r="L181" s="2" t="str">
        <f t="shared" si="11"/>
        <v xml:space="preserve"> </v>
      </c>
      <c r="M181" s="2" t="str">
        <f t="shared" si="12"/>
        <v xml:space="preserve"> </v>
      </c>
    </row>
    <row r="182" spans="1:13" x14ac:dyDescent="0.25">
      <c r="A182" s="34" t="str">
        <f t="shared" si="10"/>
        <v xml:space="preserve"> </v>
      </c>
      <c r="D182" s="33"/>
      <c r="E182" s="33"/>
      <c r="J182" s="14">
        <f t="shared" si="13"/>
        <v>0</v>
      </c>
      <c r="K182" s="2" t="str">
        <f t="shared" si="14"/>
        <v xml:space="preserve"> </v>
      </c>
      <c r="L182" s="2" t="str">
        <f t="shared" si="11"/>
        <v xml:space="preserve"> </v>
      </c>
      <c r="M182" s="2" t="str">
        <f t="shared" si="12"/>
        <v xml:space="preserve"> </v>
      </c>
    </row>
    <row r="183" spans="1:13" x14ac:dyDescent="0.25">
      <c r="A183" s="34" t="str">
        <f t="shared" si="10"/>
        <v xml:space="preserve"> </v>
      </c>
      <c r="D183" s="33"/>
      <c r="E183" s="33"/>
      <c r="J183" s="14">
        <f t="shared" si="13"/>
        <v>0</v>
      </c>
      <c r="K183" s="2" t="str">
        <f t="shared" si="14"/>
        <v xml:space="preserve"> </v>
      </c>
      <c r="L183" s="2" t="str">
        <f t="shared" si="11"/>
        <v xml:space="preserve"> </v>
      </c>
      <c r="M183" s="2" t="str">
        <f t="shared" si="12"/>
        <v xml:space="preserve"> </v>
      </c>
    </row>
    <row r="184" spans="1:13" x14ac:dyDescent="0.25">
      <c r="A184" s="34" t="str">
        <f t="shared" si="10"/>
        <v xml:space="preserve"> </v>
      </c>
      <c r="D184" s="33"/>
      <c r="E184" s="33"/>
      <c r="J184" s="14">
        <f t="shared" si="13"/>
        <v>0</v>
      </c>
      <c r="K184" s="2" t="str">
        <f t="shared" si="14"/>
        <v xml:space="preserve"> </v>
      </c>
      <c r="L184" s="2" t="str">
        <f t="shared" si="11"/>
        <v xml:space="preserve"> </v>
      </c>
      <c r="M184" s="2" t="str">
        <f t="shared" si="12"/>
        <v xml:space="preserve"> </v>
      </c>
    </row>
    <row r="185" spans="1:13" x14ac:dyDescent="0.25">
      <c r="A185" s="34" t="str">
        <f t="shared" si="10"/>
        <v xml:space="preserve"> </v>
      </c>
      <c r="D185" s="33"/>
      <c r="E185" s="33"/>
      <c r="J185" s="14">
        <f t="shared" si="13"/>
        <v>0</v>
      </c>
      <c r="K185" s="2" t="str">
        <f t="shared" si="14"/>
        <v xml:space="preserve"> </v>
      </c>
      <c r="L185" s="2" t="str">
        <f t="shared" si="11"/>
        <v xml:space="preserve"> </v>
      </c>
      <c r="M185" s="2" t="str">
        <f t="shared" si="12"/>
        <v xml:space="preserve"> </v>
      </c>
    </row>
    <row r="186" spans="1:13" x14ac:dyDescent="0.25">
      <c r="A186" s="34" t="str">
        <f t="shared" si="10"/>
        <v xml:space="preserve"> </v>
      </c>
      <c r="D186" s="33"/>
      <c r="E186" s="33"/>
      <c r="J186" s="14">
        <f t="shared" si="13"/>
        <v>0</v>
      </c>
      <c r="K186" s="2" t="str">
        <f t="shared" si="14"/>
        <v xml:space="preserve"> </v>
      </c>
      <c r="L186" s="2" t="str">
        <f t="shared" si="11"/>
        <v xml:space="preserve"> </v>
      </c>
      <c r="M186" s="2" t="str">
        <f t="shared" si="12"/>
        <v xml:space="preserve"> </v>
      </c>
    </row>
    <row r="187" spans="1:13" x14ac:dyDescent="0.25">
      <c r="A187" s="34" t="str">
        <f t="shared" si="10"/>
        <v xml:space="preserve"> </v>
      </c>
      <c r="D187" s="33"/>
      <c r="E187" s="33"/>
      <c r="J187" s="14">
        <f t="shared" si="13"/>
        <v>0</v>
      </c>
      <c r="K187" s="2" t="str">
        <f t="shared" si="14"/>
        <v xml:space="preserve"> </v>
      </c>
      <c r="L187" s="2" t="str">
        <f t="shared" si="11"/>
        <v xml:space="preserve"> </v>
      </c>
      <c r="M187" s="2" t="str">
        <f t="shared" si="12"/>
        <v xml:space="preserve"> </v>
      </c>
    </row>
    <row r="188" spans="1:13" x14ac:dyDescent="0.25">
      <c r="A188" s="34" t="str">
        <f t="shared" si="10"/>
        <v xml:space="preserve"> </v>
      </c>
      <c r="D188" s="33"/>
      <c r="E188" s="33"/>
      <c r="J188" s="14">
        <f t="shared" si="13"/>
        <v>0</v>
      </c>
      <c r="K188" s="2" t="str">
        <f t="shared" si="14"/>
        <v xml:space="preserve"> </v>
      </c>
      <c r="L188" s="2" t="str">
        <f t="shared" si="11"/>
        <v xml:space="preserve"> </v>
      </c>
      <c r="M188" s="2" t="str">
        <f t="shared" si="12"/>
        <v xml:space="preserve"> </v>
      </c>
    </row>
    <row r="189" spans="1:13" x14ac:dyDescent="0.25">
      <c r="A189" s="34" t="str">
        <f t="shared" si="10"/>
        <v xml:space="preserve"> </v>
      </c>
      <c r="D189" s="33"/>
      <c r="E189" s="33"/>
      <c r="J189" s="14">
        <f t="shared" si="13"/>
        <v>0</v>
      </c>
      <c r="K189" s="2" t="str">
        <f t="shared" si="14"/>
        <v xml:space="preserve"> </v>
      </c>
      <c r="L189" s="2" t="str">
        <f t="shared" si="11"/>
        <v xml:space="preserve"> </v>
      </c>
      <c r="M189" s="2" t="str">
        <f t="shared" si="12"/>
        <v xml:space="preserve"> </v>
      </c>
    </row>
    <row r="190" spans="1:13" x14ac:dyDescent="0.25">
      <c r="A190" s="34" t="str">
        <f t="shared" si="10"/>
        <v xml:space="preserve"> </v>
      </c>
      <c r="D190" s="33"/>
      <c r="E190" s="33"/>
      <c r="J190" s="14">
        <f t="shared" si="13"/>
        <v>0</v>
      </c>
      <c r="K190" s="2" t="str">
        <f t="shared" si="14"/>
        <v xml:space="preserve"> </v>
      </c>
      <c r="L190" s="2" t="str">
        <f t="shared" si="11"/>
        <v xml:space="preserve"> </v>
      </c>
      <c r="M190" s="2" t="str">
        <f t="shared" si="12"/>
        <v xml:space="preserve"> </v>
      </c>
    </row>
    <row r="191" spans="1:13" x14ac:dyDescent="0.25">
      <c r="A191" s="34" t="str">
        <f t="shared" si="10"/>
        <v xml:space="preserve"> </v>
      </c>
      <c r="D191" s="33"/>
      <c r="E191" s="33"/>
      <c r="J191" s="14">
        <f t="shared" si="13"/>
        <v>0</v>
      </c>
      <c r="K191" s="2" t="str">
        <f t="shared" si="14"/>
        <v xml:space="preserve"> </v>
      </c>
      <c r="L191" s="2" t="str">
        <f t="shared" si="11"/>
        <v xml:space="preserve"> </v>
      </c>
      <c r="M191" s="2" t="str">
        <f t="shared" si="12"/>
        <v xml:space="preserve"> </v>
      </c>
    </row>
    <row r="192" spans="1:13" x14ac:dyDescent="0.25">
      <c r="A192" s="34" t="str">
        <f t="shared" si="10"/>
        <v xml:space="preserve"> </v>
      </c>
      <c r="D192" s="33"/>
      <c r="E192" s="33"/>
      <c r="J192" s="14">
        <f t="shared" si="13"/>
        <v>0</v>
      </c>
      <c r="K192" s="2" t="str">
        <f t="shared" si="14"/>
        <v xml:space="preserve"> </v>
      </c>
      <c r="L192" s="2" t="str">
        <f t="shared" si="11"/>
        <v xml:space="preserve"> </v>
      </c>
      <c r="M192" s="2" t="str">
        <f t="shared" si="12"/>
        <v xml:space="preserve"> </v>
      </c>
    </row>
    <row r="193" spans="1:13" x14ac:dyDescent="0.25">
      <c r="A193" s="34" t="str">
        <f t="shared" si="10"/>
        <v xml:space="preserve"> </v>
      </c>
      <c r="D193" s="33"/>
      <c r="E193" s="33"/>
      <c r="J193" s="14">
        <f t="shared" si="13"/>
        <v>0</v>
      </c>
      <c r="K193" s="2" t="str">
        <f t="shared" si="14"/>
        <v xml:space="preserve"> </v>
      </c>
      <c r="L193" s="2" t="str">
        <f t="shared" si="11"/>
        <v xml:space="preserve"> </v>
      </c>
      <c r="M193" s="2" t="str">
        <f t="shared" si="12"/>
        <v xml:space="preserve"> </v>
      </c>
    </row>
    <row r="194" spans="1:13" x14ac:dyDescent="0.25">
      <c r="A194" s="34" t="str">
        <f t="shared" si="10"/>
        <v xml:space="preserve"> </v>
      </c>
      <c r="D194" s="33"/>
      <c r="E194" s="33"/>
      <c r="J194" s="14">
        <f t="shared" si="13"/>
        <v>0</v>
      </c>
      <c r="K194" s="2" t="str">
        <f t="shared" si="14"/>
        <v xml:space="preserve"> </v>
      </c>
      <c r="L194" s="2" t="str">
        <f t="shared" si="11"/>
        <v xml:space="preserve"> </v>
      </c>
      <c r="M194" s="2" t="str">
        <f t="shared" si="12"/>
        <v xml:space="preserve"> </v>
      </c>
    </row>
    <row r="195" spans="1:13" x14ac:dyDescent="0.25">
      <c r="A195" s="34" t="str">
        <f t="shared" si="10"/>
        <v xml:space="preserve"> </v>
      </c>
      <c r="D195" s="33"/>
      <c r="E195" s="33"/>
      <c r="J195" s="14">
        <f t="shared" si="13"/>
        <v>0</v>
      </c>
      <c r="K195" s="2" t="str">
        <f t="shared" si="14"/>
        <v xml:space="preserve"> </v>
      </c>
      <c r="L195" s="2" t="str">
        <f t="shared" si="11"/>
        <v xml:space="preserve"> </v>
      </c>
      <c r="M195" s="2" t="str">
        <f t="shared" si="12"/>
        <v xml:space="preserve"> </v>
      </c>
    </row>
    <row r="196" spans="1:13" x14ac:dyDescent="0.25">
      <c r="A196" s="34" t="str">
        <f t="shared" si="10"/>
        <v xml:space="preserve"> </v>
      </c>
      <c r="D196" s="33"/>
      <c r="E196" s="33"/>
      <c r="J196" s="14">
        <f t="shared" si="13"/>
        <v>0</v>
      </c>
      <c r="K196" s="2" t="str">
        <f t="shared" si="14"/>
        <v xml:space="preserve"> </v>
      </c>
      <c r="L196" s="2" t="str">
        <f t="shared" si="11"/>
        <v xml:space="preserve"> </v>
      </c>
      <c r="M196" s="2" t="str">
        <f t="shared" si="12"/>
        <v xml:space="preserve"> </v>
      </c>
    </row>
    <row r="197" spans="1:13" x14ac:dyDescent="0.25">
      <c r="A197" s="34" t="str">
        <f t="shared" si="10"/>
        <v xml:space="preserve"> </v>
      </c>
      <c r="D197" s="33"/>
      <c r="E197" s="33"/>
      <c r="J197" s="14">
        <f t="shared" si="13"/>
        <v>0</v>
      </c>
      <c r="K197" s="2" t="str">
        <f t="shared" si="14"/>
        <v xml:space="preserve"> </v>
      </c>
      <c r="L197" s="2" t="str">
        <f t="shared" si="11"/>
        <v xml:space="preserve"> </v>
      </c>
      <c r="M197" s="2" t="str">
        <f t="shared" si="12"/>
        <v xml:space="preserve"> </v>
      </c>
    </row>
    <row r="198" spans="1:13" x14ac:dyDescent="0.25">
      <c r="A198" s="34" t="str">
        <f t="shared" si="10"/>
        <v xml:space="preserve"> </v>
      </c>
      <c r="D198" s="33"/>
      <c r="E198" s="33"/>
      <c r="J198" s="14">
        <f t="shared" si="13"/>
        <v>0</v>
      </c>
      <c r="K198" s="2" t="str">
        <f t="shared" si="14"/>
        <v xml:space="preserve"> </v>
      </c>
      <c r="L198" s="2" t="str">
        <f t="shared" si="11"/>
        <v xml:space="preserve"> </v>
      </c>
      <c r="M198" s="2" t="str">
        <f t="shared" si="12"/>
        <v xml:space="preserve"> </v>
      </c>
    </row>
    <row r="199" spans="1:13" x14ac:dyDescent="0.25">
      <c r="A199" s="34" t="str">
        <f t="shared" si="10"/>
        <v xml:space="preserve"> </v>
      </c>
      <c r="D199" s="33"/>
      <c r="E199" s="33"/>
      <c r="J199" s="14">
        <f t="shared" si="13"/>
        <v>0</v>
      </c>
      <c r="K199" s="2" t="str">
        <f t="shared" si="14"/>
        <v xml:space="preserve"> </v>
      </c>
      <c r="L199" s="2" t="str">
        <f t="shared" si="11"/>
        <v xml:space="preserve"> </v>
      </c>
      <c r="M199" s="2" t="str">
        <f t="shared" si="12"/>
        <v xml:space="preserve"> </v>
      </c>
    </row>
    <row r="200" spans="1:13" x14ac:dyDescent="0.25">
      <c r="A200" s="34" t="str">
        <f t="shared" si="10"/>
        <v xml:space="preserve"> </v>
      </c>
      <c r="D200" s="33"/>
      <c r="E200" s="33"/>
      <c r="J200" s="14">
        <f t="shared" si="13"/>
        <v>0</v>
      </c>
      <c r="K200" s="2" t="str">
        <f t="shared" si="14"/>
        <v xml:space="preserve"> </v>
      </c>
      <c r="L200" s="2" t="str">
        <f t="shared" si="11"/>
        <v xml:space="preserve"> </v>
      </c>
      <c r="M200" s="2" t="str">
        <f t="shared" si="12"/>
        <v xml:space="preserve"> </v>
      </c>
    </row>
    <row r="201" spans="1:13" x14ac:dyDescent="0.25">
      <c r="A201" s="34" t="str">
        <f t="shared" si="10"/>
        <v xml:space="preserve"> </v>
      </c>
      <c r="D201" s="33"/>
      <c r="E201" s="33"/>
      <c r="J201" s="14">
        <f t="shared" si="13"/>
        <v>0</v>
      </c>
      <c r="K201" s="2" t="str">
        <f t="shared" si="14"/>
        <v xml:space="preserve"> </v>
      </c>
      <c r="L201" s="2" t="str">
        <f t="shared" si="11"/>
        <v xml:space="preserve"> </v>
      </c>
      <c r="M201" s="2" t="str">
        <f t="shared" si="12"/>
        <v xml:space="preserve"> </v>
      </c>
    </row>
    <row r="202" spans="1:13" x14ac:dyDescent="0.25">
      <c r="A202" s="34" t="str">
        <f t="shared" si="10"/>
        <v xml:space="preserve"> </v>
      </c>
      <c r="D202" s="33"/>
      <c r="E202" s="33"/>
      <c r="J202" s="14">
        <f t="shared" si="13"/>
        <v>0</v>
      </c>
      <c r="K202" s="2" t="str">
        <f t="shared" si="14"/>
        <v xml:space="preserve"> </v>
      </c>
      <c r="L202" s="2" t="str">
        <f t="shared" si="11"/>
        <v xml:space="preserve"> </v>
      </c>
      <c r="M202" s="2" t="str">
        <f t="shared" si="12"/>
        <v xml:space="preserve"> </v>
      </c>
    </row>
    <row r="203" spans="1:13" x14ac:dyDescent="0.25">
      <c r="A203" s="34" t="str">
        <f t="shared" si="10"/>
        <v xml:space="preserve"> </v>
      </c>
      <c r="D203" s="33"/>
      <c r="E203" s="33"/>
      <c r="J203" s="14">
        <f t="shared" si="13"/>
        <v>0</v>
      </c>
      <c r="K203" s="2" t="str">
        <f t="shared" si="14"/>
        <v xml:space="preserve"> </v>
      </c>
      <c r="L203" s="2" t="str">
        <f t="shared" si="11"/>
        <v xml:space="preserve"> </v>
      </c>
      <c r="M203" s="2" t="str">
        <f t="shared" si="12"/>
        <v xml:space="preserve"> </v>
      </c>
    </row>
    <row r="204" spans="1:13" x14ac:dyDescent="0.25">
      <c r="A204" s="34" t="str">
        <f t="shared" si="10"/>
        <v xml:space="preserve"> </v>
      </c>
      <c r="D204" s="33"/>
      <c r="E204" s="33"/>
      <c r="J204" s="14">
        <f t="shared" si="13"/>
        <v>0</v>
      </c>
      <c r="K204" s="2" t="str">
        <f t="shared" si="14"/>
        <v xml:space="preserve"> </v>
      </c>
      <c r="L204" s="2" t="str">
        <f t="shared" si="11"/>
        <v xml:space="preserve"> </v>
      </c>
      <c r="M204" s="2" t="str">
        <f t="shared" si="12"/>
        <v xml:space="preserve"> </v>
      </c>
    </row>
    <row r="205" spans="1:13" x14ac:dyDescent="0.25">
      <c r="A205" s="34" t="str">
        <f t="shared" si="10"/>
        <v xml:space="preserve"> </v>
      </c>
      <c r="D205" s="33"/>
      <c r="E205" s="33"/>
      <c r="J205" s="14">
        <f t="shared" si="13"/>
        <v>0</v>
      </c>
      <c r="K205" s="2" t="str">
        <f t="shared" si="14"/>
        <v xml:space="preserve"> </v>
      </c>
      <c r="L205" s="2" t="str">
        <f t="shared" si="11"/>
        <v xml:space="preserve"> </v>
      </c>
      <c r="M205" s="2" t="str">
        <f t="shared" si="12"/>
        <v xml:space="preserve"> </v>
      </c>
    </row>
    <row r="206" spans="1:13" x14ac:dyDescent="0.25">
      <c r="A206" s="34" t="str">
        <f t="shared" si="10"/>
        <v xml:space="preserve"> </v>
      </c>
      <c r="D206" s="33"/>
      <c r="E206" s="33"/>
      <c r="J206" s="14">
        <f t="shared" si="13"/>
        <v>0</v>
      </c>
      <c r="K206" s="2" t="str">
        <f t="shared" si="14"/>
        <v xml:space="preserve"> </v>
      </c>
      <c r="L206" s="2" t="str">
        <f t="shared" si="11"/>
        <v xml:space="preserve"> </v>
      </c>
      <c r="M206" s="2" t="str">
        <f t="shared" si="12"/>
        <v xml:space="preserve"> </v>
      </c>
    </row>
    <row r="207" spans="1:13" x14ac:dyDescent="0.25">
      <c r="A207" s="34" t="str">
        <f t="shared" ref="A207:A270" si="15">IF(COUNTIF(K207:M207,"ERROR")&gt;0,"ERROR"," ")</f>
        <v xml:space="preserve"> </v>
      </c>
      <c r="D207" s="33"/>
      <c r="E207" s="33"/>
      <c r="J207" s="14">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x14ac:dyDescent="0.25">
      <c r="A208" s="34" t="str">
        <f t="shared" si="15"/>
        <v xml:space="preserve"> </v>
      </c>
      <c r="D208" s="33"/>
      <c r="E208" s="33"/>
      <c r="J208" s="14">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4" t="str">
        <f t="shared" si="15"/>
        <v xml:space="preserve"> </v>
      </c>
      <c r="D209" s="33"/>
      <c r="E209" s="33"/>
      <c r="J209" s="14">
        <f t="shared" si="18"/>
        <v>0</v>
      </c>
      <c r="K209" s="2" t="str">
        <f t="shared" si="19"/>
        <v xml:space="preserve"> </v>
      </c>
      <c r="L209" s="2" t="str">
        <f t="shared" si="16"/>
        <v xml:space="preserve"> </v>
      </c>
      <c r="M209" s="2" t="str">
        <f t="shared" si="17"/>
        <v xml:space="preserve"> </v>
      </c>
    </row>
    <row r="210" spans="1:13" x14ac:dyDescent="0.25">
      <c r="A210" s="34" t="str">
        <f t="shared" si="15"/>
        <v xml:space="preserve"> </v>
      </c>
      <c r="D210" s="33"/>
      <c r="E210" s="33"/>
      <c r="J210" s="14">
        <f t="shared" si="18"/>
        <v>0</v>
      </c>
      <c r="K210" s="2" t="str">
        <f t="shared" si="19"/>
        <v xml:space="preserve"> </v>
      </c>
      <c r="L210" s="2" t="str">
        <f t="shared" si="16"/>
        <v xml:space="preserve"> </v>
      </c>
      <c r="M210" s="2" t="str">
        <f t="shared" si="17"/>
        <v xml:space="preserve"> </v>
      </c>
    </row>
    <row r="211" spans="1:13" x14ac:dyDescent="0.25">
      <c r="A211" s="34" t="str">
        <f t="shared" si="15"/>
        <v xml:space="preserve"> </v>
      </c>
      <c r="D211" s="33"/>
      <c r="E211" s="33"/>
      <c r="J211" s="14">
        <f t="shared" si="18"/>
        <v>0</v>
      </c>
      <c r="K211" s="2" t="str">
        <f t="shared" si="19"/>
        <v xml:space="preserve"> </v>
      </c>
      <c r="L211" s="2" t="str">
        <f t="shared" si="16"/>
        <v xml:space="preserve"> </v>
      </c>
      <c r="M211" s="2" t="str">
        <f t="shared" si="17"/>
        <v xml:space="preserve"> </v>
      </c>
    </row>
    <row r="212" spans="1:13" x14ac:dyDescent="0.25">
      <c r="A212" s="34" t="str">
        <f t="shared" si="15"/>
        <v xml:space="preserve"> </v>
      </c>
      <c r="D212" s="33"/>
      <c r="E212" s="33"/>
      <c r="J212" s="14">
        <f t="shared" si="18"/>
        <v>0</v>
      </c>
      <c r="K212" s="2" t="str">
        <f t="shared" si="19"/>
        <v xml:space="preserve"> </v>
      </c>
      <c r="L212" s="2" t="str">
        <f t="shared" si="16"/>
        <v xml:space="preserve"> </v>
      </c>
      <c r="M212" s="2" t="str">
        <f t="shared" si="17"/>
        <v xml:space="preserve"> </v>
      </c>
    </row>
    <row r="213" spans="1:13" x14ac:dyDescent="0.25">
      <c r="A213" s="34" t="str">
        <f t="shared" si="15"/>
        <v xml:space="preserve"> </v>
      </c>
      <c r="D213" s="33"/>
      <c r="E213" s="33"/>
      <c r="J213" s="14">
        <f t="shared" si="18"/>
        <v>0</v>
      </c>
      <c r="K213" s="2" t="str">
        <f t="shared" si="19"/>
        <v xml:space="preserve"> </v>
      </c>
      <c r="L213" s="2" t="str">
        <f t="shared" si="16"/>
        <v xml:space="preserve"> </v>
      </c>
      <c r="M213" s="2" t="str">
        <f t="shared" si="17"/>
        <v xml:space="preserve"> </v>
      </c>
    </row>
    <row r="214" spans="1:13" x14ac:dyDescent="0.25">
      <c r="A214" s="34" t="str">
        <f t="shared" si="15"/>
        <v xml:space="preserve"> </v>
      </c>
      <c r="D214" s="33"/>
      <c r="E214" s="33"/>
      <c r="J214" s="14">
        <f t="shared" si="18"/>
        <v>0</v>
      </c>
      <c r="K214" s="2" t="str">
        <f t="shared" si="19"/>
        <v xml:space="preserve"> </v>
      </c>
      <c r="L214" s="2" t="str">
        <f t="shared" si="16"/>
        <v xml:space="preserve"> </v>
      </c>
      <c r="M214" s="2" t="str">
        <f t="shared" si="17"/>
        <v xml:space="preserve"> </v>
      </c>
    </row>
    <row r="215" spans="1:13" x14ac:dyDescent="0.25">
      <c r="A215" s="34" t="str">
        <f t="shared" si="15"/>
        <v xml:space="preserve"> </v>
      </c>
      <c r="D215" s="33"/>
      <c r="E215" s="33"/>
      <c r="J215" s="14">
        <f t="shared" si="18"/>
        <v>0</v>
      </c>
      <c r="K215" s="2" t="str">
        <f t="shared" si="19"/>
        <v xml:space="preserve"> </v>
      </c>
      <c r="L215" s="2" t="str">
        <f t="shared" si="16"/>
        <v xml:space="preserve"> </v>
      </c>
      <c r="M215" s="2" t="str">
        <f t="shared" si="17"/>
        <v xml:space="preserve"> </v>
      </c>
    </row>
    <row r="216" spans="1:13" x14ac:dyDescent="0.25">
      <c r="A216" s="34" t="str">
        <f t="shared" si="15"/>
        <v xml:space="preserve"> </v>
      </c>
      <c r="D216" s="33"/>
      <c r="E216" s="33"/>
      <c r="J216" s="14">
        <f t="shared" si="18"/>
        <v>0</v>
      </c>
      <c r="K216" s="2" t="str">
        <f t="shared" si="19"/>
        <v xml:space="preserve"> </v>
      </c>
      <c r="L216" s="2" t="str">
        <f t="shared" si="16"/>
        <v xml:space="preserve"> </v>
      </c>
      <c r="M216" s="2" t="str">
        <f t="shared" si="17"/>
        <v xml:space="preserve"> </v>
      </c>
    </row>
    <row r="217" spans="1:13" x14ac:dyDescent="0.25">
      <c r="A217" s="34" t="str">
        <f t="shared" si="15"/>
        <v xml:space="preserve"> </v>
      </c>
      <c r="D217" s="33"/>
      <c r="E217" s="33"/>
      <c r="J217" s="14">
        <f t="shared" si="18"/>
        <v>0</v>
      </c>
      <c r="K217" s="2" t="str">
        <f t="shared" si="19"/>
        <v xml:space="preserve"> </v>
      </c>
      <c r="L217" s="2" t="str">
        <f t="shared" si="16"/>
        <v xml:space="preserve"> </v>
      </c>
      <c r="M217" s="2" t="str">
        <f t="shared" si="17"/>
        <v xml:space="preserve"> </v>
      </c>
    </row>
    <row r="218" spans="1:13" x14ac:dyDescent="0.25">
      <c r="A218" s="34" t="str">
        <f t="shared" si="15"/>
        <v xml:space="preserve"> </v>
      </c>
      <c r="D218" s="33"/>
      <c r="E218" s="33"/>
      <c r="J218" s="14">
        <f t="shared" si="18"/>
        <v>0</v>
      </c>
      <c r="K218" s="2" t="str">
        <f t="shared" si="19"/>
        <v xml:space="preserve"> </v>
      </c>
      <c r="L218" s="2" t="str">
        <f t="shared" si="16"/>
        <v xml:space="preserve"> </v>
      </c>
      <c r="M218" s="2" t="str">
        <f t="shared" si="17"/>
        <v xml:space="preserve"> </v>
      </c>
    </row>
    <row r="219" spans="1:13" x14ac:dyDescent="0.25">
      <c r="A219" s="34" t="str">
        <f t="shared" si="15"/>
        <v xml:space="preserve"> </v>
      </c>
      <c r="D219" s="33"/>
      <c r="E219" s="33"/>
      <c r="J219" s="14">
        <f t="shared" si="18"/>
        <v>0</v>
      </c>
      <c r="K219" s="2" t="str">
        <f t="shared" si="19"/>
        <v xml:space="preserve"> </v>
      </c>
      <c r="L219" s="2" t="str">
        <f t="shared" si="16"/>
        <v xml:space="preserve"> </v>
      </c>
      <c r="M219" s="2" t="str">
        <f t="shared" si="17"/>
        <v xml:space="preserve"> </v>
      </c>
    </row>
    <row r="220" spans="1:13" x14ac:dyDescent="0.25">
      <c r="A220" s="34" t="str">
        <f t="shared" si="15"/>
        <v xml:space="preserve"> </v>
      </c>
      <c r="D220" s="33"/>
      <c r="E220" s="33"/>
      <c r="J220" s="14">
        <f t="shared" si="18"/>
        <v>0</v>
      </c>
      <c r="K220" s="2" t="str">
        <f t="shared" si="19"/>
        <v xml:space="preserve"> </v>
      </c>
      <c r="L220" s="2" t="str">
        <f t="shared" si="16"/>
        <v xml:space="preserve"> </v>
      </c>
      <c r="M220" s="2" t="str">
        <f t="shared" si="17"/>
        <v xml:space="preserve"> </v>
      </c>
    </row>
    <row r="221" spans="1:13" x14ac:dyDescent="0.25">
      <c r="A221" s="34" t="str">
        <f t="shared" si="15"/>
        <v xml:space="preserve"> </v>
      </c>
      <c r="D221" s="33"/>
      <c r="E221" s="33"/>
      <c r="J221" s="14">
        <f t="shared" si="18"/>
        <v>0</v>
      </c>
      <c r="K221" s="2" t="str">
        <f t="shared" si="19"/>
        <v xml:space="preserve"> </v>
      </c>
      <c r="L221" s="2" t="str">
        <f t="shared" si="16"/>
        <v xml:space="preserve"> </v>
      </c>
      <c r="M221" s="2" t="str">
        <f t="shared" si="17"/>
        <v xml:space="preserve"> </v>
      </c>
    </row>
    <row r="222" spans="1:13" x14ac:dyDescent="0.25">
      <c r="A222" s="34" t="str">
        <f t="shared" si="15"/>
        <v xml:space="preserve"> </v>
      </c>
      <c r="D222" s="33"/>
      <c r="E222" s="33"/>
      <c r="J222" s="14">
        <f t="shared" si="18"/>
        <v>0</v>
      </c>
      <c r="K222" s="2" t="str">
        <f t="shared" si="19"/>
        <v xml:space="preserve"> </v>
      </c>
      <c r="L222" s="2" t="str">
        <f t="shared" si="16"/>
        <v xml:space="preserve"> </v>
      </c>
      <c r="M222" s="2" t="str">
        <f t="shared" si="17"/>
        <v xml:space="preserve"> </v>
      </c>
    </row>
    <row r="223" spans="1:13" x14ac:dyDescent="0.25">
      <c r="A223" s="34" t="str">
        <f t="shared" si="15"/>
        <v xml:space="preserve"> </v>
      </c>
      <c r="D223" s="33"/>
      <c r="E223" s="33"/>
      <c r="J223" s="14">
        <f t="shared" si="18"/>
        <v>0</v>
      </c>
      <c r="K223" s="2" t="str">
        <f t="shared" si="19"/>
        <v xml:space="preserve"> </v>
      </c>
      <c r="L223" s="2" t="str">
        <f t="shared" si="16"/>
        <v xml:space="preserve"> </v>
      </c>
      <c r="M223" s="2" t="str">
        <f t="shared" si="17"/>
        <v xml:space="preserve"> </v>
      </c>
    </row>
    <row r="224" spans="1:13" x14ac:dyDescent="0.25">
      <c r="A224" s="34" t="str">
        <f t="shared" si="15"/>
        <v xml:space="preserve"> </v>
      </c>
      <c r="D224" s="33"/>
      <c r="E224" s="33"/>
      <c r="J224" s="14">
        <f t="shared" si="18"/>
        <v>0</v>
      </c>
      <c r="K224" s="2" t="str">
        <f t="shared" si="19"/>
        <v xml:space="preserve"> </v>
      </c>
      <c r="L224" s="2" t="str">
        <f t="shared" si="16"/>
        <v xml:space="preserve"> </v>
      </c>
      <c r="M224" s="2" t="str">
        <f t="shared" si="17"/>
        <v xml:space="preserve"> </v>
      </c>
    </row>
    <row r="225" spans="1:13" x14ac:dyDescent="0.25">
      <c r="A225" s="34" t="str">
        <f t="shared" si="15"/>
        <v xml:space="preserve"> </v>
      </c>
      <c r="D225" s="33"/>
      <c r="E225" s="33"/>
      <c r="J225" s="14">
        <f t="shared" si="18"/>
        <v>0</v>
      </c>
      <c r="K225" s="2" t="str">
        <f t="shared" si="19"/>
        <v xml:space="preserve"> </v>
      </c>
      <c r="L225" s="2" t="str">
        <f t="shared" si="16"/>
        <v xml:space="preserve"> </v>
      </c>
      <c r="M225" s="2" t="str">
        <f t="shared" si="17"/>
        <v xml:space="preserve"> </v>
      </c>
    </row>
    <row r="226" spans="1:13" x14ac:dyDescent="0.25">
      <c r="A226" s="34" t="str">
        <f t="shared" si="15"/>
        <v xml:space="preserve"> </v>
      </c>
      <c r="D226" s="33"/>
      <c r="E226" s="33"/>
      <c r="J226" s="14">
        <f t="shared" si="18"/>
        <v>0</v>
      </c>
      <c r="K226" s="2" t="str">
        <f t="shared" si="19"/>
        <v xml:space="preserve"> </v>
      </c>
      <c r="L226" s="2" t="str">
        <f t="shared" si="16"/>
        <v xml:space="preserve"> </v>
      </c>
      <c r="M226" s="2" t="str">
        <f t="shared" si="17"/>
        <v xml:space="preserve"> </v>
      </c>
    </row>
    <row r="227" spans="1:13" x14ac:dyDescent="0.25">
      <c r="A227" s="34" t="str">
        <f t="shared" si="15"/>
        <v xml:space="preserve"> </v>
      </c>
      <c r="D227" s="33"/>
      <c r="E227" s="33"/>
      <c r="J227" s="14">
        <f t="shared" si="18"/>
        <v>0</v>
      </c>
      <c r="K227" s="2" t="str">
        <f t="shared" si="19"/>
        <v xml:space="preserve"> </v>
      </c>
      <c r="L227" s="2" t="str">
        <f t="shared" si="16"/>
        <v xml:space="preserve"> </v>
      </c>
      <c r="M227" s="2" t="str">
        <f t="shared" si="17"/>
        <v xml:space="preserve"> </v>
      </c>
    </row>
    <row r="228" spans="1:13" x14ac:dyDescent="0.25">
      <c r="A228" s="34" t="str">
        <f t="shared" si="15"/>
        <v xml:space="preserve"> </v>
      </c>
      <c r="D228" s="33"/>
      <c r="E228" s="33"/>
      <c r="J228" s="14">
        <f t="shared" si="18"/>
        <v>0</v>
      </c>
      <c r="K228" s="2" t="str">
        <f t="shared" si="19"/>
        <v xml:space="preserve"> </v>
      </c>
      <c r="L228" s="2" t="str">
        <f t="shared" si="16"/>
        <v xml:space="preserve"> </v>
      </c>
      <c r="M228" s="2" t="str">
        <f t="shared" si="17"/>
        <v xml:space="preserve"> </v>
      </c>
    </row>
    <row r="229" spans="1:13" x14ac:dyDescent="0.25">
      <c r="A229" s="34" t="str">
        <f t="shared" si="15"/>
        <v xml:space="preserve"> </v>
      </c>
      <c r="D229" s="33"/>
      <c r="E229" s="33"/>
      <c r="J229" s="14">
        <f t="shared" si="18"/>
        <v>0</v>
      </c>
      <c r="K229" s="2" t="str">
        <f t="shared" si="19"/>
        <v xml:space="preserve"> </v>
      </c>
      <c r="L229" s="2" t="str">
        <f t="shared" si="16"/>
        <v xml:space="preserve"> </v>
      </c>
      <c r="M229" s="2" t="str">
        <f t="shared" si="17"/>
        <v xml:space="preserve"> </v>
      </c>
    </row>
    <row r="230" spans="1:13" x14ac:dyDescent="0.25">
      <c r="A230" s="34" t="str">
        <f t="shared" si="15"/>
        <v xml:space="preserve"> </v>
      </c>
      <c r="D230" s="33"/>
      <c r="E230" s="33"/>
      <c r="J230" s="14">
        <f t="shared" si="18"/>
        <v>0</v>
      </c>
      <c r="K230" s="2" t="str">
        <f t="shared" si="19"/>
        <v xml:space="preserve"> </v>
      </c>
      <c r="L230" s="2" t="str">
        <f t="shared" si="16"/>
        <v xml:space="preserve"> </v>
      </c>
      <c r="M230" s="2" t="str">
        <f t="shared" si="17"/>
        <v xml:space="preserve"> </v>
      </c>
    </row>
    <row r="231" spans="1:13" x14ac:dyDescent="0.25">
      <c r="A231" s="34" t="str">
        <f t="shared" si="15"/>
        <v xml:space="preserve"> </v>
      </c>
      <c r="D231" s="33"/>
      <c r="E231" s="33"/>
      <c r="J231" s="14">
        <f t="shared" si="18"/>
        <v>0</v>
      </c>
      <c r="K231" s="2" t="str">
        <f t="shared" si="19"/>
        <v xml:space="preserve"> </v>
      </c>
      <c r="L231" s="2" t="str">
        <f t="shared" si="16"/>
        <v xml:space="preserve"> </v>
      </c>
      <c r="M231" s="2" t="str">
        <f t="shared" si="17"/>
        <v xml:space="preserve"> </v>
      </c>
    </row>
    <row r="232" spans="1:13" x14ac:dyDescent="0.25">
      <c r="A232" s="34" t="str">
        <f t="shared" si="15"/>
        <v xml:space="preserve"> </v>
      </c>
      <c r="D232" s="33"/>
      <c r="E232" s="33"/>
      <c r="J232" s="14">
        <f t="shared" si="18"/>
        <v>0</v>
      </c>
      <c r="K232" s="2" t="str">
        <f t="shared" si="19"/>
        <v xml:space="preserve"> </v>
      </c>
      <c r="L232" s="2" t="str">
        <f t="shared" si="16"/>
        <v xml:space="preserve"> </v>
      </c>
      <c r="M232" s="2" t="str">
        <f t="shared" si="17"/>
        <v xml:space="preserve"> </v>
      </c>
    </row>
    <row r="233" spans="1:13" x14ac:dyDescent="0.25">
      <c r="A233" s="34" t="str">
        <f t="shared" si="15"/>
        <v xml:space="preserve"> </v>
      </c>
      <c r="D233" s="33"/>
      <c r="E233" s="33"/>
      <c r="J233" s="14">
        <f t="shared" si="18"/>
        <v>0</v>
      </c>
      <c r="K233" s="2" t="str">
        <f t="shared" si="19"/>
        <v xml:space="preserve"> </v>
      </c>
      <c r="L233" s="2" t="str">
        <f t="shared" si="16"/>
        <v xml:space="preserve"> </v>
      </c>
      <c r="M233" s="2" t="str">
        <f t="shared" si="17"/>
        <v xml:space="preserve"> </v>
      </c>
    </row>
    <row r="234" spans="1:13" x14ac:dyDescent="0.25">
      <c r="A234" s="34" t="str">
        <f t="shared" si="15"/>
        <v xml:space="preserve"> </v>
      </c>
      <c r="D234" s="33"/>
      <c r="E234" s="33"/>
      <c r="J234" s="14">
        <f t="shared" si="18"/>
        <v>0</v>
      </c>
      <c r="K234" s="2" t="str">
        <f t="shared" si="19"/>
        <v xml:space="preserve"> </v>
      </c>
      <c r="L234" s="2" t="str">
        <f t="shared" si="16"/>
        <v xml:space="preserve"> </v>
      </c>
      <c r="M234" s="2" t="str">
        <f t="shared" si="17"/>
        <v xml:space="preserve"> </v>
      </c>
    </row>
    <row r="235" spans="1:13" x14ac:dyDescent="0.25">
      <c r="A235" s="34" t="str">
        <f t="shared" si="15"/>
        <v xml:space="preserve"> </v>
      </c>
      <c r="D235" s="33"/>
      <c r="E235" s="33"/>
      <c r="J235" s="14">
        <f t="shared" si="18"/>
        <v>0</v>
      </c>
      <c r="K235" s="2" t="str">
        <f t="shared" si="19"/>
        <v xml:space="preserve"> </v>
      </c>
      <c r="L235" s="2" t="str">
        <f t="shared" si="16"/>
        <v xml:space="preserve"> </v>
      </c>
      <c r="M235" s="2" t="str">
        <f t="shared" si="17"/>
        <v xml:space="preserve"> </v>
      </c>
    </row>
    <row r="236" spans="1:13" x14ac:dyDescent="0.25">
      <c r="A236" s="34" t="str">
        <f t="shared" si="15"/>
        <v xml:space="preserve"> </v>
      </c>
      <c r="D236" s="33"/>
      <c r="E236" s="33"/>
      <c r="J236" s="14">
        <f t="shared" si="18"/>
        <v>0</v>
      </c>
      <c r="K236" s="2" t="str">
        <f t="shared" si="19"/>
        <v xml:space="preserve"> </v>
      </c>
      <c r="L236" s="2" t="str">
        <f t="shared" si="16"/>
        <v xml:space="preserve"> </v>
      </c>
      <c r="M236" s="2" t="str">
        <f t="shared" si="17"/>
        <v xml:space="preserve"> </v>
      </c>
    </row>
    <row r="237" spans="1:13" x14ac:dyDescent="0.25">
      <c r="A237" s="34" t="str">
        <f t="shared" si="15"/>
        <v xml:space="preserve"> </v>
      </c>
      <c r="D237" s="33"/>
      <c r="E237" s="33"/>
      <c r="J237" s="14">
        <f t="shared" si="18"/>
        <v>0</v>
      </c>
      <c r="K237" s="2" t="str">
        <f t="shared" si="19"/>
        <v xml:space="preserve"> </v>
      </c>
      <c r="L237" s="2" t="str">
        <f t="shared" si="16"/>
        <v xml:space="preserve"> </v>
      </c>
      <c r="M237" s="2" t="str">
        <f t="shared" si="17"/>
        <v xml:space="preserve"> </v>
      </c>
    </row>
    <row r="238" spans="1:13" x14ac:dyDescent="0.25">
      <c r="A238" s="34" t="str">
        <f t="shared" si="15"/>
        <v xml:space="preserve"> </v>
      </c>
      <c r="D238" s="33"/>
      <c r="E238" s="33"/>
      <c r="J238" s="14">
        <f t="shared" si="18"/>
        <v>0</v>
      </c>
      <c r="K238" s="2" t="str">
        <f t="shared" si="19"/>
        <v xml:space="preserve"> </v>
      </c>
      <c r="L238" s="2" t="str">
        <f t="shared" si="16"/>
        <v xml:space="preserve"> </v>
      </c>
      <c r="M238" s="2" t="str">
        <f t="shared" si="17"/>
        <v xml:space="preserve"> </v>
      </c>
    </row>
    <row r="239" spans="1:13" x14ac:dyDescent="0.25">
      <c r="A239" s="34" t="str">
        <f t="shared" si="15"/>
        <v xml:space="preserve"> </v>
      </c>
      <c r="D239" s="33"/>
      <c r="E239" s="33"/>
      <c r="J239" s="14">
        <f t="shared" si="18"/>
        <v>0</v>
      </c>
      <c r="K239" s="2" t="str">
        <f t="shared" si="19"/>
        <v xml:space="preserve"> </v>
      </c>
      <c r="L239" s="2" t="str">
        <f t="shared" si="16"/>
        <v xml:space="preserve"> </v>
      </c>
      <c r="M239" s="2" t="str">
        <f t="shared" si="17"/>
        <v xml:space="preserve"> </v>
      </c>
    </row>
    <row r="240" spans="1:13" x14ac:dyDescent="0.25">
      <c r="A240" s="34" t="str">
        <f t="shared" si="15"/>
        <v xml:space="preserve"> </v>
      </c>
      <c r="D240" s="33"/>
      <c r="E240" s="33"/>
      <c r="J240" s="14">
        <f t="shared" si="18"/>
        <v>0</v>
      </c>
      <c r="K240" s="2" t="str">
        <f t="shared" si="19"/>
        <v xml:space="preserve"> </v>
      </c>
      <c r="L240" s="2" t="str">
        <f t="shared" si="16"/>
        <v xml:space="preserve"> </v>
      </c>
      <c r="M240" s="2" t="str">
        <f t="shared" si="17"/>
        <v xml:space="preserve"> </v>
      </c>
    </row>
    <row r="241" spans="1:13" x14ac:dyDescent="0.25">
      <c r="A241" s="34" t="str">
        <f t="shared" si="15"/>
        <v xml:space="preserve"> </v>
      </c>
      <c r="D241" s="33"/>
      <c r="E241" s="33"/>
      <c r="J241" s="14">
        <f t="shared" si="18"/>
        <v>0</v>
      </c>
      <c r="K241" s="2" t="str">
        <f t="shared" si="19"/>
        <v xml:space="preserve"> </v>
      </c>
      <c r="L241" s="2" t="str">
        <f t="shared" si="16"/>
        <v xml:space="preserve"> </v>
      </c>
      <c r="M241" s="2" t="str">
        <f t="shared" si="17"/>
        <v xml:space="preserve"> </v>
      </c>
    </row>
    <row r="242" spans="1:13" x14ac:dyDescent="0.25">
      <c r="A242" s="34" t="str">
        <f t="shared" si="15"/>
        <v xml:space="preserve"> </v>
      </c>
      <c r="D242" s="33"/>
      <c r="E242" s="33"/>
      <c r="J242" s="14">
        <f t="shared" si="18"/>
        <v>0</v>
      </c>
      <c r="K242" s="2" t="str">
        <f t="shared" si="19"/>
        <v xml:space="preserve"> </v>
      </c>
      <c r="L242" s="2" t="str">
        <f t="shared" si="16"/>
        <v xml:space="preserve"> </v>
      </c>
      <c r="M242" s="2" t="str">
        <f t="shared" si="17"/>
        <v xml:space="preserve"> </v>
      </c>
    </row>
    <row r="243" spans="1:13" x14ac:dyDescent="0.25">
      <c r="A243" s="34" t="str">
        <f t="shared" si="15"/>
        <v xml:space="preserve"> </v>
      </c>
      <c r="D243" s="33"/>
      <c r="E243" s="33"/>
      <c r="J243" s="14">
        <f t="shared" si="18"/>
        <v>0</v>
      </c>
      <c r="K243" s="2" t="str">
        <f t="shared" si="19"/>
        <v xml:space="preserve"> </v>
      </c>
      <c r="L243" s="2" t="str">
        <f t="shared" si="16"/>
        <v xml:space="preserve"> </v>
      </c>
      <c r="M243" s="2" t="str">
        <f t="shared" si="17"/>
        <v xml:space="preserve"> </v>
      </c>
    </row>
    <row r="244" spans="1:13" x14ac:dyDescent="0.25">
      <c r="A244" s="34" t="str">
        <f t="shared" si="15"/>
        <v xml:space="preserve"> </v>
      </c>
      <c r="D244" s="33"/>
      <c r="E244" s="33"/>
      <c r="J244" s="14">
        <f t="shared" si="18"/>
        <v>0</v>
      </c>
      <c r="K244" s="2" t="str">
        <f t="shared" si="19"/>
        <v xml:space="preserve"> </v>
      </c>
      <c r="L244" s="2" t="str">
        <f t="shared" si="16"/>
        <v xml:space="preserve"> </v>
      </c>
      <c r="M244" s="2" t="str">
        <f t="shared" si="17"/>
        <v xml:space="preserve"> </v>
      </c>
    </row>
    <row r="245" spans="1:13" x14ac:dyDescent="0.25">
      <c r="A245" s="34" t="str">
        <f t="shared" si="15"/>
        <v xml:space="preserve"> </v>
      </c>
      <c r="D245" s="33"/>
      <c r="E245" s="33"/>
      <c r="J245" s="14">
        <f t="shared" si="18"/>
        <v>0</v>
      </c>
      <c r="K245" s="2" t="str">
        <f t="shared" si="19"/>
        <v xml:space="preserve"> </v>
      </c>
      <c r="L245" s="2" t="str">
        <f t="shared" si="16"/>
        <v xml:space="preserve"> </v>
      </c>
      <c r="M245" s="2" t="str">
        <f t="shared" si="17"/>
        <v xml:space="preserve"> </v>
      </c>
    </row>
    <row r="246" spans="1:13" x14ac:dyDescent="0.25">
      <c r="A246" s="34" t="str">
        <f t="shared" si="15"/>
        <v xml:space="preserve"> </v>
      </c>
      <c r="D246" s="33"/>
      <c r="E246" s="33"/>
      <c r="J246" s="14">
        <f t="shared" si="18"/>
        <v>0</v>
      </c>
      <c r="K246" s="2" t="str">
        <f t="shared" si="19"/>
        <v xml:space="preserve"> </v>
      </c>
      <c r="L246" s="2" t="str">
        <f t="shared" si="16"/>
        <v xml:space="preserve"> </v>
      </c>
      <c r="M246" s="2" t="str">
        <f t="shared" si="17"/>
        <v xml:space="preserve"> </v>
      </c>
    </row>
    <row r="247" spans="1:13" x14ac:dyDescent="0.25">
      <c r="A247" s="34" t="str">
        <f t="shared" si="15"/>
        <v xml:space="preserve"> </v>
      </c>
      <c r="D247" s="33"/>
      <c r="E247" s="33"/>
      <c r="J247" s="14">
        <f t="shared" si="18"/>
        <v>0</v>
      </c>
      <c r="K247" s="2" t="str">
        <f t="shared" si="19"/>
        <v xml:space="preserve"> </v>
      </c>
      <c r="L247" s="2" t="str">
        <f t="shared" si="16"/>
        <v xml:space="preserve"> </v>
      </c>
      <c r="M247" s="2" t="str">
        <f t="shared" si="17"/>
        <v xml:space="preserve"> </v>
      </c>
    </row>
    <row r="248" spans="1:13" x14ac:dyDescent="0.25">
      <c r="A248" s="34" t="str">
        <f t="shared" si="15"/>
        <v xml:space="preserve"> </v>
      </c>
      <c r="D248" s="33"/>
      <c r="E248" s="33"/>
      <c r="J248" s="14">
        <f t="shared" si="18"/>
        <v>0</v>
      </c>
      <c r="K248" s="2" t="str">
        <f t="shared" si="19"/>
        <v xml:space="preserve"> </v>
      </c>
      <c r="L248" s="2" t="str">
        <f t="shared" si="16"/>
        <v xml:space="preserve"> </v>
      </c>
      <c r="M248" s="2" t="str">
        <f t="shared" si="17"/>
        <v xml:space="preserve"> </v>
      </c>
    </row>
    <row r="249" spans="1:13" x14ac:dyDescent="0.25">
      <c r="A249" s="34" t="str">
        <f t="shared" si="15"/>
        <v xml:space="preserve"> </v>
      </c>
      <c r="D249" s="33"/>
      <c r="E249" s="33"/>
      <c r="J249" s="14">
        <f t="shared" si="18"/>
        <v>0</v>
      </c>
      <c r="K249" s="2" t="str">
        <f t="shared" si="19"/>
        <v xml:space="preserve"> </v>
      </c>
      <c r="L249" s="2" t="str">
        <f t="shared" si="16"/>
        <v xml:space="preserve"> </v>
      </c>
      <c r="M249" s="2" t="str">
        <f t="shared" si="17"/>
        <v xml:space="preserve"> </v>
      </c>
    </row>
    <row r="250" spans="1:13" x14ac:dyDescent="0.25">
      <c r="A250" s="34" t="str">
        <f t="shared" si="15"/>
        <v xml:space="preserve"> </v>
      </c>
      <c r="D250" s="33"/>
      <c r="E250" s="33"/>
      <c r="J250" s="14">
        <f t="shared" si="18"/>
        <v>0</v>
      </c>
      <c r="K250" s="2" t="str">
        <f t="shared" si="19"/>
        <v xml:space="preserve"> </v>
      </c>
      <c r="L250" s="2" t="str">
        <f t="shared" si="16"/>
        <v xml:space="preserve"> </v>
      </c>
      <c r="M250" s="2" t="str">
        <f t="shared" si="17"/>
        <v xml:space="preserve"> </v>
      </c>
    </row>
    <row r="251" spans="1:13" x14ac:dyDescent="0.25">
      <c r="A251" s="34" t="str">
        <f t="shared" si="15"/>
        <v xml:space="preserve"> </v>
      </c>
      <c r="D251" s="33"/>
      <c r="E251" s="33"/>
      <c r="J251" s="14">
        <f t="shared" si="18"/>
        <v>0</v>
      </c>
      <c r="K251" s="2" t="str">
        <f t="shared" si="19"/>
        <v xml:space="preserve"> </v>
      </c>
      <c r="L251" s="2" t="str">
        <f t="shared" si="16"/>
        <v xml:space="preserve"> </v>
      </c>
      <c r="M251" s="2" t="str">
        <f t="shared" si="17"/>
        <v xml:space="preserve"> </v>
      </c>
    </row>
    <row r="252" spans="1:13" x14ac:dyDescent="0.25">
      <c r="A252" s="34" t="str">
        <f t="shared" si="15"/>
        <v xml:space="preserve"> </v>
      </c>
      <c r="D252" s="33"/>
      <c r="E252" s="33"/>
      <c r="J252" s="14">
        <f t="shared" si="18"/>
        <v>0</v>
      </c>
      <c r="K252" s="2" t="str">
        <f t="shared" si="19"/>
        <v xml:space="preserve"> </v>
      </c>
      <c r="L252" s="2" t="str">
        <f t="shared" si="16"/>
        <v xml:space="preserve"> </v>
      </c>
      <c r="M252" s="2" t="str">
        <f t="shared" si="17"/>
        <v xml:space="preserve"> </v>
      </c>
    </row>
    <row r="253" spans="1:13" x14ac:dyDescent="0.25">
      <c r="A253" s="34" t="str">
        <f t="shared" si="15"/>
        <v xml:space="preserve"> </v>
      </c>
      <c r="D253" s="33"/>
      <c r="E253" s="33"/>
      <c r="J253" s="14">
        <f t="shared" si="18"/>
        <v>0</v>
      </c>
      <c r="K253" s="2" t="str">
        <f t="shared" si="19"/>
        <v xml:space="preserve"> </v>
      </c>
      <c r="L253" s="2" t="str">
        <f t="shared" si="16"/>
        <v xml:space="preserve"> </v>
      </c>
      <c r="M253" s="2" t="str">
        <f t="shared" si="17"/>
        <v xml:space="preserve"> </v>
      </c>
    </row>
    <row r="254" spans="1:13" x14ac:dyDescent="0.25">
      <c r="A254" s="34" t="str">
        <f t="shared" si="15"/>
        <v xml:space="preserve"> </v>
      </c>
      <c r="D254" s="33"/>
      <c r="E254" s="33"/>
      <c r="J254" s="14">
        <f t="shared" si="18"/>
        <v>0</v>
      </c>
      <c r="K254" s="2" t="str">
        <f t="shared" si="19"/>
        <v xml:space="preserve"> </v>
      </c>
      <c r="L254" s="2" t="str">
        <f t="shared" si="16"/>
        <v xml:space="preserve"> </v>
      </c>
      <c r="M254" s="2" t="str">
        <f t="shared" si="17"/>
        <v xml:space="preserve"> </v>
      </c>
    </row>
    <row r="255" spans="1:13" x14ac:dyDescent="0.25">
      <c r="A255" s="34" t="str">
        <f t="shared" si="15"/>
        <v xml:space="preserve"> </v>
      </c>
      <c r="D255" s="33"/>
      <c r="E255" s="33"/>
      <c r="J255" s="14">
        <f t="shared" si="18"/>
        <v>0</v>
      </c>
      <c r="K255" s="2" t="str">
        <f t="shared" si="19"/>
        <v xml:space="preserve"> </v>
      </c>
      <c r="L255" s="2" t="str">
        <f t="shared" si="16"/>
        <v xml:space="preserve"> </v>
      </c>
      <c r="M255" s="2" t="str">
        <f t="shared" si="17"/>
        <v xml:space="preserve"> </v>
      </c>
    </row>
    <row r="256" spans="1:13" x14ac:dyDescent="0.25">
      <c r="A256" s="34" t="str">
        <f t="shared" si="15"/>
        <v xml:space="preserve"> </v>
      </c>
      <c r="D256" s="33"/>
      <c r="E256" s="33"/>
      <c r="J256" s="14">
        <f t="shared" si="18"/>
        <v>0</v>
      </c>
      <c r="K256" s="2" t="str">
        <f t="shared" si="19"/>
        <v xml:space="preserve"> </v>
      </c>
      <c r="L256" s="2" t="str">
        <f t="shared" si="16"/>
        <v xml:space="preserve"> </v>
      </c>
      <c r="M256" s="2" t="str">
        <f t="shared" si="17"/>
        <v xml:space="preserve"> </v>
      </c>
    </row>
    <row r="257" spans="1:13" x14ac:dyDescent="0.25">
      <c r="A257" s="34" t="str">
        <f t="shared" si="15"/>
        <v xml:space="preserve"> </v>
      </c>
      <c r="D257" s="33"/>
      <c r="E257" s="33"/>
      <c r="J257" s="14">
        <f t="shared" si="18"/>
        <v>0</v>
      </c>
      <c r="K257" s="2" t="str">
        <f t="shared" si="19"/>
        <v xml:space="preserve"> </v>
      </c>
      <c r="L257" s="2" t="str">
        <f t="shared" si="16"/>
        <v xml:space="preserve"> </v>
      </c>
      <c r="M257" s="2" t="str">
        <f t="shared" si="17"/>
        <v xml:space="preserve"> </v>
      </c>
    </row>
    <row r="258" spans="1:13" x14ac:dyDescent="0.25">
      <c r="A258" s="34" t="str">
        <f t="shared" si="15"/>
        <v xml:space="preserve"> </v>
      </c>
      <c r="D258" s="33"/>
      <c r="E258" s="33"/>
      <c r="J258" s="14">
        <f t="shared" si="18"/>
        <v>0</v>
      </c>
      <c r="K258" s="2" t="str">
        <f t="shared" si="19"/>
        <v xml:space="preserve"> </v>
      </c>
      <c r="L258" s="2" t="str">
        <f t="shared" si="16"/>
        <v xml:space="preserve"> </v>
      </c>
      <c r="M258" s="2" t="str">
        <f t="shared" si="17"/>
        <v xml:space="preserve"> </v>
      </c>
    </row>
    <row r="259" spans="1:13" x14ac:dyDescent="0.25">
      <c r="A259" s="34" t="str">
        <f t="shared" si="15"/>
        <v xml:space="preserve"> </v>
      </c>
      <c r="D259" s="33"/>
      <c r="E259" s="33"/>
      <c r="J259" s="14">
        <f t="shared" si="18"/>
        <v>0</v>
      </c>
      <c r="K259" s="2" t="str">
        <f t="shared" si="19"/>
        <v xml:space="preserve"> </v>
      </c>
      <c r="L259" s="2" t="str">
        <f t="shared" si="16"/>
        <v xml:space="preserve"> </v>
      </c>
      <c r="M259" s="2" t="str">
        <f t="shared" si="17"/>
        <v xml:space="preserve"> </v>
      </c>
    </row>
    <row r="260" spans="1:13" x14ac:dyDescent="0.25">
      <c r="A260" s="34" t="str">
        <f t="shared" si="15"/>
        <v xml:space="preserve"> </v>
      </c>
      <c r="D260" s="33"/>
      <c r="E260" s="33"/>
      <c r="J260" s="14">
        <f t="shared" si="18"/>
        <v>0</v>
      </c>
      <c r="K260" s="2" t="str">
        <f t="shared" si="19"/>
        <v xml:space="preserve"> </v>
      </c>
      <c r="L260" s="2" t="str">
        <f t="shared" si="16"/>
        <v xml:space="preserve"> </v>
      </c>
      <c r="M260" s="2" t="str">
        <f t="shared" si="17"/>
        <v xml:space="preserve"> </v>
      </c>
    </row>
    <row r="261" spans="1:13" x14ac:dyDescent="0.25">
      <c r="A261" s="34" t="str">
        <f t="shared" si="15"/>
        <v xml:space="preserve"> </v>
      </c>
      <c r="D261" s="33"/>
      <c r="E261" s="33"/>
      <c r="J261" s="14">
        <f t="shared" si="18"/>
        <v>0</v>
      </c>
      <c r="K261" s="2" t="str">
        <f t="shared" si="19"/>
        <v xml:space="preserve"> </v>
      </c>
      <c r="L261" s="2" t="str">
        <f t="shared" si="16"/>
        <v xml:space="preserve"> </v>
      </c>
      <c r="M261" s="2" t="str">
        <f t="shared" si="17"/>
        <v xml:space="preserve"> </v>
      </c>
    </row>
    <row r="262" spans="1:13" x14ac:dyDescent="0.25">
      <c r="A262" s="34" t="str">
        <f t="shared" si="15"/>
        <v xml:space="preserve"> </v>
      </c>
      <c r="D262" s="33"/>
      <c r="E262" s="33"/>
      <c r="J262" s="14">
        <f t="shared" si="18"/>
        <v>0</v>
      </c>
      <c r="K262" s="2" t="str">
        <f t="shared" si="19"/>
        <v xml:space="preserve"> </v>
      </c>
      <c r="L262" s="2" t="str">
        <f t="shared" si="16"/>
        <v xml:space="preserve"> </v>
      </c>
      <c r="M262" s="2" t="str">
        <f t="shared" si="17"/>
        <v xml:space="preserve"> </v>
      </c>
    </row>
    <row r="263" spans="1:13" x14ac:dyDescent="0.25">
      <c r="A263" s="34" t="str">
        <f t="shared" si="15"/>
        <v xml:space="preserve"> </v>
      </c>
      <c r="D263" s="33"/>
      <c r="E263" s="33"/>
      <c r="J263" s="14">
        <f t="shared" si="18"/>
        <v>0</v>
      </c>
      <c r="K263" s="2" t="str">
        <f t="shared" si="19"/>
        <v xml:space="preserve"> </v>
      </c>
      <c r="L263" s="2" t="str">
        <f t="shared" si="16"/>
        <v xml:space="preserve"> </v>
      </c>
      <c r="M263" s="2" t="str">
        <f t="shared" si="17"/>
        <v xml:space="preserve"> </v>
      </c>
    </row>
    <row r="264" spans="1:13" x14ac:dyDescent="0.25">
      <c r="A264" s="34" t="str">
        <f t="shared" si="15"/>
        <v xml:space="preserve"> </v>
      </c>
      <c r="D264" s="33"/>
      <c r="E264" s="33"/>
      <c r="J264" s="14">
        <f t="shared" si="18"/>
        <v>0</v>
      </c>
      <c r="K264" s="2" t="str">
        <f t="shared" si="19"/>
        <v xml:space="preserve"> </v>
      </c>
      <c r="L264" s="2" t="str">
        <f t="shared" si="16"/>
        <v xml:space="preserve"> </v>
      </c>
      <c r="M264" s="2" t="str">
        <f t="shared" si="17"/>
        <v xml:space="preserve"> </v>
      </c>
    </row>
    <row r="265" spans="1:13" x14ac:dyDescent="0.25">
      <c r="A265" s="34" t="str">
        <f t="shared" si="15"/>
        <v xml:space="preserve"> </v>
      </c>
      <c r="D265" s="33"/>
      <c r="E265" s="33"/>
      <c r="J265" s="14">
        <f t="shared" si="18"/>
        <v>0</v>
      </c>
      <c r="K265" s="2" t="str">
        <f t="shared" si="19"/>
        <v xml:space="preserve"> </v>
      </c>
      <c r="L265" s="2" t="str">
        <f t="shared" si="16"/>
        <v xml:space="preserve"> </v>
      </c>
      <c r="M265" s="2" t="str">
        <f t="shared" si="17"/>
        <v xml:space="preserve"> </v>
      </c>
    </row>
    <row r="266" spans="1:13" x14ac:dyDescent="0.25">
      <c r="A266" s="34" t="str">
        <f t="shared" si="15"/>
        <v xml:space="preserve"> </v>
      </c>
      <c r="D266" s="33"/>
      <c r="E266" s="33"/>
      <c r="J266" s="14">
        <f t="shared" si="18"/>
        <v>0</v>
      </c>
      <c r="K266" s="2" t="str">
        <f t="shared" si="19"/>
        <v xml:space="preserve"> </v>
      </c>
      <c r="L266" s="2" t="str">
        <f t="shared" si="16"/>
        <v xml:space="preserve"> </v>
      </c>
      <c r="M266" s="2" t="str">
        <f t="shared" si="17"/>
        <v xml:space="preserve"> </v>
      </c>
    </row>
    <row r="267" spans="1:13" x14ac:dyDescent="0.25">
      <c r="A267" s="34" t="str">
        <f t="shared" si="15"/>
        <v xml:space="preserve"> </v>
      </c>
      <c r="D267" s="33"/>
      <c r="E267" s="33"/>
      <c r="J267" s="14">
        <f t="shared" si="18"/>
        <v>0</v>
      </c>
      <c r="K267" s="2" t="str">
        <f t="shared" si="19"/>
        <v xml:space="preserve"> </v>
      </c>
      <c r="L267" s="2" t="str">
        <f t="shared" si="16"/>
        <v xml:space="preserve"> </v>
      </c>
      <c r="M267" s="2" t="str">
        <f t="shared" si="17"/>
        <v xml:space="preserve"> </v>
      </c>
    </row>
    <row r="268" spans="1:13" x14ac:dyDescent="0.25">
      <c r="A268" s="34" t="str">
        <f t="shared" si="15"/>
        <v xml:space="preserve"> </v>
      </c>
      <c r="D268" s="33"/>
      <c r="E268" s="33"/>
      <c r="J268" s="14">
        <f t="shared" si="18"/>
        <v>0</v>
      </c>
      <c r="K268" s="2" t="str">
        <f t="shared" si="19"/>
        <v xml:space="preserve"> </v>
      </c>
      <c r="L268" s="2" t="str">
        <f t="shared" si="16"/>
        <v xml:space="preserve"> </v>
      </c>
      <c r="M268" s="2" t="str">
        <f t="shared" si="17"/>
        <v xml:space="preserve"> </v>
      </c>
    </row>
    <row r="269" spans="1:13" x14ac:dyDescent="0.25">
      <c r="A269" s="34" t="str">
        <f t="shared" si="15"/>
        <v xml:space="preserve"> </v>
      </c>
      <c r="D269" s="33"/>
      <c r="E269" s="33"/>
      <c r="J269" s="14">
        <f t="shared" si="18"/>
        <v>0</v>
      </c>
      <c r="K269" s="2" t="str">
        <f t="shared" si="19"/>
        <v xml:space="preserve"> </v>
      </c>
      <c r="L269" s="2" t="str">
        <f t="shared" si="16"/>
        <v xml:space="preserve"> </v>
      </c>
      <c r="M269" s="2" t="str">
        <f t="shared" si="17"/>
        <v xml:space="preserve"> </v>
      </c>
    </row>
    <row r="270" spans="1:13" x14ac:dyDescent="0.25">
      <c r="A270" s="34" t="str">
        <f t="shared" si="15"/>
        <v xml:space="preserve"> </v>
      </c>
      <c r="D270" s="33"/>
      <c r="E270" s="33"/>
      <c r="J270" s="14">
        <f t="shared" si="18"/>
        <v>0</v>
      </c>
      <c r="K270" s="2" t="str">
        <f t="shared" si="19"/>
        <v xml:space="preserve"> </v>
      </c>
      <c r="L270" s="2" t="str">
        <f t="shared" si="16"/>
        <v xml:space="preserve"> </v>
      </c>
      <c r="M270" s="2" t="str">
        <f t="shared" si="17"/>
        <v xml:space="preserve"> </v>
      </c>
    </row>
    <row r="271" spans="1:13" x14ac:dyDescent="0.25">
      <c r="A271" s="34" t="str">
        <f t="shared" ref="A271:A334" si="20">IF(COUNTIF(K271:M271,"ERROR")&gt;0,"ERROR"," ")</f>
        <v xml:space="preserve"> </v>
      </c>
      <c r="D271" s="33"/>
      <c r="E271" s="33"/>
      <c r="J271" s="14">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x14ac:dyDescent="0.25">
      <c r="A272" s="34" t="str">
        <f t="shared" si="20"/>
        <v xml:space="preserve"> </v>
      </c>
      <c r="D272" s="33"/>
      <c r="E272" s="33"/>
      <c r="J272" s="14">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4" t="str">
        <f t="shared" si="20"/>
        <v xml:space="preserve"> </v>
      </c>
      <c r="D273" s="33"/>
      <c r="E273" s="33"/>
      <c r="J273" s="14">
        <f t="shared" si="23"/>
        <v>0</v>
      </c>
      <c r="K273" s="2" t="str">
        <f t="shared" si="24"/>
        <v xml:space="preserve"> </v>
      </c>
      <c r="L273" s="2" t="str">
        <f t="shared" si="21"/>
        <v xml:space="preserve"> </v>
      </c>
      <c r="M273" s="2" t="str">
        <f t="shared" si="22"/>
        <v xml:space="preserve"> </v>
      </c>
    </row>
    <row r="274" spans="1:13" x14ac:dyDescent="0.25">
      <c r="A274" s="34" t="str">
        <f t="shared" si="20"/>
        <v xml:space="preserve"> </v>
      </c>
      <c r="D274" s="33"/>
      <c r="E274" s="33"/>
      <c r="J274" s="14">
        <f t="shared" si="23"/>
        <v>0</v>
      </c>
      <c r="K274" s="2" t="str">
        <f t="shared" si="24"/>
        <v xml:space="preserve"> </v>
      </c>
      <c r="L274" s="2" t="str">
        <f t="shared" si="21"/>
        <v xml:space="preserve"> </v>
      </c>
      <c r="M274" s="2" t="str">
        <f t="shared" si="22"/>
        <v xml:space="preserve"> </v>
      </c>
    </row>
    <row r="275" spans="1:13" x14ac:dyDescent="0.25">
      <c r="A275" s="34" t="str">
        <f t="shared" si="20"/>
        <v xml:space="preserve"> </v>
      </c>
      <c r="D275" s="33"/>
      <c r="E275" s="33"/>
      <c r="J275" s="14">
        <f t="shared" si="23"/>
        <v>0</v>
      </c>
      <c r="K275" s="2" t="str">
        <f t="shared" si="24"/>
        <v xml:space="preserve"> </v>
      </c>
      <c r="L275" s="2" t="str">
        <f t="shared" si="21"/>
        <v xml:space="preserve"> </v>
      </c>
      <c r="M275" s="2" t="str">
        <f t="shared" si="22"/>
        <v xml:space="preserve"> </v>
      </c>
    </row>
    <row r="276" spans="1:13" x14ac:dyDescent="0.25">
      <c r="A276" s="34" t="str">
        <f t="shared" si="20"/>
        <v xml:space="preserve"> </v>
      </c>
      <c r="D276" s="33"/>
      <c r="E276" s="33"/>
      <c r="J276" s="14">
        <f t="shared" si="23"/>
        <v>0</v>
      </c>
      <c r="K276" s="2" t="str">
        <f t="shared" si="24"/>
        <v xml:space="preserve"> </v>
      </c>
      <c r="L276" s="2" t="str">
        <f t="shared" si="21"/>
        <v xml:space="preserve"> </v>
      </c>
      <c r="M276" s="2" t="str">
        <f t="shared" si="22"/>
        <v xml:space="preserve"> </v>
      </c>
    </row>
    <row r="277" spans="1:13" x14ac:dyDescent="0.25">
      <c r="A277" s="34" t="str">
        <f t="shared" si="20"/>
        <v xml:space="preserve"> </v>
      </c>
      <c r="D277" s="33"/>
      <c r="E277" s="33"/>
      <c r="J277" s="14">
        <f t="shared" si="23"/>
        <v>0</v>
      </c>
      <c r="K277" s="2" t="str">
        <f t="shared" si="24"/>
        <v xml:space="preserve"> </v>
      </c>
      <c r="L277" s="2" t="str">
        <f t="shared" si="21"/>
        <v xml:space="preserve"> </v>
      </c>
      <c r="M277" s="2" t="str">
        <f t="shared" si="22"/>
        <v xml:space="preserve"> </v>
      </c>
    </row>
    <row r="278" spans="1:13" x14ac:dyDescent="0.25">
      <c r="A278" s="34" t="str">
        <f t="shared" si="20"/>
        <v xml:space="preserve"> </v>
      </c>
      <c r="D278" s="33"/>
      <c r="E278" s="33"/>
      <c r="J278" s="14">
        <f t="shared" si="23"/>
        <v>0</v>
      </c>
      <c r="K278" s="2" t="str">
        <f t="shared" si="24"/>
        <v xml:space="preserve"> </v>
      </c>
      <c r="L278" s="2" t="str">
        <f t="shared" si="21"/>
        <v xml:space="preserve"> </v>
      </c>
      <c r="M278" s="2" t="str">
        <f t="shared" si="22"/>
        <v xml:space="preserve"> </v>
      </c>
    </row>
    <row r="279" spans="1:13" x14ac:dyDescent="0.25">
      <c r="A279" s="34" t="str">
        <f t="shared" si="20"/>
        <v xml:space="preserve"> </v>
      </c>
      <c r="D279" s="33"/>
      <c r="E279" s="33"/>
      <c r="J279" s="14">
        <f t="shared" si="23"/>
        <v>0</v>
      </c>
      <c r="K279" s="2" t="str">
        <f t="shared" si="24"/>
        <v xml:space="preserve"> </v>
      </c>
      <c r="L279" s="2" t="str">
        <f t="shared" si="21"/>
        <v xml:space="preserve"> </v>
      </c>
      <c r="M279" s="2" t="str">
        <f t="shared" si="22"/>
        <v xml:space="preserve"> </v>
      </c>
    </row>
    <row r="280" spans="1:13" x14ac:dyDescent="0.25">
      <c r="A280" s="34" t="str">
        <f t="shared" si="20"/>
        <v xml:space="preserve"> </v>
      </c>
      <c r="D280" s="33"/>
      <c r="E280" s="33"/>
      <c r="J280" s="14">
        <f t="shared" si="23"/>
        <v>0</v>
      </c>
      <c r="K280" s="2" t="str">
        <f t="shared" si="24"/>
        <v xml:space="preserve"> </v>
      </c>
      <c r="L280" s="2" t="str">
        <f t="shared" si="21"/>
        <v xml:space="preserve"> </v>
      </c>
      <c r="M280" s="2" t="str">
        <f t="shared" si="22"/>
        <v xml:space="preserve"> </v>
      </c>
    </row>
    <row r="281" spans="1:13" x14ac:dyDescent="0.25">
      <c r="A281" s="34" t="str">
        <f t="shared" si="20"/>
        <v xml:space="preserve"> </v>
      </c>
      <c r="D281" s="33"/>
      <c r="E281" s="33"/>
      <c r="J281" s="14">
        <f t="shared" si="23"/>
        <v>0</v>
      </c>
      <c r="K281" s="2" t="str">
        <f t="shared" si="24"/>
        <v xml:space="preserve"> </v>
      </c>
      <c r="L281" s="2" t="str">
        <f t="shared" si="21"/>
        <v xml:space="preserve"> </v>
      </c>
      <c r="M281" s="2" t="str">
        <f t="shared" si="22"/>
        <v xml:space="preserve"> </v>
      </c>
    </row>
    <row r="282" spans="1:13" x14ac:dyDescent="0.25">
      <c r="A282" s="34" t="str">
        <f t="shared" si="20"/>
        <v xml:space="preserve"> </v>
      </c>
      <c r="D282" s="33"/>
      <c r="E282" s="33"/>
      <c r="J282" s="14">
        <f t="shared" si="23"/>
        <v>0</v>
      </c>
      <c r="K282" s="2" t="str">
        <f t="shared" si="24"/>
        <v xml:space="preserve"> </v>
      </c>
      <c r="L282" s="2" t="str">
        <f t="shared" si="21"/>
        <v xml:space="preserve"> </v>
      </c>
      <c r="M282" s="2" t="str">
        <f t="shared" si="22"/>
        <v xml:space="preserve"> </v>
      </c>
    </row>
    <row r="283" spans="1:13" x14ac:dyDescent="0.25">
      <c r="A283" s="34" t="str">
        <f t="shared" si="20"/>
        <v xml:space="preserve"> </v>
      </c>
      <c r="D283" s="33"/>
      <c r="E283" s="33"/>
      <c r="J283" s="14">
        <f t="shared" si="23"/>
        <v>0</v>
      </c>
      <c r="K283" s="2" t="str">
        <f t="shared" si="24"/>
        <v xml:space="preserve"> </v>
      </c>
      <c r="L283" s="2" t="str">
        <f t="shared" si="21"/>
        <v xml:space="preserve"> </v>
      </c>
      <c r="M283" s="2" t="str">
        <f t="shared" si="22"/>
        <v xml:space="preserve"> </v>
      </c>
    </row>
    <row r="284" spans="1:13" x14ac:dyDescent="0.25">
      <c r="A284" s="34" t="str">
        <f t="shared" si="20"/>
        <v xml:space="preserve"> </v>
      </c>
      <c r="D284" s="33"/>
      <c r="E284" s="33"/>
      <c r="J284" s="14">
        <f t="shared" si="23"/>
        <v>0</v>
      </c>
      <c r="K284" s="2" t="str">
        <f t="shared" si="24"/>
        <v xml:space="preserve"> </v>
      </c>
      <c r="L284" s="2" t="str">
        <f t="shared" si="21"/>
        <v xml:space="preserve"> </v>
      </c>
      <c r="M284" s="2" t="str">
        <f t="shared" si="22"/>
        <v xml:space="preserve"> </v>
      </c>
    </row>
    <row r="285" spans="1:13" x14ac:dyDescent="0.25">
      <c r="A285" s="34" t="str">
        <f t="shared" si="20"/>
        <v xml:space="preserve"> </v>
      </c>
      <c r="D285" s="33"/>
      <c r="E285" s="33"/>
      <c r="J285" s="14">
        <f t="shared" si="23"/>
        <v>0</v>
      </c>
      <c r="K285" s="2" t="str">
        <f t="shared" si="24"/>
        <v xml:space="preserve"> </v>
      </c>
      <c r="L285" s="2" t="str">
        <f t="shared" si="21"/>
        <v xml:space="preserve"> </v>
      </c>
      <c r="M285" s="2" t="str">
        <f t="shared" si="22"/>
        <v xml:space="preserve"> </v>
      </c>
    </row>
    <row r="286" spans="1:13" x14ac:dyDescent="0.25">
      <c r="A286" s="34" t="str">
        <f t="shared" si="20"/>
        <v xml:space="preserve"> </v>
      </c>
      <c r="D286" s="33"/>
      <c r="E286" s="33"/>
      <c r="J286" s="14">
        <f t="shared" si="23"/>
        <v>0</v>
      </c>
      <c r="K286" s="2" t="str">
        <f t="shared" si="24"/>
        <v xml:space="preserve"> </v>
      </c>
      <c r="L286" s="2" t="str">
        <f t="shared" si="21"/>
        <v xml:space="preserve"> </v>
      </c>
      <c r="M286" s="2" t="str">
        <f t="shared" si="22"/>
        <v xml:space="preserve"> </v>
      </c>
    </row>
    <row r="287" spans="1:13" x14ac:dyDescent="0.25">
      <c r="A287" s="34" t="str">
        <f t="shared" si="20"/>
        <v xml:space="preserve"> </v>
      </c>
      <c r="D287" s="33"/>
      <c r="E287" s="33"/>
      <c r="J287" s="14">
        <f t="shared" si="23"/>
        <v>0</v>
      </c>
      <c r="K287" s="2" t="str">
        <f t="shared" si="24"/>
        <v xml:space="preserve"> </v>
      </c>
      <c r="L287" s="2" t="str">
        <f t="shared" si="21"/>
        <v xml:space="preserve"> </v>
      </c>
      <c r="M287" s="2" t="str">
        <f t="shared" si="22"/>
        <v xml:space="preserve"> </v>
      </c>
    </row>
    <row r="288" spans="1:13" x14ac:dyDescent="0.25">
      <c r="A288" s="34" t="str">
        <f t="shared" si="20"/>
        <v xml:space="preserve"> </v>
      </c>
      <c r="D288" s="33"/>
      <c r="E288" s="33"/>
      <c r="J288" s="14">
        <f t="shared" si="23"/>
        <v>0</v>
      </c>
      <c r="K288" s="2" t="str">
        <f t="shared" si="24"/>
        <v xml:space="preserve"> </v>
      </c>
      <c r="L288" s="2" t="str">
        <f t="shared" si="21"/>
        <v xml:space="preserve"> </v>
      </c>
      <c r="M288" s="2" t="str">
        <f t="shared" si="22"/>
        <v xml:space="preserve"> </v>
      </c>
    </row>
    <row r="289" spans="1:13" x14ac:dyDescent="0.25">
      <c r="A289" s="34" t="str">
        <f t="shared" si="20"/>
        <v xml:space="preserve"> </v>
      </c>
      <c r="D289" s="33"/>
      <c r="E289" s="33"/>
      <c r="J289" s="14">
        <f t="shared" si="23"/>
        <v>0</v>
      </c>
      <c r="K289" s="2" t="str">
        <f t="shared" si="24"/>
        <v xml:space="preserve"> </v>
      </c>
      <c r="L289" s="2" t="str">
        <f t="shared" si="21"/>
        <v xml:space="preserve"> </v>
      </c>
      <c r="M289" s="2" t="str">
        <f t="shared" si="22"/>
        <v xml:space="preserve"> </v>
      </c>
    </row>
    <row r="290" spans="1:13" x14ac:dyDescent="0.25">
      <c r="A290" s="34" t="str">
        <f t="shared" si="20"/>
        <v xml:space="preserve"> </v>
      </c>
      <c r="D290" s="33"/>
      <c r="E290" s="33"/>
      <c r="J290" s="14">
        <f t="shared" si="23"/>
        <v>0</v>
      </c>
      <c r="K290" s="2" t="str">
        <f t="shared" si="24"/>
        <v xml:space="preserve"> </v>
      </c>
      <c r="L290" s="2" t="str">
        <f t="shared" si="21"/>
        <v xml:space="preserve"> </v>
      </c>
      <c r="M290" s="2" t="str">
        <f t="shared" si="22"/>
        <v xml:space="preserve"> </v>
      </c>
    </row>
    <row r="291" spans="1:13" x14ac:dyDescent="0.25">
      <c r="A291" s="34" t="str">
        <f t="shared" si="20"/>
        <v xml:space="preserve"> </v>
      </c>
      <c r="D291" s="33"/>
      <c r="E291" s="33"/>
      <c r="J291" s="14">
        <f t="shared" si="23"/>
        <v>0</v>
      </c>
      <c r="K291" s="2" t="str">
        <f t="shared" si="24"/>
        <v xml:space="preserve"> </v>
      </c>
      <c r="L291" s="2" t="str">
        <f t="shared" si="21"/>
        <v xml:space="preserve"> </v>
      </c>
      <c r="M291" s="2" t="str">
        <f t="shared" si="22"/>
        <v xml:space="preserve"> </v>
      </c>
    </row>
    <row r="292" spans="1:13" x14ac:dyDescent="0.25">
      <c r="A292" s="34" t="str">
        <f t="shared" si="20"/>
        <v xml:space="preserve"> </v>
      </c>
      <c r="D292" s="33"/>
      <c r="E292" s="33"/>
      <c r="J292" s="14">
        <f t="shared" si="23"/>
        <v>0</v>
      </c>
      <c r="K292" s="2" t="str">
        <f t="shared" si="24"/>
        <v xml:space="preserve"> </v>
      </c>
      <c r="L292" s="2" t="str">
        <f t="shared" si="21"/>
        <v xml:space="preserve"> </v>
      </c>
      <c r="M292" s="2" t="str">
        <f t="shared" si="22"/>
        <v xml:space="preserve"> </v>
      </c>
    </row>
    <row r="293" spans="1:13" x14ac:dyDescent="0.25">
      <c r="A293" s="34" t="str">
        <f t="shared" si="20"/>
        <v xml:space="preserve"> </v>
      </c>
      <c r="D293" s="33"/>
      <c r="E293" s="33"/>
      <c r="J293" s="14">
        <f t="shared" si="23"/>
        <v>0</v>
      </c>
      <c r="K293" s="2" t="str">
        <f t="shared" si="24"/>
        <v xml:space="preserve"> </v>
      </c>
      <c r="L293" s="2" t="str">
        <f t="shared" si="21"/>
        <v xml:space="preserve"> </v>
      </c>
      <c r="M293" s="2" t="str">
        <f t="shared" si="22"/>
        <v xml:space="preserve"> </v>
      </c>
    </row>
    <row r="294" spans="1:13" x14ac:dyDescent="0.25">
      <c r="A294" s="34" t="str">
        <f t="shared" si="20"/>
        <v xml:space="preserve"> </v>
      </c>
      <c r="D294" s="33"/>
      <c r="E294" s="33"/>
      <c r="J294" s="14">
        <f t="shared" si="23"/>
        <v>0</v>
      </c>
      <c r="K294" s="2" t="str">
        <f t="shared" si="24"/>
        <v xml:space="preserve"> </v>
      </c>
      <c r="L294" s="2" t="str">
        <f t="shared" si="21"/>
        <v xml:space="preserve"> </v>
      </c>
      <c r="M294" s="2" t="str">
        <f t="shared" si="22"/>
        <v xml:space="preserve"> </v>
      </c>
    </row>
    <row r="295" spans="1:13" x14ac:dyDescent="0.25">
      <c r="A295" s="34" t="str">
        <f t="shared" si="20"/>
        <v xml:space="preserve"> </v>
      </c>
      <c r="D295" s="33"/>
      <c r="E295" s="33"/>
      <c r="J295" s="14">
        <f t="shared" si="23"/>
        <v>0</v>
      </c>
      <c r="K295" s="2" t="str">
        <f t="shared" si="24"/>
        <v xml:space="preserve"> </v>
      </c>
      <c r="L295" s="2" t="str">
        <f t="shared" si="21"/>
        <v xml:space="preserve"> </v>
      </c>
      <c r="M295" s="2" t="str">
        <f t="shared" si="22"/>
        <v xml:space="preserve"> </v>
      </c>
    </row>
    <row r="296" spans="1:13" x14ac:dyDescent="0.25">
      <c r="A296" s="34" t="str">
        <f t="shared" si="20"/>
        <v xml:space="preserve"> </v>
      </c>
      <c r="D296" s="33"/>
      <c r="E296" s="33"/>
      <c r="J296" s="14">
        <f t="shared" si="23"/>
        <v>0</v>
      </c>
      <c r="K296" s="2" t="str">
        <f t="shared" si="24"/>
        <v xml:space="preserve"> </v>
      </c>
      <c r="L296" s="2" t="str">
        <f t="shared" si="21"/>
        <v xml:space="preserve"> </v>
      </c>
      <c r="M296" s="2" t="str">
        <f t="shared" si="22"/>
        <v xml:space="preserve"> </v>
      </c>
    </row>
    <row r="297" spans="1:13" x14ac:dyDescent="0.25">
      <c r="A297" s="34" t="str">
        <f t="shared" si="20"/>
        <v xml:space="preserve"> </v>
      </c>
      <c r="D297" s="33"/>
      <c r="E297" s="33"/>
      <c r="J297" s="14">
        <f t="shared" si="23"/>
        <v>0</v>
      </c>
      <c r="K297" s="2" t="str">
        <f t="shared" si="24"/>
        <v xml:space="preserve"> </v>
      </c>
      <c r="L297" s="2" t="str">
        <f t="shared" si="21"/>
        <v xml:space="preserve"> </v>
      </c>
      <c r="M297" s="2" t="str">
        <f t="shared" si="22"/>
        <v xml:space="preserve"> </v>
      </c>
    </row>
    <row r="298" spans="1:13" x14ac:dyDescent="0.25">
      <c r="A298" s="34" t="str">
        <f t="shared" si="20"/>
        <v xml:space="preserve"> </v>
      </c>
      <c r="D298" s="33"/>
      <c r="E298" s="33"/>
      <c r="J298" s="14">
        <f t="shared" si="23"/>
        <v>0</v>
      </c>
      <c r="K298" s="2" t="str">
        <f t="shared" si="24"/>
        <v xml:space="preserve"> </v>
      </c>
      <c r="L298" s="2" t="str">
        <f t="shared" si="21"/>
        <v xml:space="preserve"> </v>
      </c>
      <c r="M298" s="2" t="str">
        <f t="shared" si="22"/>
        <v xml:space="preserve"> </v>
      </c>
    </row>
    <row r="299" spans="1:13" x14ac:dyDescent="0.25">
      <c r="A299" s="34" t="str">
        <f t="shared" si="20"/>
        <v xml:space="preserve"> </v>
      </c>
      <c r="D299" s="33"/>
      <c r="E299" s="33"/>
      <c r="J299" s="14">
        <f t="shared" si="23"/>
        <v>0</v>
      </c>
      <c r="K299" s="2" t="str">
        <f t="shared" si="24"/>
        <v xml:space="preserve"> </v>
      </c>
      <c r="L299" s="2" t="str">
        <f t="shared" si="21"/>
        <v xml:space="preserve"> </v>
      </c>
      <c r="M299" s="2" t="str">
        <f t="shared" si="22"/>
        <v xml:space="preserve"> </v>
      </c>
    </row>
    <row r="300" spans="1:13" x14ac:dyDescent="0.25">
      <c r="A300" s="34" t="str">
        <f t="shared" si="20"/>
        <v xml:space="preserve"> </v>
      </c>
      <c r="D300" s="33"/>
      <c r="E300" s="33"/>
      <c r="J300" s="14">
        <f t="shared" si="23"/>
        <v>0</v>
      </c>
      <c r="K300" s="2" t="str">
        <f t="shared" si="24"/>
        <v xml:space="preserve"> </v>
      </c>
      <c r="L300" s="2" t="str">
        <f t="shared" si="21"/>
        <v xml:space="preserve"> </v>
      </c>
      <c r="M300" s="2" t="str">
        <f t="shared" si="22"/>
        <v xml:space="preserve"> </v>
      </c>
    </row>
    <row r="301" spans="1:13" x14ac:dyDescent="0.25">
      <c r="A301" s="34" t="str">
        <f t="shared" si="20"/>
        <v xml:space="preserve"> </v>
      </c>
      <c r="D301" s="33"/>
      <c r="E301" s="33"/>
      <c r="J301" s="14">
        <f t="shared" si="23"/>
        <v>0</v>
      </c>
      <c r="K301" s="2" t="str">
        <f t="shared" si="24"/>
        <v xml:space="preserve"> </v>
      </c>
      <c r="L301" s="2" t="str">
        <f t="shared" si="21"/>
        <v xml:space="preserve"> </v>
      </c>
      <c r="M301" s="2" t="str">
        <f t="shared" si="22"/>
        <v xml:space="preserve"> </v>
      </c>
    </row>
    <row r="302" spans="1:13" x14ac:dyDescent="0.25">
      <c r="A302" s="34" t="str">
        <f t="shared" si="20"/>
        <v xml:space="preserve"> </v>
      </c>
      <c r="D302" s="33"/>
      <c r="E302" s="33"/>
      <c r="J302" s="14">
        <f t="shared" si="23"/>
        <v>0</v>
      </c>
      <c r="K302" s="2" t="str">
        <f t="shared" si="24"/>
        <v xml:space="preserve"> </v>
      </c>
      <c r="L302" s="2" t="str">
        <f t="shared" si="21"/>
        <v xml:space="preserve"> </v>
      </c>
      <c r="M302" s="2" t="str">
        <f t="shared" si="22"/>
        <v xml:space="preserve"> </v>
      </c>
    </row>
    <row r="303" spans="1:13" x14ac:dyDescent="0.25">
      <c r="A303" s="34" t="str">
        <f t="shared" si="20"/>
        <v xml:space="preserve"> </v>
      </c>
      <c r="D303" s="33"/>
      <c r="E303" s="33"/>
      <c r="J303" s="14">
        <f t="shared" si="23"/>
        <v>0</v>
      </c>
      <c r="K303" s="2" t="str">
        <f t="shared" si="24"/>
        <v xml:space="preserve"> </v>
      </c>
      <c r="L303" s="2" t="str">
        <f t="shared" si="21"/>
        <v xml:space="preserve"> </v>
      </c>
      <c r="M303" s="2" t="str">
        <f t="shared" si="22"/>
        <v xml:space="preserve"> </v>
      </c>
    </row>
    <row r="304" spans="1:13" x14ac:dyDescent="0.25">
      <c r="A304" s="34" t="str">
        <f t="shared" si="20"/>
        <v xml:space="preserve"> </v>
      </c>
      <c r="D304" s="33"/>
      <c r="E304" s="33"/>
      <c r="J304" s="14">
        <f t="shared" si="23"/>
        <v>0</v>
      </c>
      <c r="K304" s="2" t="str">
        <f t="shared" si="24"/>
        <v xml:space="preserve"> </v>
      </c>
      <c r="L304" s="2" t="str">
        <f t="shared" si="21"/>
        <v xml:space="preserve"> </v>
      </c>
      <c r="M304" s="2" t="str">
        <f t="shared" si="22"/>
        <v xml:space="preserve"> </v>
      </c>
    </row>
    <row r="305" spans="1:13" x14ac:dyDescent="0.25">
      <c r="A305" s="34" t="str">
        <f t="shared" si="20"/>
        <v xml:space="preserve"> </v>
      </c>
      <c r="D305" s="33"/>
      <c r="E305" s="33"/>
      <c r="J305" s="14">
        <f t="shared" si="23"/>
        <v>0</v>
      </c>
      <c r="K305" s="2" t="str">
        <f t="shared" si="24"/>
        <v xml:space="preserve"> </v>
      </c>
      <c r="L305" s="2" t="str">
        <f t="shared" si="21"/>
        <v xml:space="preserve"> </v>
      </c>
      <c r="M305" s="2" t="str">
        <f t="shared" si="22"/>
        <v xml:space="preserve"> </v>
      </c>
    </row>
    <row r="306" spans="1:13" x14ac:dyDescent="0.25">
      <c r="A306" s="34" t="str">
        <f t="shared" si="20"/>
        <v xml:space="preserve"> </v>
      </c>
      <c r="D306" s="33"/>
      <c r="E306" s="33"/>
      <c r="J306" s="14">
        <f t="shared" si="23"/>
        <v>0</v>
      </c>
      <c r="K306" s="2" t="str">
        <f t="shared" si="24"/>
        <v xml:space="preserve"> </v>
      </c>
      <c r="L306" s="2" t="str">
        <f t="shared" si="21"/>
        <v xml:space="preserve"> </v>
      </c>
      <c r="M306" s="2" t="str">
        <f t="shared" si="22"/>
        <v xml:space="preserve"> </v>
      </c>
    </row>
    <row r="307" spans="1:13" x14ac:dyDescent="0.25">
      <c r="A307" s="34" t="str">
        <f t="shared" si="20"/>
        <v xml:space="preserve"> </v>
      </c>
      <c r="D307" s="33"/>
      <c r="E307" s="33"/>
      <c r="J307" s="14">
        <f t="shared" si="23"/>
        <v>0</v>
      </c>
      <c r="K307" s="2" t="str">
        <f t="shared" si="24"/>
        <v xml:space="preserve"> </v>
      </c>
      <c r="L307" s="2" t="str">
        <f t="shared" si="21"/>
        <v xml:space="preserve"> </v>
      </c>
      <c r="M307" s="2" t="str">
        <f t="shared" si="22"/>
        <v xml:space="preserve"> </v>
      </c>
    </row>
    <row r="308" spans="1:13" x14ac:dyDescent="0.25">
      <c r="A308" s="34" t="str">
        <f t="shared" si="20"/>
        <v xml:space="preserve"> </v>
      </c>
      <c r="D308" s="33"/>
      <c r="E308" s="33"/>
      <c r="J308" s="14">
        <f t="shared" si="23"/>
        <v>0</v>
      </c>
      <c r="K308" s="2" t="str">
        <f t="shared" si="24"/>
        <v xml:space="preserve"> </v>
      </c>
      <c r="L308" s="2" t="str">
        <f t="shared" si="21"/>
        <v xml:space="preserve"> </v>
      </c>
      <c r="M308" s="2" t="str">
        <f t="shared" si="22"/>
        <v xml:space="preserve"> </v>
      </c>
    </row>
    <row r="309" spans="1:13" x14ac:dyDescent="0.25">
      <c r="A309" s="34" t="str">
        <f t="shared" si="20"/>
        <v xml:space="preserve"> </v>
      </c>
      <c r="D309" s="33"/>
      <c r="E309" s="33"/>
      <c r="J309" s="14">
        <f t="shared" si="23"/>
        <v>0</v>
      </c>
      <c r="K309" s="2" t="str">
        <f t="shared" si="24"/>
        <v xml:space="preserve"> </v>
      </c>
      <c r="L309" s="2" t="str">
        <f t="shared" si="21"/>
        <v xml:space="preserve"> </v>
      </c>
      <c r="M309" s="2" t="str">
        <f t="shared" si="22"/>
        <v xml:space="preserve"> </v>
      </c>
    </row>
    <row r="310" spans="1:13" x14ac:dyDescent="0.25">
      <c r="A310" s="34" t="str">
        <f t="shared" si="20"/>
        <v xml:space="preserve"> </v>
      </c>
      <c r="D310" s="33"/>
      <c r="E310" s="33"/>
      <c r="J310" s="14">
        <f t="shared" si="23"/>
        <v>0</v>
      </c>
      <c r="K310" s="2" t="str">
        <f t="shared" si="24"/>
        <v xml:space="preserve"> </v>
      </c>
      <c r="L310" s="2" t="str">
        <f t="shared" si="21"/>
        <v xml:space="preserve"> </v>
      </c>
      <c r="M310" s="2" t="str">
        <f t="shared" si="22"/>
        <v xml:space="preserve"> </v>
      </c>
    </row>
    <row r="311" spans="1:13" x14ac:dyDescent="0.25">
      <c r="A311" s="34" t="str">
        <f t="shared" si="20"/>
        <v xml:space="preserve"> </v>
      </c>
      <c r="D311" s="33"/>
      <c r="E311" s="33"/>
      <c r="J311" s="14">
        <f t="shared" si="23"/>
        <v>0</v>
      </c>
      <c r="K311" s="2" t="str">
        <f t="shared" si="24"/>
        <v xml:space="preserve"> </v>
      </c>
      <c r="L311" s="2" t="str">
        <f t="shared" si="21"/>
        <v xml:space="preserve"> </v>
      </c>
      <c r="M311" s="2" t="str">
        <f t="shared" si="22"/>
        <v xml:space="preserve"> </v>
      </c>
    </row>
    <row r="312" spans="1:13" x14ac:dyDescent="0.25">
      <c r="A312" s="34" t="str">
        <f t="shared" si="20"/>
        <v xml:space="preserve"> </v>
      </c>
      <c r="D312" s="33"/>
      <c r="E312" s="33"/>
      <c r="J312" s="14">
        <f t="shared" si="23"/>
        <v>0</v>
      </c>
      <c r="K312" s="2" t="str">
        <f t="shared" si="24"/>
        <v xml:space="preserve"> </v>
      </c>
      <c r="L312" s="2" t="str">
        <f t="shared" si="21"/>
        <v xml:space="preserve"> </v>
      </c>
      <c r="M312" s="2" t="str">
        <f t="shared" si="22"/>
        <v xml:space="preserve"> </v>
      </c>
    </row>
    <row r="313" spans="1:13" x14ac:dyDescent="0.25">
      <c r="A313" s="34" t="str">
        <f t="shared" si="20"/>
        <v xml:space="preserve"> </v>
      </c>
      <c r="D313" s="33"/>
      <c r="E313" s="33"/>
      <c r="J313" s="14">
        <f t="shared" si="23"/>
        <v>0</v>
      </c>
      <c r="K313" s="2" t="str">
        <f t="shared" si="24"/>
        <v xml:space="preserve"> </v>
      </c>
      <c r="L313" s="2" t="str">
        <f t="shared" si="21"/>
        <v xml:space="preserve"> </v>
      </c>
      <c r="M313" s="2" t="str">
        <f t="shared" si="22"/>
        <v xml:space="preserve"> </v>
      </c>
    </row>
    <row r="314" spans="1:13" x14ac:dyDescent="0.25">
      <c r="A314" s="34" t="str">
        <f t="shared" si="20"/>
        <v xml:space="preserve"> </v>
      </c>
      <c r="D314" s="33"/>
      <c r="E314" s="33"/>
      <c r="J314" s="14">
        <f t="shared" si="23"/>
        <v>0</v>
      </c>
      <c r="K314" s="2" t="str">
        <f t="shared" si="24"/>
        <v xml:space="preserve"> </v>
      </c>
      <c r="L314" s="2" t="str">
        <f t="shared" si="21"/>
        <v xml:space="preserve"> </v>
      </c>
      <c r="M314" s="2" t="str">
        <f t="shared" si="22"/>
        <v xml:space="preserve"> </v>
      </c>
    </row>
    <row r="315" spans="1:13" x14ac:dyDescent="0.25">
      <c r="A315" s="34" t="str">
        <f t="shared" si="20"/>
        <v xml:space="preserve"> </v>
      </c>
      <c r="D315" s="33"/>
      <c r="E315" s="33"/>
      <c r="J315" s="14">
        <f t="shared" si="23"/>
        <v>0</v>
      </c>
      <c r="K315" s="2" t="str">
        <f t="shared" si="24"/>
        <v xml:space="preserve"> </v>
      </c>
      <c r="L315" s="2" t="str">
        <f t="shared" si="21"/>
        <v xml:space="preserve"> </v>
      </c>
      <c r="M315" s="2" t="str">
        <f t="shared" si="22"/>
        <v xml:space="preserve"> </v>
      </c>
    </row>
    <row r="316" spans="1:13" x14ac:dyDescent="0.25">
      <c r="A316" s="34" t="str">
        <f t="shared" si="20"/>
        <v xml:space="preserve"> </v>
      </c>
      <c r="D316" s="33"/>
      <c r="E316" s="33"/>
      <c r="J316" s="14">
        <f t="shared" si="23"/>
        <v>0</v>
      </c>
      <c r="K316" s="2" t="str">
        <f t="shared" si="24"/>
        <v xml:space="preserve"> </v>
      </c>
      <c r="L316" s="2" t="str">
        <f t="shared" si="21"/>
        <v xml:space="preserve"> </v>
      </c>
      <c r="M316" s="2" t="str">
        <f t="shared" si="22"/>
        <v xml:space="preserve"> </v>
      </c>
    </row>
    <row r="317" spans="1:13" x14ac:dyDescent="0.25">
      <c r="A317" s="34" t="str">
        <f t="shared" si="20"/>
        <v xml:space="preserve"> </v>
      </c>
      <c r="D317" s="33"/>
      <c r="E317" s="33"/>
      <c r="J317" s="14">
        <f t="shared" si="23"/>
        <v>0</v>
      </c>
      <c r="K317" s="2" t="str">
        <f t="shared" si="24"/>
        <v xml:space="preserve"> </v>
      </c>
      <c r="L317" s="2" t="str">
        <f t="shared" si="21"/>
        <v xml:space="preserve"> </v>
      </c>
      <c r="M317" s="2" t="str">
        <f t="shared" si="22"/>
        <v xml:space="preserve"> </v>
      </c>
    </row>
    <row r="318" spans="1:13" x14ac:dyDescent="0.25">
      <c r="A318" s="34" t="str">
        <f t="shared" si="20"/>
        <v xml:space="preserve"> </v>
      </c>
      <c r="D318" s="33"/>
      <c r="E318" s="33"/>
      <c r="J318" s="14">
        <f t="shared" si="23"/>
        <v>0</v>
      </c>
      <c r="K318" s="2" t="str">
        <f t="shared" si="24"/>
        <v xml:space="preserve"> </v>
      </c>
      <c r="L318" s="2" t="str">
        <f t="shared" si="21"/>
        <v xml:space="preserve"> </v>
      </c>
      <c r="M318" s="2" t="str">
        <f t="shared" si="22"/>
        <v xml:space="preserve"> </v>
      </c>
    </row>
    <row r="319" spans="1:13" x14ac:dyDescent="0.25">
      <c r="A319" s="34" t="str">
        <f t="shared" si="20"/>
        <v xml:space="preserve"> </v>
      </c>
      <c r="D319" s="33"/>
      <c r="E319" s="33"/>
      <c r="J319" s="14">
        <f t="shared" si="23"/>
        <v>0</v>
      </c>
      <c r="K319" s="2" t="str">
        <f t="shared" si="24"/>
        <v xml:space="preserve"> </v>
      </c>
      <c r="L319" s="2" t="str">
        <f t="shared" si="21"/>
        <v xml:space="preserve"> </v>
      </c>
      <c r="M319" s="2" t="str">
        <f t="shared" si="22"/>
        <v xml:space="preserve"> </v>
      </c>
    </row>
    <row r="320" spans="1:13" x14ac:dyDescent="0.25">
      <c r="A320" s="34" t="str">
        <f t="shared" si="20"/>
        <v xml:space="preserve"> </v>
      </c>
      <c r="D320" s="33"/>
      <c r="E320" s="33"/>
      <c r="J320" s="14">
        <f t="shared" si="23"/>
        <v>0</v>
      </c>
      <c r="K320" s="2" t="str">
        <f t="shared" si="24"/>
        <v xml:space="preserve"> </v>
      </c>
      <c r="L320" s="2" t="str">
        <f t="shared" si="21"/>
        <v xml:space="preserve"> </v>
      </c>
      <c r="M320" s="2" t="str">
        <f t="shared" si="22"/>
        <v xml:space="preserve"> </v>
      </c>
    </row>
    <row r="321" spans="1:13" x14ac:dyDescent="0.25">
      <c r="A321" s="34" t="str">
        <f t="shared" si="20"/>
        <v xml:space="preserve"> </v>
      </c>
      <c r="D321" s="33"/>
      <c r="E321" s="33"/>
      <c r="J321" s="14">
        <f t="shared" si="23"/>
        <v>0</v>
      </c>
      <c r="K321" s="2" t="str">
        <f t="shared" si="24"/>
        <v xml:space="preserve"> </v>
      </c>
      <c r="L321" s="2" t="str">
        <f t="shared" si="21"/>
        <v xml:space="preserve"> </v>
      </c>
      <c r="M321" s="2" t="str">
        <f t="shared" si="22"/>
        <v xml:space="preserve"> </v>
      </c>
    </row>
    <row r="322" spans="1:13" x14ac:dyDescent="0.25">
      <c r="A322" s="34" t="str">
        <f t="shared" si="20"/>
        <v xml:space="preserve"> </v>
      </c>
      <c r="D322" s="33"/>
      <c r="E322" s="33"/>
      <c r="J322" s="14">
        <f t="shared" si="23"/>
        <v>0</v>
      </c>
      <c r="K322" s="2" t="str">
        <f t="shared" si="24"/>
        <v xml:space="preserve"> </v>
      </c>
      <c r="L322" s="2" t="str">
        <f t="shared" si="21"/>
        <v xml:space="preserve"> </v>
      </c>
      <c r="M322" s="2" t="str">
        <f t="shared" si="22"/>
        <v xml:space="preserve"> </v>
      </c>
    </row>
    <row r="323" spans="1:13" x14ac:dyDescent="0.25">
      <c r="A323" s="34" t="str">
        <f t="shared" si="20"/>
        <v xml:space="preserve"> </v>
      </c>
      <c r="D323" s="33"/>
      <c r="E323" s="33"/>
      <c r="J323" s="14">
        <f t="shared" si="23"/>
        <v>0</v>
      </c>
      <c r="K323" s="2" t="str">
        <f t="shared" si="24"/>
        <v xml:space="preserve"> </v>
      </c>
      <c r="L323" s="2" t="str">
        <f t="shared" si="21"/>
        <v xml:space="preserve"> </v>
      </c>
      <c r="M323" s="2" t="str">
        <f t="shared" si="22"/>
        <v xml:space="preserve"> </v>
      </c>
    </row>
    <row r="324" spans="1:13" x14ac:dyDescent="0.25">
      <c r="A324" s="34" t="str">
        <f t="shared" si="20"/>
        <v xml:space="preserve"> </v>
      </c>
      <c r="D324" s="33"/>
      <c r="E324" s="33"/>
      <c r="J324" s="14">
        <f t="shared" si="23"/>
        <v>0</v>
      </c>
      <c r="K324" s="2" t="str">
        <f t="shared" si="24"/>
        <v xml:space="preserve"> </v>
      </c>
      <c r="L324" s="2" t="str">
        <f t="shared" si="21"/>
        <v xml:space="preserve"> </v>
      </c>
      <c r="M324" s="2" t="str">
        <f t="shared" si="22"/>
        <v xml:space="preserve"> </v>
      </c>
    </row>
    <row r="325" spans="1:13" x14ac:dyDescent="0.25">
      <c r="A325" s="34" t="str">
        <f t="shared" si="20"/>
        <v xml:space="preserve"> </v>
      </c>
      <c r="D325" s="33"/>
      <c r="E325" s="33"/>
      <c r="J325" s="14">
        <f t="shared" si="23"/>
        <v>0</v>
      </c>
      <c r="K325" s="2" t="str">
        <f t="shared" si="24"/>
        <v xml:space="preserve"> </v>
      </c>
      <c r="L325" s="2" t="str">
        <f t="shared" si="21"/>
        <v xml:space="preserve"> </v>
      </c>
      <c r="M325" s="2" t="str">
        <f t="shared" si="22"/>
        <v xml:space="preserve"> </v>
      </c>
    </row>
    <row r="326" spans="1:13" x14ac:dyDescent="0.25">
      <c r="A326" s="34" t="str">
        <f t="shared" si="20"/>
        <v xml:space="preserve"> </v>
      </c>
      <c r="D326" s="33"/>
      <c r="E326" s="33"/>
      <c r="J326" s="14">
        <f t="shared" si="23"/>
        <v>0</v>
      </c>
      <c r="K326" s="2" t="str">
        <f t="shared" si="24"/>
        <v xml:space="preserve"> </v>
      </c>
      <c r="L326" s="2" t="str">
        <f t="shared" si="21"/>
        <v xml:space="preserve"> </v>
      </c>
      <c r="M326" s="2" t="str">
        <f t="shared" si="22"/>
        <v xml:space="preserve"> </v>
      </c>
    </row>
    <row r="327" spans="1:13" x14ac:dyDescent="0.25">
      <c r="A327" s="34" t="str">
        <f t="shared" si="20"/>
        <v xml:space="preserve"> </v>
      </c>
      <c r="D327" s="33"/>
      <c r="E327" s="33"/>
      <c r="J327" s="14">
        <f t="shared" si="23"/>
        <v>0</v>
      </c>
      <c r="K327" s="2" t="str">
        <f t="shared" si="24"/>
        <v xml:space="preserve"> </v>
      </c>
      <c r="L327" s="2" t="str">
        <f t="shared" si="21"/>
        <v xml:space="preserve"> </v>
      </c>
      <c r="M327" s="2" t="str">
        <f t="shared" si="22"/>
        <v xml:space="preserve"> </v>
      </c>
    </row>
    <row r="328" spans="1:13" x14ac:dyDescent="0.25">
      <c r="A328" s="34" t="str">
        <f t="shared" si="20"/>
        <v xml:space="preserve"> </v>
      </c>
      <c r="D328" s="33"/>
      <c r="E328" s="33"/>
      <c r="J328" s="14">
        <f t="shared" si="23"/>
        <v>0</v>
      </c>
      <c r="K328" s="2" t="str">
        <f t="shared" si="24"/>
        <v xml:space="preserve"> </v>
      </c>
      <c r="L328" s="2" t="str">
        <f t="shared" si="21"/>
        <v xml:space="preserve"> </v>
      </c>
      <c r="M328" s="2" t="str">
        <f t="shared" si="22"/>
        <v xml:space="preserve"> </v>
      </c>
    </row>
    <row r="329" spans="1:13" x14ac:dyDescent="0.25">
      <c r="A329" s="34" t="str">
        <f t="shared" si="20"/>
        <v xml:space="preserve"> </v>
      </c>
      <c r="D329" s="33"/>
      <c r="E329" s="33"/>
      <c r="J329" s="14">
        <f t="shared" si="23"/>
        <v>0</v>
      </c>
      <c r="K329" s="2" t="str">
        <f t="shared" si="24"/>
        <v xml:space="preserve"> </v>
      </c>
      <c r="L329" s="2" t="str">
        <f t="shared" si="21"/>
        <v xml:space="preserve"> </v>
      </c>
      <c r="M329" s="2" t="str">
        <f t="shared" si="22"/>
        <v xml:space="preserve"> </v>
      </c>
    </row>
    <row r="330" spans="1:13" x14ac:dyDescent="0.25">
      <c r="A330" s="34" t="str">
        <f t="shared" si="20"/>
        <v xml:space="preserve"> </v>
      </c>
      <c r="D330" s="33"/>
      <c r="E330" s="33"/>
      <c r="J330" s="14">
        <f t="shared" si="23"/>
        <v>0</v>
      </c>
      <c r="K330" s="2" t="str">
        <f t="shared" si="24"/>
        <v xml:space="preserve"> </v>
      </c>
      <c r="L330" s="2" t="str">
        <f t="shared" si="21"/>
        <v xml:space="preserve"> </v>
      </c>
      <c r="M330" s="2" t="str">
        <f t="shared" si="22"/>
        <v xml:space="preserve"> </v>
      </c>
    </row>
    <row r="331" spans="1:13" x14ac:dyDescent="0.25">
      <c r="A331" s="34" t="str">
        <f t="shared" si="20"/>
        <v xml:space="preserve"> </v>
      </c>
      <c r="D331" s="33"/>
      <c r="E331" s="33"/>
      <c r="J331" s="14">
        <f t="shared" si="23"/>
        <v>0</v>
      </c>
      <c r="K331" s="2" t="str">
        <f t="shared" si="24"/>
        <v xml:space="preserve"> </v>
      </c>
      <c r="L331" s="2" t="str">
        <f t="shared" si="21"/>
        <v xml:space="preserve"> </v>
      </c>
      <c r="M331" s="2" t="str">
        <f t="shared" si="22"/>
        <v xml:space="preserve"> </v>
      </c>
    </row>
    <row r="332" spans="1:13" x14ac:dyDescent="0.25">
      <c r="A332" s="34" t="str">
        <f t="shared" si="20"/>
        <v xml:space="preserve"> </v>
      </c>
      <c r="D332" s="33"/>
      <c r="E332" s="33"/>
      <c r="J332" s="14">
        <f t="shared" si="23"/>
        <v>0</v>
      </c>
      <c r="K332" s="2" t="str">
        <f t="shared" si="24"/>
        <v xml:space="preserve"> </v>
      </c>
      <c r="L332" s="2" t="str">
        <f t="shared" si="21"/>
        <v xml:space="preserve"> </v>
      </c>
      <c r="M332" s="2" t="str">
        <f t="shared" si="22"/>
        <v xml:space="preserve"> </v>
      </c>
    </row>
    <row r="333" spans="1:13" x14ac:dyDescent="0.25">
      <c r="A333" s="34" t="str">
        <f t="shared" si="20"/>
        <v xml:space="preserve"> </v>
      </c>
      <c r="D333" s="33"/>
      <c r="E333" s="33"/>
      <c r="J333" s="14">
        <f t="shared" si="23"/>
        <v>0</v>
      </c>
      <c r="K333" s="2" t="str">
        <f t="shared" si="24"/>
        <v xml:space="preserve"> </v>
      </c>
      <c r="L333" s="2" t="str">
        <f t="shared" si="21"/>
        <v xml:space="preserve"> </v>
      </c>
      <c r="M333" s="2" t="str">
        <f t="shared" si="22"/>
        <v xml:space="preserve"> </v>
      </c>
    </row>
    <row r="334" spans="1:13" x14ac:dyDescent="0.25">
      <c r="A334" s="34" t="str">
        <f t="shared" si="20"/>
        <v xml:space="preserve"> </v>
      </c>
      <c r="D334" s="33"/>
      <c r="E334" s="33"/>
      <c r="J334" s="14">
        <f t="shared" si="23"/>
        <v>0</v>
      </c>
      <c r="K334" s="2" t="str">
        <f t="shared" si="24"/>
        <v xml:space="preserve"> </v>
      </c>
      <c r="L334" s="2" t="str">
        <f t="shared" si="21"/>
        <v xml:space="preserve"> </v>
      </c>
      <c r="M334" s="2" t="str">
        <f t="shared" si="22"/>
        <v xml:space="preserve"> </v>
      </c>
    </row>
    <row r="335" spans="1:13" x14ac:dyDescent="0.25">
      <c r="A335" s="34" t="str">
        <f t="shared" ref="A335:A398" si="25">IF(COUNTIF(K335:M335,"ERROR")&gt;0,"ERROR"," ")</f>
        <v xml:space="preserve"> </v>
      </c>
      <c r="D335" s="33"/>
      <c r="E335" s="33"/>
      <c r="J335" s="14">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x14ac:dyDescent="0.25">
      <c r="A336" s="34" t="str">
        <f t="shared" si="25"/>
        <v xml:space="preserve"> </v>
      </c>
      <c r="D336" s="33"/>
      <c r="E336" s="33"/>
      <c r="J336" s="14">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4" t="str">
        <f t="shared" si="25"/>
        <v xml:space="preserve"> </v>
      </c>
      <c r="D337" s="33"/>
      <c r="E337" s="33"/>
      <c r="J337" s="14">
        <f t="shared" si="28"/>
        <v>0</v>
      </c>
      <c r="K337" s="2" t="str">
        <f t="shared" si="29"/>
        <v xml:space="preserve"> </v>
      </c>
      <c r="L337" s="2" t="str">
        <f t="shared" si="26"/>
        <v xml:space="preserve"> </v>
      </c>
      <c r="M337" s="2" t="str">
        <f t="shared" si="27"/>
        <v xml:space="preserve"> </v>
      </c>
    </row>
    <row r="338" spans="1:13" x14ac:dyDescent="0.25">
      <c r="A338" s="34" t="str">
        <f t="shared" si="25"/>
        <v xml:space="preserve"> </v>
      </c>
      <c r="D338" s="33"/>
      <c r="E338" s="33"/>
      <c r="J338" s="14">
        <f t="shared" si="28"/>
        <v>0</v>
      </c>
      <c r="K338" s="2" t="str">
        <f t="shared" si="29"/>
        <v xml:space="preserve"> </v>
      </c>
      <c r="L338" s="2" t="str">
        <f t="shared" si="26"/>
        <v xml:space="preserve"> </v>
      </c>
      <c r="M338" s="2" t="str">
        <f t="shared" si="27"/>
        <v xml:space="preserve"> </v>
      </c>
    </row>
    <row r="339" spans="1:13" x14ac:dyDescent="0.25">
      <c r="A339" s="34" t="str">
        <f t="shared" si="25"/>
        <v xml:space="preserve"> </v>
      </c>
      <c r="D339" s="33"/>
      <c r="E339" s="33"/>
      <c r="J339" s="14">
        <f t="shared" si="28"/>
        <v>0</v>
      </c>
      <c r="K339" s="2" t="str">
        <f t="shared" si="29"/>
        <v xml:space="preserve"> </v>
      </c>
      <c r="L339" s="2" t="str">
        <f t="shared" si="26"/>
        <v xml:space="preserve"> </v>
      </c>
      <c r="M339" s="2" t="str">
        <f t="shared" si="27"/>
        <v xml:space="preserve"> </v>
      </c>
    </row>
    <row r="340" spans="1:13" x14ac:dyDescent="0.25">
      <c r="A340" s="34" t="str">
        <f t="shared" si="25"/>
        <v xml:space="preserve"> </v>
      </c>
      <c r="D340" s="33"/>
      <c r="E340" s="33"/>
      <c r="J340" s="14">
        <f t="shared" si="28"/>
        <v>0</v>
      </c>
      <c r="K340" s="2" t="str">
        <f t="shared" si="29"/>
        <v xml:space="preserve"> </v>
      </c>
      <c r="L340" s="2" t="str">
        <f t="shared" si="26"/>
        <v xml:space="preserve"> </v>
      </c>
      <c r="M340" s="2" t="str">
        <f t="shared" si="27"/>
        <v xml:space="preserve"> </v>
      </c>
    </row>
    <row r="341" spans="1:13" x14ac:dyDescent="0.25">
      <c r="A341" s="34" t="str">
        <f t="shared" si="25"/>
        <v xml:space="preserve"> </v>
      </c>
      <c r="D341" s="33"/>
      <c r="E341" s="33"/>
      <c r="J341" s="14">
        <f t="shared" si="28"/>
        <v>0</v>
      </c>
      <c r="K341" s="2" t="str">
        <f t="shared" si="29"/>
        <v xml:space="preserve"> </v>
      </c>
      <c r="L341" s="2" t="str">
        <f t="shared" si="26"/>
        <v xml:space="preserve"> </v>
      </c>
      <c r="M341" s="2" t="str">
        <f t="shared" si="27"/>
        <v xml:space="preserve"> </v>
      </c>
    </row>
    <row r="342" spans="1:13" x14ac:dyDescent="0.25">
      <c r="A342" s="34" t="str">
        <f t="shared" si="25"/>
        <v xml:space="preserve"> </v>
      </c>
      <c r="D342" s="33"/>
      <c r="E342" s="33"/>
      <c r="J342" s="14">
        <f t="shared" si="28"/>
        <v>0</v>
      </c>
      <c r="K342" s="2" t="str">
        <f t="shared" si="29"/>
        <v xml:space="preserve"> </v>
      </c>
      <c r="L342" s="2" t="str">
        <f t="shared" si="26"/>
        <v xml:space="preserve"> </v>
      </c>
      <c r="M342" s="2" t="str">
        <f t="shared" si="27"/>
        <v xml:space="preserve"> </v>
      </c>
    </row>
    <row r="343" spans="1:13" x14ac:dyDescent="0.25">
      <c r="A343" s="34" t="str">
        <f t="shared" si="25"/>
        <v xml:space="preserve"> </v>
      </c>
      <c r="D343" s="33"/>
      <c r="E343" s="33"/>
      <c r="J343" s="14">
        <f t="shared" si="28"/>
        <v>0</v>
      </c>
      <c r="K343" s="2" t="str">
        <f t="shared" si="29"/>
        <v xml:space="preserve"> </v>
      </c>
      <c r="L343" s="2" t="str">
        <f t="shared" si="26"/>
        <v xml:space="preserve"> </v>
      </c>
      <c r="M343" s="2" t="str">
        <f t="shared" si="27"/>
        <v xml:space="preserve"> </v>
      </c>
    </row>
    <row r="344" spans="1:13" x14ac:dyDescent="0.25">
      <c r="A344" s="34" t="str">
        <f t="shared" si="25"/>
        <v xml:space="preserve"> </v>
      </c>
      <c r="D344" s="33"/>
      <c r="E344" s="33"/>
      <c r="J344" s="14">
        <f t="shared" si="28"/>
        <v>0</v>
      </c>
      <c r="K344" s="2" t="str">
        <f t="shared" si="29"/>
        <v xml:space="preserve"> </v>
      </c>
      <c r="L344" s="2" t="str">
        <f t="shared" si="26"/>
        <v xml:space="preserve"> </v>
      </c>
      <c r="M344" s="2" t="str">
        <f t="shared" si="27"/>
        <v xml:space="preserve"> </v>
      </c>
    </row>
    <row r="345" spans="1:13" x14ac:dyDescent="0.25">
      <c r="A345" s="34" t="str">
        <f t="shared" si="25"/>
        <v xml:space="preserve"> </v>
      </c>
      <c r="D345" s="33"/>
      <c r="E345" s="33"/>
      <c r="J345" s="14">
        <f t="shared" si="28"/>
        <v>0</v>
      </c>
      <c r="K345" s="2" t="str">
        <f t="shared" si="29"/>
        <v xml:space="preserve"> </v>
      </c>
      <c r="L345" s="2" t="str">
        <f t="shared" si="26"/>
        <v xml:space="preserve"> </v>
      </c>
      <c r="M345" s="2" t="str">
        <f t="shared" si="27"/>
        <v xml:space="preserve"> </v>
      </c>
    </row>
    <row r="346" spans="1:13" x14ac:dyDescent="0.25">
      <c r="A346" s="34" t="str">
        <f t="shared" si="25"/>
        <v xml:space="preserve"> </v>
      </c>
      <c r="D346" s="33"/>
      <c r="E346" s="33"/>
      <c r="J346" s="14">
        <f t="shared" si="28"/>
        <v>0</v>
      </c>
      <c r="K346" s="2" t="str">
        <f t="shared" si="29"/>
        <v xml:space="preserve"> </v>
      </c>
      <c r="L346" s="2" t="str">
        <f t="shared" si="26"/>
        <v xml:space="preserve"> </v>
      </c>
      <c r="M346" s="2" t="str">
        <f t="shared" si="27"/>
        <v xml:space="preserve"> </v>
      </c>
    </row>
    <row r="347" spans="1:13" x14ac:dyDescent="0.25">
      <c r="A347" s="34" t="str">
        <f t="shared" si="25"/>
        <v xml:space="preserve"> </v>
      </c>
      <c r="D347" s="33"/>
      <c r="E347" s="33"/>
      <c r="J347" s="14">
        <f t="shared" si="28"/>
        <v>0</v>
      </c>
      <c r="K347" s="2" t="str">
        <f t="shared" si="29"/>
        <v xml:space="preserve"> </v>
      </c>
      <c r="L347" s="2" t="str">
        <f t="shared" si="26"/>
        <v xml:space="preserve"> </v>
      </c>
      <c r="M347" s="2" t="str">
        <f t="shared" si="27"/>
        <v xml:space="preserve"> </v>
      </c>
    </row>
    <row r="348" spans="1:13" x14ac:dyDescent="0.25">
      <c r="A348" s="34" t="str">
        <f t="shared" si="25"/>
        <v xml:space="preserve"> </v>
      </c>
      <c r="D348" s="33"/>
      <c r="E348" s="33"/>
      <c r="J348" s="14">
        <f t="shared" si="28"/>
        <v>0</v>
      </c>
      <c r="K348" s="2" t="str">
        <f t="shared" si="29"/>
        <v xml:space="preserve"> </v>
      </c>
      <c r="L348" s="2" t="str">
        <f t="shared" si="26"/>
        <v xml:space="preserve"> </v>
      </c>
      <c r="M348" s="2" t="str">
        <f t="shared" si="27"/>
        <v xml:space="preserve"> </v>
      </c>
    </row>
    <row r="349" spans="1:13" x14ac:dyDescent="0.25">
      <c r="A349" s="34" t="str">
        <f t="shared" si="25"/>
        <v xml:space="preserve"> </v>
      </c>
      <c r="D349" s="33"/>
      <c r="E349" s="33"/>
      <c r="J349" s="14">
        <f t="shared" si="28"/>
        <v>0</v>
      </c>
      <c r="K349" s="2" t="str">
        <f t="shared" si="29"/>
        <v xml:space="preserve"> </v>
      </c>
      <c r="L349" s="2" t="str">
        <f t="shared" si="26"/>
        <v xml:space="preserve"> </v>
      </c>
      <c r="M349" s="2" t="str">
        <f t="shared" si="27"/>
        <v xml:space="preserve"> </v>
      </c>
    </row>
    <row r="350" spans="1:13" x14ac:dyDescent="0.25">
      <c r="A350" s="34" t="str">
        <f t="shared" si="25"/>
        <v xml:space="preserve"> </v>
      </c>
      <c r="D350" s="33"/>
      <c r="E350" s="33"/>
      <c r="J350" s="14">
        <f t="shared" si="28"/>
        <v>0</v>
      </c>
      <c r="K350" s="2" t="str">
        <f t="shared" si="29"/>
        <v xml:space="preserve"> </v>
      </c>
      <c r="L350" s="2" t="str">
        <f t="shared" si="26"/>
        <v xml:space="preserve"> </v>
      </c>
      <c r="M350" s="2" t="str">
        <f t="shared" si="27"/>
        <v xml:space="preserve"> </v>
      </c>
    </row>
    <row r="351" spans="1:13" x14ac:dyDescent="0.25">
      <c r="A351" s="34" t="str">
        <f t="shared" si="25"/>
        <v xml:space="preserve"> </v>
      </c>
      <c r="D351" s="33"/>
      <c r="E351" s="33"/>
      <c r="J351" s="14">
        <f t="shared" si="28"/>
        <v>0</v>
      </c>
      <c r="K351" s="2" t="str">
        <f t="shared" si="29"/>
        <v xml:space="preserve"> </v>
      </c>
      <c r="L351" s="2" t="str">
        <f t="shared" si="26"/>
        <v xml:space="preserve"> </v>
      </c>
      <c r="M351" s="2" t="str">
        <f t="shared" si="27"/>
        <v xml:space="preserve"> </v>
      </c>
    </row>
    <row r="352" spans="1:13" x14ac:dyDescent="0.25">
      <c r="A352" s="34" t="str">
        <f t="shared" si="25"/>
        <v xml:space="preserve"> </v>
      </c>
      <c r="D352" s="33"/>
      <c r="E352" s="33"/>
      <c r="J352" s="14">
        <f t="shared" si="28"/>
        <v>0</v>
      </c>
      <c r="K352" s="2" t="str">
        <f t="shared" si="29"/>
        <v xml:space="preserve"> </v>
      </c>
      <c r="L352" s="2" t="str">
        <f t="shared" si="26"/>
        <v xml:space="preserve"> </v>
      </c>
      <c r="M352" s="2" t="str">
        <f t="shared" si="27"/>
        <v xml:space="preserve"> </v>
      </c>
    </row>
    <row r="353" spans="1:13" x14ac:dyDescent="0.25">
      <c r="A353" s="34" t="str">
        <f t="shared" si="25"/>
        <v xml:space="preserve"> </v>
      </c>
      <c r="D353" s="33"/>
      <c r="E353" s="33"/>
      <c r="J353" s="14">
        <f t="shared" si="28"/>
        <v>0</v>
      </c>
      <c r="K353" s="2" t="str">
        <f t="shared" si="29"/>
        <v xml:space="preserve"> </v>
      </c>
      <c r="L353" s="2" t="str">
        <f t="shared" si="26"/>
        <v xml:space="preserve"> </v>
      </c>
      <c r="M353" s="2" t="str">
        <f t="shared" si="27"/>
        <v xml:space="preserve"> </v>
      </c>
    </row>
    <row r="354" spans="1:13" x14ac:dyDescent="0.25">
      <c r="A354" s="34" t="str">
        <f t="shared" si="25"/>
        <v xml:space="preserve"> </v>
      </c>
      <c r="D354" s="33"/>
      <c r="E354" s="33"/>
      <c r="J354" s="14">
        <f t="shared" si="28"/>
        <v>0</v>
      </c>
      <c r="K354" s="2" t="str">
        <f t="shared" si="29"/>
        <v xml:space="preserve"> </v>
      </c>
      <c r="L354" s="2" t="str">
        <f t="shared" si="26"/>
        <v xml:space="preserve"> </v>
      </c>
      <c r="M354" s="2" t="str">
        <f t="shared" si="27"/>
        <v xml:space="preserve"> </v>
      </c>
    </row>
    <row r="355" spans="1:13" x14ac:dyDescent="0.25">
      <c r="A355" s="34" t="str">
        <f t="shared" si="25"/>
        <v xml:space="preserve"> </v>
      </c>
      <c r="D355" s="33"/>
      <c r="E355" s="33"/>
      <c r="J355" s="14">
        <f t="shared" si="28"/>
        <v>0</v>
      </c>
      <c r="K355" s="2" t="str">
        <f t="shared" si="29"/>
        <v xml:space="preserve"> </v>
      </c>
      <c r="L355" s="2" t="str">
        <f t="shared" si="26"/>
        <v xml:space="preserve"> </v>
      </c>
      <c r="M355" s="2" t="str">
        <f t="shared" si="27"/>
        <v xml:space="preserve"> </v>
      </c>
    </row>
    <row r="356" spans="1:13" x14ac:dyDescent="0.25">
      <c r="A356" s="34" t="str">
        <f t="shared" si="25"/>
        <v xml:space="preserve"> </v>
      </c>
      <c r="D356" s="33"/>
      <c r="E356" s="33"/>
      <c r="J356" s="14">
        <f t="shared" si="28"/>
        <v>0</v>
      </c>
      <c r="K356" s="2" t="str">
        <f t="shared" si="29"/>
        <v xml:space="preserve"> </v>
      </c>
      <c r="L356" s="2" t="str">
        <f t="shared" si="26"/>
        <v xml:space="preserve"> </v>
      </c>
      <c r="M356" s="2" t="str">
        <f t="shared" si="27"/>
        <v xml:space="preserve"> </v>
      </c>
    </row>
    <row r="357" spans="1:13" x14ac:dyDescent="0.25">
      <c r="A357" s="34" t="str">
        <f t="shared" si="25"/>
        <v xml:space="preserve"> </v>
      </c>
      <c r="D357" s="33"/>
      <c r="E357" s="33"/>
      <c r="J357" s="14">
        <f t="shared" si="28"/>
        <v>0</v>
      </c>
      <c r="K357" s="2" t="str">
        <f t="shared" si="29"/>
        <v xml:space="preserve"> </v>
      </c>
      <c r="L357" s="2" t="str">
        <f t="shared" si="26"/>
        <v xml:space="preserve"> </v>
      </c>
      <c r="M357" s="2" t="str">
        <f t="shared" si="27"/>
        <v xml:space="preserve"> </v>
      </c>
    </row>
    <row r="358" spans="1:13" x14ac:dyDescent="0.25">
      <c r="A358" s="34" t="str">
        <f t="shared" si="25"/>
        <v xml:space="preserve"> </v>
      </c>
      <c r="D358" s="33"/>
      <c r="E358" s="33"/>
      <c r="J358" s="14">
        <f t="shared" si="28"/>
        <v>0</v>
      </c>
      <c r="K358" s="2" t="str">
        <f t="shared" si="29"/>
        <v xml:space="preserve"> </v>
      </c>
      <c r="L358" s="2" t="str">
        <f t="shared" si="26"/>
        <v xml:space="preserve"> </v>
      </c>
      <c r="M358" s="2" t="str">
        <f t="shared" si="27"/>
        <v xml:space="preserve"> </v>
      </c>
    </row>
    <row r="359" spans="1:13" x14ac:dyDescent="0.25">
      <c r="A359" s="34" t="str">
        <f t="shared" si="25"/>
        <v xml:space="preserve"> </v>
      </c>
      <c r="D359" s="33"/>
      <c r="E359" s="33"/>
      <c r="J359" s="14">
        <f t="shared" si="28"/>
        <v>0</v>
      </c>
      <c r="K359" s="2" t="str">
        <f t="shared" si="29"/>
        <v xml:space="preserve"> </v>
      </c>
      <c r="L359" s="2" t="str">
        <f t="shared" si="26"/>
        <v xml:space="preserve"> </v>
      </c>
      <c r="M359" s="2" t="str">
        <f t="shared" si="27"/>
        <v xml:space="preserve"> </v>
      </c>
    </row>
    <row r="360" spans="1:13" x14ac:dyDescent="0.25">
      <c r="A360" s="34" t="str">
        <f t="shared" si="25"/>
        <v xml:space="preserve"> </v>
      </c>
      <c r="D360" s="33"/>
      <c r="E360" s="33"/>
      <c r="J360" s="14">
        <f t="shared" si="28"/>
        <v>0</v>
      </c>
      <c r="K360" s="2" t="str">
        <f t="shared" si="29"/>
        <v xml:space="preserve"> </v>
      </c>
      <c r="L360" s="2" t="str">
        <f t="shared" si="26"/>
        <v xml:space="preserve"> </v>
      </c>
      <c r="M360" s="2" t="str">
        <f t="shared" si="27"/>
        <v xml:space="preserve"> </v>
      </c>
    </row>
    <row r="361" spans="1:13" x14ac:dyDescent="0.25">
      <c r="A361" s="34" t="str">
        <f t="shared" si="25"/>
        <v xml:space="preserve"> </v>
      </c>
      <c r="D361" s="33"/>
      <c r="E361" s="33"/>
      <c r="J361" s="14">
        <f t="shared" si="28"/>
        <v>0</v>
      </c>
      <c r="K361" s="2" t="str">
        <f t="shared" si="29"/>
        <v xml:space="preserve"> </v>
      </c>
      <c r="L361" s="2" t="str">
        <f t="shared" si="26"/>
        <v xml:space="preserve"> </v>
      </c>
      <c r="M361" s="2" t="str">
        <f t="shared" si="27"/>
        <v xml:space="preserve"> </v>
      </c>
    </row>
    <row r="362" spans="1:13" x14ac:dyDescent="0.25">
      <c r="A362" s="34" t="str">
        <f t="shared" si="25"/>
        <v xml:space="preserve"> </v>
      </c>
      <c r="D362" s="33"/>
      <c r="E362" s="33"/>
      <c r="J362" s="14">
        <f t="shared" si="28"/>
        <v>0</v>
      </c>
      <c r="K362" s="2" t="str">
        <f t="shared" si="29"/>
        <v xml:space="preserve"> </v>
      </c>
      <c r="L362" s="2" t="str">
        <f t="shared" si="26"/>
        <v xml:space="preserve"> </v>
      </c>
      <c r="M362" s="2" t="str">
        <f t="shared" si="27"/>
        <v xml:space="preserve"> </v>
      </c>
    </row>
    <row r="363" spans="1:13" x14ac:dyDescent="0.25">
      <c r="A363" s="34" t="str">
        <f t="shared" si="25"/>
        <v xml:space="preserve"> </v>
      </c>
      <c r="D363" s="33"/>
      <c r="E363" s="33"/>
      <c r="J363" s="14">
        <f t="shared" si="28"/>
        <v>0</v>
      </c>
      <c r="K363" s="2" t="str">
        <f t="shared" si="29"/>
        <v xml:space="preserve"> </v>
      </c>
      <c r="L363" s="2" t="str">
        <f t="shared" si="26"/>
        <v xml:space="preserve"> </v>
      </c>
      <c r="M363" s="2" t="str">
        <f t="shared" si="27"/>
        <v xml:space="preserve"> </v>
      </c>
    </row>
    <row r="364" spans="1:13" x14ac:dyDescent="0.25">
      <c r="A364" s="34" t="str">
        <f t="shared" si="25"/>
        <v xml:space="preserve"> </v>
      </c>
      <c r="D364" s="33"/>
      <c r="E364" s="33"/>
      <c r="J364" s="14">
        <f t="shared" si="28"/>
        <v>0</v>
      </c>
      <c r="K364" s="2" t="str">
        <f t="shared" si="29"/>
        <v xml:space="preserve"> </v>
      </c>
      <c r="L364" s="2" t="str">
        <f t="shared" si="26"/>
        <v xml:space="preserve"> </v>
      </c>
      <c r="M364" s="2" t="str">
        <f t="shared" si="27"/>
        <v xml:space="preserve"> </v>
      </c>
    </row>
    <row r="365" spans="1:13" x14ac:dyDescent="0.25">
      <c r="A365" s="34" t="str">
        <f t="shared" si="25"/>
        <v xml:space="preserve"> </v>
      </c>
      <c r="D365" s="33"/>
      <c r="E365" s="33"/>
      <c r="J365" s="14">
        <f t="shared" si="28"/>
        <v>0</v>
      </c>
      <c r="K365" s="2" t="str">
        <f t="shared" si="29"/>
        <v xml:space="preserve"> </v>
      </c>
      <c r="L365" s="2" t="str">
        <f t="shared" si="26"/>
        <v xml:space="preserve"> </v>
      </c>
      <c r="M365" s="2" t="str">
        <f t="shared" si="27"/>
        <v xml:space="preserve"> </v>
      </c>
    </row>
    <row r="366" spans="1:13" x14ac:dyDescent="0.25">
      <c r="A366" s="34" t="str">
        <f t="shared" si="25"/>
        <v xml:space="preserve"> </v>
      </c>
      <c r="D366" s="33"/>
      <c r="E366" s="33"/>
      <c r="J366" s="14">
        <f t="shared" si="28"/>
        <v>0</v>
      </c>
      <c r="K366" s="2" t="str">
        <f t="shared" si="29"/>
        <v xml:space="preserve"> </v>
      </c>
      <c r="L366" s="2" t="str">
        <f t="shared" si="26"/>
        <v xml:space="preserve"> </v>
      </c>
      <c r="M366" s="2" t="str">
        <f t="shared" si="27"/>
        <v xml:space="preserve"> </v>
      </c>
    </row>
    <row r="367" spans="1:13" x14ac:dyDescent="0.25">
      <c r="A367" s="34" t="str">
        <f t="shared" si="25"/>
        <v xml:space="preserve"> </v>
      </c>
      <c r="D367" s="33"/>
      <c r="E367" s="33"/>
      <c r="J367" s="14">
        <f t="shared" si="28"/>
        <v>0</v>
      </c>
      <c r="K367" s="2" t="str">
        <f t="shared" si="29"/>
        <v xml:space="preserve"> </v>
      </c>
      <c r="L367" s="2" t="str">
        <f t="shared" si="26"/>
        <v xml:space="preserve"> </v>
      </c>
      <c r="M367" s="2" t="str">
        <f t="shared" si="27"/>
        <v xml:space="preserve"> </v>
      </c>
    </row>
    <row r="368" spans="1:13" x14ac:dyDescent="0.25">
      <c r="A368" s="34" t="str">
        <f t="shared" si="25"/>
        <v xml:space="preserve"> </v>
      </c>
      <c r="D368" s="33"/>
      <c r="E368" s="33"/>
      <c r="J368" s="14">
        <f t="shared" si="28"/>
        <v>0</v>
      </c>
      <c r="K368" s="2" t="str">
        <f t="shared" si="29"/>
        <v xml:space="preserve"> </v>
      </c>
      <c r="L368" s="2" t="str">
        <f t="shared" si="26"/>
        <v xml:space="preserve"> </v>
      </c>
      <c r="M368" s="2" t="str">
        <f t="shared" si="27"/>
        <v xml:space="preserve"> </v>
      </c>
    </row>
    <row r="369" spans="1:13" x14ac:dyDescent="0.25">
      <c r="A369" s="34" t="str">
        <f t="shared" si="25"/>
        <v xml:space="preserve"> </v>
      </c>
      <c r="D369" s="33"/>
      <c r="E369" s="33"/>
      <c r="J369" s="14">
        <f t="shared" si="28"/>
        <v>0</v>
      </c>
      <c r="K369" s="2" t="str">
        <f t="shared" si="29"/>
        <v xml:space="preserve"> </v>
      </c>
      <c r="L369" s="2" t="str">
        <f t="shared" si="26"/>
        <v xml:space="preserve"> </v>
      </c>
      <c r="M369" s="2" t="str">
        <f t="shared" si="27"/>
        <v xml:space="preserve"> </v>
      </c>
    </row>
    <row r="370" spans="1:13" x14ac:dyDescent="0.25">
      <c r="A370" s="34" t="str">
        <f t="shared" si="25"/>
        <v xml:space="preserve"> </v>
      </c>
      <c r="D370" s="33"/>
      <c r="E370" s="33"/>
      <c r="J370" s="14">
        <f t="shared" si="28"/>
        <v>0</v>
      </c>
      <c r="K370" s="2" t="str">
        <f t="shared" si="29"/>
        <v xml:space="preserve"> </v>
      </c>
      <c r="L370" s="2" t="str">
        <f t="shared" si="26"/>
        <v xml:space="preserve"> </v>
      </c>
      <c r="M370" s="2" t="str">
        <f t="shared" si="27"/>
        <v xml:space="preserve"> </v>
      </c>
    </row>
    <row r="371" spans="1:13" x14ac:dyDescent="0.25">
      <c r="A371" s="34" t="str">
        <f t="shared" si="25"/>
        <v xml:space="preserve"> </v>
      </c>
      <c r="D371" s="33"/>
      <c r="E371" s="33"/>
      <c r="J371" s="14">
        <f t="shared" si="28"/>
        <v>0</v>
      </c>
      <c r="K371" s="2" t="str">
        <f t="shared" si="29"/>
        <v xml:space="preserve"> </v>
      </c>
      <c r="L371" s="2" t="str">
        <f t="shared" si="26"/>
        <v xml:space="preserve"> </v>
      </c>
      <c r="M371" s="2" t="str">
        <f t="shared" si="27"/>
        <v xml:space="preserve"> </v>
      </c>
    </row>
    <row r="372" spans="1:13" x14ac:dyDescent="0.25">
      <c r="A372" s="34" t="str">
        <f t="shared" si="25"/>
        <v xml:space="preserve"> </v>
      </c>
      <c r="D372" s="33"/>
      <c r="E372" s="33"/>
      <c r="J372" s="14">
        <f t="shared" si="28"/>
        <v>0</v>
      </c>
      <c r="K372" s="2" t="str">
        <f t="shared" si="29"/>
        <v xml:space="preserve"> </v>
      </c>
      <c r="L372" s="2" t="str">
        <f t="shared" si="26"/>
        <v xml:space="preserve"> </v>
      </c>
      <c r="M372" s="2" t="str">
        <f t="shared" si="27"/>
        <v xml:space="preserve"> </v>
      </c>
    </row>
    <row r="373" spans="1:13" x14ac:dyDescent="0.25">
      <c r="A373" s="34" t="str">
        <f t="shared" si="25"/>
        <v xml:space="preserve"> </v>
      </c>
      <c r="D373" s="33"/>
      <c r="E373" s="33"/>
      <c r="J373" s="14">
        <f t="shared" si="28"/>
        <v>0</v>
      </c>
      <c r="K373" s="2" t="str">
        <f t="shared" si="29"/>
        <v xml:space="preserve"> </v>
      </c>
      <c r="L373" s="2" t="str">
        <f t="shared" si="26"/>
        <v xml:space="preserve"> </v>
      </c>
      <c r="M373" s="2" t="str">
        <f t="shared" si="27"/>
        <v xml:space="preserve"> </v>
      </c>
    </row>
    <row r="374" spans="1:13" x14ac:dyDescent="0.25">
      <c r="A374" s="34" t="str">
        <f t="shared" si="25"/>
        <v xml:space="preserve"> </v>
      </c>
      <c r="D374" s="33"/>
      <c r="E374" s="33"/>
      <c r="J374" s="14">
        <f t="shared" si="28"/>
        <v>0</v>
      </c>
      <c r="K374" s="2" t="str">
        <f t="shared" si="29"/>
        <v xml:space="preserve"> </v>
      </c>
      <c r="L374" s="2" t="str">
        <f t="shared" si="26"/>
        <v xml:space="preserve"> </v>
      </c>
      <c r="M374" s="2" t="str">
        <f t="shared" si="27"/>
        <v xml:space="preserve"> </v>
      </c>
    </row>
    <row r="375" spans="1:13" x14ac:dyDescent="0.25">
      <c r="A375" s="34" t="str">
        <f t="shared" si="25"/>
        <v xml:space="preserve"> </v>
      </c>
      <c r="D375" s="33"/>
      <c r="E375" s="33"/>
      <c r="J375" s="14">
        <f t="shared" si="28"/>
        <v>0</v>
      </c>
      <c r="K375" s="2" t="str">
        <f t="shared" si="29"/>
        <v xml:space="preserve"> </v>
      </c>
      <c r="L375" s="2" t="str">
        <f t="shared" si="26"/>
        <v xml:space="preserve"> </v>
      </c>
      <c r="M375" s="2" t="str">
        <f t="shared" si="27"/>
        <v xml:space="preserve"> </v>
      </c>
    </row>
    <row r="376" spans="1:13" x14ac:dyDescent="0.25">
      <c r="A376" s="34" t="str">
        <f t="shared" si="25"/>
        <v xml:space="preserve"> </v>
      </c>
      <c r="D376" s="33"/>
      <c r="E376" s="33"/>
      <c r="J376" s="14">
        <f t="shared" si="28"/>
        <v>0</v>
      </c>
      <c r="K376" s="2" t="str">
        <f t="shared" si="29"/>
        <v xml:space="preserve"> </v>
      </c>
      <c r="L376" s="2" t="str">
        <f t="shared" si="26"/>
        <v xml:space="preserve"> </v>
      </c>
      <c r="M376" s="2" t="str">
        <f t="shared" si="27"/>
        <v xml:space="preserve"> </v>
      </c>
    </row>
    <row r="377" spans="1:13" x14ac:dyDescent="0.25">
      <c r="A377" s="34" t="str">
        <f t="shared" si="25"/>
        <v xml:space="preserve"> </v>
      </c>
      <c r="D377" s="33"/>
      <c r="E377" s="33"/>
      <c r="J377" s="14">
        <f t="shared" si="28"/>
        <v>0</v>
      </c>
      <c r="K377" s="2" t="str">
        <f t="shared" si="29"/>
        <v xml:space="preserve"> </v>
      </c>
      <c r="L377" s="2" t="str">
        <f t="shared" si="26"/>
        <v xml:space="preserve"> </v>
      </c>
      <c r="M377" s="2" t="str">
        <f t="shared" si="27"/>
        <v xml:space="preserve"> </v>
      </c>
    </row>
    <row r="378" spans="1:13" x14ac:dyDescent="0.25">
      <c r="A378" s="34" t="str">
        <f t="shared" si="25"/>
        <v xml:space="preserve"> </v>
      </c>
      <c r="D378" s="33"/>
      <c r="E378" s="33"/>
      <c r="J378" s="14">
        <f t="shared" si="28"/>
        <v>0</v>
      </c>
      <c r="K378" s="2" t="str">
        <f t="shared" si="29"/>
        <v xml:space="preserve"> </v>
      </c>
      <c r="L378" s="2" t="str">
        <f t="shared" si="26"/>
        <v xml:space="preserve"> </v>
      </c>
      <c r="M378" s="2" t="str">
        <f t="shared" si="27"/>
        <v xml:space="preserve"> </v>
      </c>
    </row>
    <row r="379" spans="1:13" x14ac:dyDescent="0.25">
      <c r="A379" s="34" t="str">
        <f t="shared" si="25"/>
        <v xml:space="preserve"> </v>
      </c>
      <c r="D379" s="33"/>
      <c r="E379" s="33"/>
      <c r="J379" s="14">
        <f t="shared" si="28"/>
        <v>0</v>
      </c>
      <c r="K379" s="2" t="str">
        <f t="shared" si="29"/>
        <v xml:space="preserve"> </v>
      </c>
      <c r="L379" s="2" t="str">
        <f t="shared" si="26"/>
        <v xml:space="preserve"> </v>
      </c>
      <c r="M379" s="2" t="str">
        <f t="shared" si="27"/>
        <v xml:space="preserve"> </v>
      </c>
    </row>
    <row r="380" spans="1:13" x14ac:dyDescent="0.25">
      <c r="A380" s="34" t="str">
        <f t="shared" si="25"/>
        <v xml:space="preserve"> </v>
      </c>
      <c r="D380" s="33"/>
      <c r="E380" s="33"/>
      <c r="J380" s="14">
        <f t="shared" si="28"/>
        <v>0</v>
      </c>
      <c r="K380" s="2" t="str">
        <f t="shared" si="29"/>
        <v xml:space="preserve"> </v>
      </c>
      <c r="L380" s="2" t="str">
        <f t="shared" si="26"/>
        <v xml:space="preserve"> </v>
      </c>
      <c r="M380" s="2" t="str">
        <f t="shared" si="27"/>
        <v xml:space="preserve"> </v>
      </c>
    </row>
    <row r="381" spans="1:13" x14ac:dyDescent="0.25">
      <c r="A381" s="34" t="str">
        <f t="shared" si="25"/>
        <v xml:space="preserve"> </v>
      </c>
      <c r="D381" s="33"/>
      <c r="E381" s="33"/>
      <c r="J381" s="14">
        <f t="shared" si="28"/>
        <v>0</v>
      </c>
      <c r="K381" s="2" t="str">
        <f t="shared" si="29"/>
        <v xml:space="preserve"> </v>
      </c>
      <c r="L381" s="2" t="str">
        <f t="shared" si="26"/>
        <v xml:space="preserve"> </v>
      </c>
      <c r="M381" s="2" t="str">
        <f t="shared" si="27"/>
        <v xml:space="preserve"> </v>
      </c>
    </row>
    <row r="382" spans="1:13" x14ac:dyDescent="0.25">
      <c r="A382" s="34" t="str">
        <f t="shared" si="25"/>
        <v xml:space="preserve"> </v>
      </c>
      <c r="D382" s="33"/>
      <c r="E382" s="33"/>
      <c r="J382" s="14">
        <f t="shared" si="28"/>
        <v>0</v>
      </c>
      <c r="K382" s="2" t="str">
        <f t="shared" si="29"/>
        <v xml:space="preserve"> </v>
      </c>
      <c r="L382" s="2" t="str">
        <f t="shared" si="26"/>
        <v xml:space="preserve"> </v>
      </c>
      <c r="M382" s="2" t="str">
        <f t="shared" si="27"/>
        <v xml:space="preserve"> </v>
      </c>
    </row>
    <row r="383" spans="1:13" x14ac:dyDescent="0.25">
      <c r="A383" s="34" t="str">
        <f t="shared" si="25"/>
        <v xml:space="preserve"> </v>
      </c>
      <c r="D383" s="33"/>
      <c r="E383" s="33"/>
      <c r="J383" s="14">
        <f t="shared" si="28"/>
        <v>0</v>
      </c>
      <c r="K383" s="2" t="str">
        <f t="shared" si="29"/>
        <v xml:space="preserve"> </v>
      </c>
      <c r="L383" s="2" t="str">
        <f t="shared" si="26"/>
        <v xml:space="preserve"> </v>
      </c>
      <c r="M383" s="2" t="str">
        <f t="shared" si="27"/>
        <v xml:space="preserve"> </v>
      </c>
    </row>
    <row r="384" spans="1:13" x14ac:dyDescent="0.25">
      <c r="A384" s="34" t="str">
        <f t="shared" si="25"/>
        <v xml:space="preserve"> </v>
      </c>
      <c r="D384" s="33"/>
      <c r="E384" s="33"/>
      <c r="J384" s="14">
        <f t="shared" si="28"/>
        <v>0</v>
      </c>
      <c r="K384" s="2" t="str">
        <f t="shared" si="29"/>
        <v xml:space="preserve"> </v>
      </c>
      <c r="L384" s="2" t="str">
        <f t="shared" si="26"/>
        <v xml:space="preserve"> </v>
      </c>
      <c r="M384" s="2" t="str">
        <f t="shared" si="27"/>
        <v xml:space="preserve"> </v>
      </c>
    </row>
    <row r="385" spans="1:13" x14ac:dyDescent="0.25">
      <c r="A385" s="34" t="str">
        <f t="shared" si="25"/>
        <v xml:space="preserve"> </v>
      </c>
      <c r="D385" s="33"/>
      <c r="E385" s="33"/>
      <c r="J385" s="14">
        <f t="shared" si="28"/>
        <v>0</v>
      </c>
      <c r="K385" s="2" t="str">
        <f t="shared" si="29"/>
        <v xml:space="preserve"> </v>
      </c>
      <c r="L385" s="2" t="str">
        <f t="shared" si="26"/>
        <v xml:space="preserve"> </v>
      </c>
      <c r="M385" s="2" t="str">
        <f t="shared" si="27"/>
        <v xml:space="preserve"> </v>
      </c>
    </row>
    <row r="386" spans="1:13" x14ac:dyDescent="0.25">
      <c r="A386" s="34" t="str">
        <f t="shared" si="25"/>
        <v xml:space="preserve"> </v>
      </c>
      <c r="D386" s="33"/>
      <c r="E386" s="33"/>
      <c r="J386" s="14">
        <f t="shared" si="28"/>
        <v>0</v>
      </c>
      <c r="K386" s="2" t="str">
        <f t="shared" si="29"/>
        <v xml:space="preserve"> </v>
      </c>
      <c r="L386" s="2" t="str">
        <f t="shared" si="26"/>
        <v xml:space="preserve"> </v>
      </c>
      <c r="M386" s="2" t="str">
        <f t="shared" si="27"/>
        <v xml:space="preserve"> </v>
      </c>
    </row>
    <row r="387" spans="1:13" x14ac:dyDescent="0.25">
      <c r="A387" s="34" t="str">
        <f t="shared" si="25"/>
        <v xml:space="preserve"> </v>
      </c>
      <c r="D387" s="33"/>
      <c r="E387" s="33"/>
      <c r="J387" s="14">
        <f t="shared" si="28"/>
        <v>0</v>
      </c>
      <c r="K387" s="2" t="str">
        <f t="shared" si="29"/>
        <v xml:space="preserve"> </v>
      </c>
      <c r="L387" s="2" t="str">
        <f t="shared" si="26"/>
        <v xml:space="preserve"> </v>
      </c>
      <c r="M387" s="2" t="str">
        <f t="shared" si="27"/>
        <v xml:space="preserve"> </v>
      </c>
    </row>
    <row r="388" spans="1:13" x14ac:dyDescent="0.25">
      <c r="A388" s="34" t="str">
        <f t="shared" si="25"/>
        <v xml:space="preserve"> </v>
      </c>
      <c r="D388" s="33"/>
      <c r="E388" s="33"/>
      <c r="J388" s="14">
        <f t="shared" si="28"/>
        <v>0</v>
      </c>
      <c r="K388" s="2" t="str">
        <f t="shared" si="29"/>
        <v xml:space="preserve"> </v>
      </c>
      <c r="L388" s="2" t="str">
        <f t="shared" si="26"/>
        <v xml:space="preserve"> </v>
      </c>
      <c r="M388" s="2" t="str">
        <f t="shared" si="27"/>
        <v xml:space="preserve"> </v>
      </c>
    </row>
    <row r="389" spans="1:13" x14ac:dyDescent="0.25">
      <c r="A389" s="34" t="str">
        <f t="shared" si="25"/>
        <v xml:space="preserve"> </v>
      </c>
      <c r="D389" s="33"/>
      <c r="E389" s="33"/>
      <c r="J389" s="14">
        <f t="shared" si="28"/>
        <v>0</v>
      </c>
      <c r="K389" s="2" t="str">
        <f t="shared" si="29"/>
        <v xml:space="preserve"> </v>
      </c>
      <c r="L389" s="2" t="str">
        <f t="shared" si="26"/>
        <v xml:space="preserve"> </v>
      </c>
      <c r="M389" s="2" t="str">
        <f t="shared" si="27"/>
        <v xml:space="preserve"> </v>
      </c>
    </row>
    <row r="390" spans="1:13" x14ac:dyDescent="0.25">
      <c r="A390" s="34" t="str">
        <f t="shared" si="25"/>
        <v xml:space="preserve"> </v>
      </c>
      <c r="D390" s="33"/>
      <c r="E390" s="33"/>
      <c r="J390" s="14">
        <f t="shared" si="28"/>
        <v>0</v>
      </c>
      <c r="K390" s="2" t="str">
        <f t="shared" si="29"/>
        <v xml:space="preserve"> </v>
      </c>
      <c r="L390" s="2" t="str">
        <f t="shared" si="26"/>
        <v xml:space="preserve"> </v>
      </c>
      <c r="M390" s="2" t="str">
        <f t="shared" si="27"/>
        <v xml:space="preserve"> </v>
      </c>
    </row>
    <row r="391" spans="1:13" x14ac:dyDescent="0.25">
      <c r="A391" s="34" t="str">
        <f t="shared" si="25"/>
        <v xml:space="preserve"> </v>
      </c>
      <c r="D391" s="33"/>
      <c r="E391" s="33"/>
      <c r="J391" s="14">
        <f t="shared" si="28"/>
        <v>0</v>
      </c>
      <c r="K391" s="2" t="str">
        <f t="shared" si="29"/>
        <v xml:space="preserve"> </v>
      </c>
      <c r="L391" s="2" t="str">
        <f t="shared" si="26"/>
        <v xml:space="preserve"> </v>
      </c>
      <c r="M391" s="2" t="str">
        <f t="shared" si="27"/>
        <v xml:space="preserve"> </v>
      </c>
    </row>
    <row r="392" spans="1:13" x14ac:dyDescent="0.25">
      <c r="A392" s="34" t="str">
        <f t="shared" si="25"/>
        <v xml:space="preserve"> </v>
      </c>
      <c r="D392" s="33"/>
      <c r="E392" s="33"/>
      <c r="J392" s="14">
        <f t="shared" si="28"/>
        <v>0</v>
      </c>
      <c r="K392" s="2" t="str">
        <f t="shared" si="29"/>
        <v xml:space="preserve"> </v>
      </c>
      <c r="L392" s="2" t="str">
        <f t="shared" si="26"/>
        <v xml:space="preserve"> </v>
      </c>
      <c r="M392" s="2" t="str">
        <f t="shared" si="27"/>
        <v xml:space="preserve"> </v>
      </c>
    </row>
    <row r="393" spans="1:13" x14ac:dyDescent="0.25">
      <c r="A393" s="34" t="str">
        <f t="shared" si="25"/>
        <v xml:space="preserve"> </v>
      </c>
      <c r="D393" s="33"/>
      <c r="E393" s="33"/>
      <c r="J393" s="14">
        <f t="shared" si="28"/>
        <v>0</v>
      </c>
      <c r="K393" s="2" t="str">
        <f t="shared" si="29"/>
        <v xml:space="preserve"> </v>
      </c>
      <c r="L393" s="2" t="str">
        <f t="shared" si="26"/>
        <v xml:space="preserve"> </v>
      </c>
      <c r="M393" s="2" t="str">
        <f t="shared" si="27"/>
        <v xml:space="preserve"> </v>
      </c>
    </row>
    <row r="394" spans="1:13" x14ac:dyDescent="0.25">
      <c r="A394" s="34" t="str">
        <f t="shared" si="25"/>
        <v xml:space="preserve"> </v>
      </c>
      <c r="D394" s="33"/>
      <c r="E394" s="33"/>
      <c r="J394" s="14">
        <f t="shared" si="28"/>
        <v>0</v>
      </c>
      <c r="K394" s="2" t="str">
        <f t="shared" si="29"/>
        <v xml:space="preserve"> </v>
      </c>
      <c r="L394" s="2" t="str">
        <f t="shared" si="26"/>
        <v xml:space="preserve"> </v>
      </c>
      <c r="M394" s="2" t="str">
        <f t="shared" si="27"/>
        <v xml:space="preserve"> </v>
      </c>
    </row>
    <row r="395" spans="1:13" x14ac:dyDescent="0.25">
      <c r="A395" s="34" t="str">
        <f t="shared" si="25"/>
        <v xml:space="preserve"> </v>
      </c>
      <c r="D395" s="33"/>
      <c r="E395" s="33"/>
      <c r="J395" s="14">
        <f t="shared" si="28"/>
        <v>0</v>
      </c>
      <c r="K395" s="2" t="str">
        <f t="shared" si="29"/>
        <v xml:space="preserve"> </v>
      </c>
      <c r="L395" s="2" t="str">
        <f t="shared" si="26"/>
        <v xml:space="preserve"> </v>
      </c>
      <c r="M395" s="2" t="str">
        <f t="shared" si="27"/>
        <v xml:space="preserve"> </v>
      </c>
    </row>
    <row r="396" spans="1:13" x14ac:dyDescent="0.25">
      <c r="A396" s="34" t="str">
        <f t="shared" si="25"/>
        <v xml:space="preserve"> </v>
      </c>
      <c r="D396" s="33"/>
      <c r="E396" s="33"/>
      <c r="J396" s="14">
        <f t="shared" si="28"/>
        <v>0</v>
      </c>
      <c r="K396" s="2" t="str">
        <f t="shared" si="29"/>
        <v xml:space="preserve"> </v>
      </c>
      <c r="L396" s="2" t="str">
        <f t="shared" si="26"/>
        <v xml:space="preserve"> </v>
      </c>
      <c r="M396" s="2" t="str">
        <f t="shared" si="27"/>
        <v xml:space="preserve"> </v>
      </c>
    </row>
    <row r="397" spans="1:13" x14ac:dyDescent="0.25">
      <c r="A397" s="34" t="str">
        <f t="shared" si="25"/>
        <v xml:space="preserve"> </v>
      </c>
      <c r="D397" s="33"/>
      <c r="E397" s="33"/>
      <c r="J397" s="14">
        <f t="shared" si="28"/>
        <v>0</v>
      </c>
      <c r="K397" s="2" t="str">
        <f t="shared" si="29"/>
        <v xml:space="preserve"> </v>
      </c>
      <c r="L397" s="2" t="str">
        <f t="shared" si="26"/>
        <v xml:space="preserve"> </v>
      </c>
      <c r="M397" s="2" t="str">
        <f t="shared" si="27"/>
        <v xml:space="preserve"> </v>
      </c>
    </row>
    <row r="398" spans="1:13" x14ac:dyDescent="0.25">
      <c r="A398" s="34" t="str">
        <f t="shared" si="25"/>
        <v xml:space="preserve"> </v>
      </c>
      <c r="D398" s="33"/>
      <c r="E398" s="33"/>
      <c r="J398" s="14">
        <f t="shared" si="28"/>
        <v>0</v>
      </c>
      <c r="K398" s="2" t="str">
        <f t="shared" si="29"/>
        <v xml:space="preserve"> </v>
      </c>
      <c r="L398" s="2" t="str">
        <f t="shared" si="26"/>
        <v xml:space="preserve"> </v>
      </c>
      <c r="M398" s="2" t="str">
        <f t="shared" si="27"/>
        <v xml:space="preserve"> </v>
      </c>
    </row>
    <row r="399" spans="1:13" x14ac:dyDescent="0.25">
      <c r="A399" s="34" t="str">
        <f t="shared" ref="A399:A462" si="30">IF(COUNTIF(K399:M399,"ERROR")&gt;0,"ERROR"," ")</f>
        <v xml:space="preserve"> </v>
      </c>
      <c r="D399" s="33"/>
      <c r="E399" s="33"/>
      <c r="J399" s="14">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x14ac:dyDescent="0.25">
      <c r="A400" s="34" t="str">
        <f t="shared" si="30"/>
        <v xml:space="preserve"> </v>
      </c>
      <c r="D400" s="33"/>
      <c r="E400" s="33"/>
      <c r="J400" s="14">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4" t="str">
        <f t="shared" si="30"/>
        <v xml:space="preserve"> </v>
      </c>
      <c r="D401" s="33"/>
      <c r="E401" s="33"/>
      <c r="J401" s="14">
        <f t="shared" si="33"/>
        <v>0</v>
      </c>
      <c r="K401" s="2" t="str">
        <f t="shared" si="34"/>
        <v xml:space="preserve"> </v>
      </c>
      <c r="L401" s="2" t="str">
        <f t="shared" si="31"/>
        <v xml:space="preserve"> </v>
      </c>
      <c r="M401" s="2" t="str">
        <f t="shared" si="32"/>
        <v xml:space="preserve"> </v>
      </c>
    </row>
    <row r="402" spans="1:13" x14ac:dyDescent="0.25">
      <c r="A402" s="34" t="str">
        <f t="shared" si="30"/>
        <v xml:space="preserve"> </v>
      </c>
      <c r="D402" s="33"/>
      <c r="E402" s="33"/>
      <c r="J402" s="14">
        <f t="shared" si="33"/>
        <v>0</v>
      </c>
      <c r="K402" s="2" t="str">
        <f t="shared" si="34"/>
        <v xml:space="preserve"> </v>
      </c>
      <c r="L402" s="2" t="str">
        <f t="shared" si="31"/>
        <v xml:space="preserve"> </v>
      </c>
      <c r="M402" s="2" t="str">
        <f t="shared" si="32"/>
        <v xml:space="preserve"> </v>
      </c>
    </row>
    <row r="403" spans="1:13" x14ac:dyDescent="0.25">
      <c r="A403" s="34" t="str">
        <f t="shared" si="30"/>
        <v xml:space="preserve"> </v>
      </c>
      <c r="D403" s="33"/>
      <c r="E403" s="33"/>
      <c r="J403" s="14">
        <f t="shared" si="33"/>
        <v>0</v>
      </c>
      <c r="K403" s="2" t="str">
        <f t="shared" si="34"/>
        <v xml:space="preserve"> </v>
      </c>
      <c r="L403" s="2" t="str">
        <f t="shared" si="31"/>
        <v xml:space="preserve"> </v>
      </c>
      <c r="M403" s="2" t="str">
        <f t="shared" si="32"/>
        <v xml:space="preserve"> </v>
      </c>
    </row>
    <row r="404" spans="1:13" x14ac:dyDescent="0.25">
      <c r="A404" s="34" t="str">
        <f t="shared" si="30"/>
        <v xml:space="preserve"> </v>
      </c>
      <c r="D404" s="33"/>
      <c r="E404" s="33"/>
      <c r="J404" s="14">
        <f t="shared" si="33"/>
        <v>0</v>
      </c>
      <c r="K404" s="2" t="str">
        <f t="shared" si="34"/>
        <v xml:space="preserve"> </v>
      </c>
      <c r="L404" s="2" t="str">
        <f t="shared" si="31"/>
        <v xml:space="preserve"> </v>
      </c>
      <c r="M404" s="2" t="str">
        <f t="shared" si="32"/>
        <v xml:space="preserve"> </v>
      </c>
    </row>
    <row r="405" spans="1:13" x14ac:dyDescent="0.25">
      <c r="A405" s="34" t="str">
        <f t="shared" si="30"/>
        <v xml:space="preserve"> </v>
      </c>
      <c r="D405" s="33"/>
      <c r="E405" s="33"/>
      <c r="J405" s="14">
        <f t="shared" si="33"/>
        <v>0</v>
      </c>
      <c r="K405" s="2" t="str">
        <f t="shared" si="34"/>
        <v xml:space="preserve"> </v>
      </c>
      <c r="L405" s="2" t="str">
        <f t="shared" si="31"/>
        <v xml:space="preserve"> </v>
      </c>
      <c r="M405" s="2" t="str">
        <f t="shared" si="32"/>
        <v xml:space="preserve"> </v>
      </c>
    </row>
    <row r="406" spans="1:13" x14ac:dyDescent="0.25">
      <c r="A406" s="34" t="str">
        <f t="shared" si="30"/>
        <v xml:space="preserve"> </v>
      </c>
      <c r="D406" s="33"/>
      <c r="E406" s="33"/>
      <c r="J406" s="14">
        <f t="shared" si="33"/>
        <v>0</v>
      </c>
      <c r="K406" s="2" t="str">
        <f t="shared" si="34"/>
        <v xml:space="preserve"> </v>
      </c>
      <c r="L406" s="2" t="str">
        <f t="shared" si="31"/>
        <v xml:space="preserve"> </v>
      </c>
      <c r="M406" s="2" t="str">
        <f t="shared" si="32"/>
        <v xml:space="preserve"> </v>
      </c>
    </row>
    <row r="407" spans="1:13" x14ac:dyDescent="0.25">
      <c r="A407" s="34" t="str">
        <f t="shared" si="30"/>
        <v xml:space="preserve"> </v>
      </c>
      <c r="D407" s="33"/>
      <c r="E407" s="33"/>
      <c r="J407" s="14">
        <f t="shared" si="33"/>
        <v>0</v>
      </c>
      <c r="K407" s="2" t="str">
        <f t="shared" si="34"/>
        <v xml:space="preserve"> </v>
      </c>
      <c r="L407" s="2" t="str">
        <f t="shared" si="31"/>
        <v xml:space="preserve"> </v>
      </c>
      <c r="M407" s="2" t="str">
        <f t="shared" si="32"/>
        <v xml:space="preserve"> </v>
      </c>
    </row>
    <row r="408" spans="1:13" x14ac:dyDescent="0.25">
      <c r="A408" s="34" t="str">
        <f t="shared" si="30"/>
        <v xml:space="preserve"> </v>
      </c>
      <c r="D408" s="33"/>
      <c r="E408" s="33"/>
      <c r="J408" s="14">
        <f t="shared" si="33"/>
        <v>0</v>
      </c>
      <c r="K408" s="2" t="str">
        <f t="shared" si="34"/>
        <v xml:space="preserve"> </v>
      </c>
      <c r="L408" s="2" t="str">
        <f t="shared" si="31"/>
        <v xml:space="preserve"> </v>
      </c>
      <c r="M408" s="2" t="str">
        <f t="shared" si="32"/>
        <v xml:space="preserve"> </v>
      </c>
    </row>
    <row r="409" spans="1:13" x14ac:dyDescent="0.25">
      <c r="A409" s="34" t="str">
        <f t="shared" si="30"/>
        <v xml:space="preserve"> </v>
      </c>
      <c r="D409" s="33"/>
      <c r="E409" s="33"/>
      <c r="J409" s="14">
        <f t="shared" si="33"/>
        <v>0</v>
      </c>
      <c r="K409" s="2" t="str">
        <f t="shared" si="34"/>
        <v xml:space="preserve"> </v>
      </c>
      <c r="L409" s="2" t="str">
        <f t="shared" si="31"/>
        <v xml:space="preserve"> </v>
      </c>
      <c r="M409" s="2" t="str">
        <f t="shared" si="32"/>
        <v xml:space="preserve"> </v>
      </c>
    </row>
    <row r="410" spans="1:13" x14ac:dyDescent="0.25">
      <c r="A410" s="34" t="str">
        <f t="shared" si="30"/>
        <v xml:space="preserve"> </v>
      </c>
      <c r="D410" s="33"/>
      <c r="E410" s="33"/>
      <c r="J410" s="14">
        <f t="shared" si="33"/>
        <v>0</v>
      </c>
      <c r="K410" s="2" t="str">
        <f t="shared" si="34"/>
        <v xml:space="preserve"> </v>
      </c>
      <c r="L410" s="2" t="str">
        <f t="shared" si="31"/>
        <v xml:space="preserve"> </v>
      </c>
      <c r="M410" s="2" t="str">
        <f t="shared" si="32"/>
        <v xml:space="preserve"> </v>
      </c>
    </row>
    <row r="411" spans="1:13" x14ac:dyDescent="0.25">
      <c r="A411" s="34" t="str">
        <f t="shared" si="30"/>
        <v xml:space="preserve"> </v>
      </c>
      <c r="D411" s="33"/>
      <c r="E411" s="33"/>
      <c r="J411" s="14">
        <f t="shared" si="33"/>
        <v>0</v>
      </c>
      <c r="K411" s="2" t="str">
        <f t="shared" si="34"/>
        <v xml:space="preserve"> </v>
      </c>
      <c r="L411" s="2" t="str">
        <f t="shared" si="31"/>
        <v xml:space="preserve"> </v>
      </c>
      <c r="M411" s="2" t="str">
        <f t="shared" si="32"/>
        <v xml:space="preserve"> </v>
      </c>
    </row>
    <row r="412" spans="1:13" x14ac:dyDescent="0.25">
      <c r="A412" s="34" t="str">
        <f t="shared" si="30"/>
        <v xml:space="preserve"> </v>
      </c>
      <c r="D412" s="33"/>
      <c r="E412" s="33"/>
      <c r="J412" s="14">
        <f t="shared" si="33"/>
        <v>0</v>
      </c>
      <c r="K412" s="2" t="str">
        <f t="shared" si="34"/>
        <v xml:space="preserve"> </v>
      </c>
      <c r="L412" s="2" t="str">
        <f t="shared" si="31"/>
        <v xml:space="preserve"> </v>
      </c>
      <c r="M412" s="2" t="str">
        <f t="shared" si="32"/>
        <v xml:space="preserve"> </v>
      </c>
    </row>
    <row r="413" spans="1:13" x14ac:dyDescent="0.25">
      <c r="A413" s="34" t="str">
        <f t="shared" si="30"/>
        <v xml:space="preserve"> </v>
      </c>
      <c r="D413" s="33"/>
      <c r="E413" s="33"/>
      <c r="J413" s="14">
        <f t="shared" si="33"/>
        <v>0</v>
      </c>
      <c r="K413" s="2" t="str">
        <f t="shared" si="34"/>
        <v xml:space="preserve"> </v>
      </c>
      <c r="L413" s="2" t="str">
        <f t="shared" si="31"/>
        <v xml:space="preserve"> </v>
      </c>
      <c r="M413" s="2" t="str">
        <f t="shared" si="32"/>
        <v xml:space="preserve"> </v>
      </c>
    </row>
    <row r="414" spans="1:13" x14ac:dyDescent="0.25">
      <c r="A414" s="34" t="str">
        <f t="shared" si="30"/>
        <v xml:space="preserve"> </v>
      </c>
      <c r="D414" s="33"/>
      <c r="E414" s="33"/>
      <c r="J414" s="14">
        <f t="shared" si="33"/>
        <v>0</v>
      </c>
      <c r="K414" s="2" t="str">
        <f t="shared" si="34"/>
        <v xml:space="preserve"> </v>
      </c>
      <c r="L414" s="2" t="str">
        <f t="shared" si="31"/>
        <v xml:space="preserve"> </v>
      </c>
      <c r="M414" s="2" t="str">
        <f t="shared" si="32"/>
        <v xml:space="preserve"> </v>
      </c>
    </row>
    <row r="415" spans="1:13" x14ac:dyDescent="0.25">
      <c r="A415" s="34" t="str">
        <f t="shared" si="30"/>
        <v xml:space="preserve"> </v>
      </c>
      <c r="D415" s="33"/>
      <c r="E415" s="33"/>
      <c r="J415" s="14">
        <f t="shared" si="33"/>
        <v>0</v>
      </c>
      <c r="K415" s="2" t="str">
        <f t="shared" si="34"/>
        <v xml:space="preserve"> </v>
      </c>
      <c r="L415" s="2" t="str">
        <f t="shared" si="31"/>
        <v xml:space="preserve"> </v>
      </c>
      <c r="M415" s="2" t="str">
        <f t="shared" si="32"/>
        <v xml:space="preserve"> </v>
      </c>
    </row>
    <row r="416" spans="1:13" x14ac:dyDescent="0.25">
      <c r="A416" s="34" t="str">
        <f t="shared" si="30"/>
        <v xml:space="preserve"> </v>
      </c>
      <c r="D416" s="33"/>
      <c r="E416" s="33"/>
      <c r="J416" s="14">
        <f t="shared" si="33"/>
        <v>0</v>
      </c>
      <c r="K416" s="2" t="str">
        <f t="shared" si="34"/>
        <v xml:space="preserve"> </v>
      </c>
      <c r="L416" s="2" t="str">
        <f t="shared" si="31"/>
        <v xml:space="preserve"> </v>
      </c>
      <c r="M416" s="2" t="str">
        <f t="shared" si="32"/>
        <v xml:space="preserve"> </v>
      </c>
    </row>
    <row r="417" spans="1:13" x14ac:dyDescent="0.25">
      <c r="A417" s="34" t="str">
        <f t="shared" si="30"/>
        <v xml:space="preserve"> </v>
      </c>
      <c r="D417" s="33"/>
      <c r="E417" s="33"/>
      <c r="J417" s="14">
        <f t="shared" si="33"/>
        <v>0</v>
      </c>
      <c r="K417" s="2" t="str">
        <f t="shared" si="34"/>
        <v xml:space="preserve"> </v>
      </c>
      <c r="L417" s="2" t="str">
        <f t="shared" si="31"/>
        <v xml:space="preserve"> </v>
      </c>
      <c r="M417" s="2" t="str">
        <f t="shared" si="32"/>
        <v xml:space="preserve"> </v>
      </c>
    </row>
    <row r="418" spans="1:13" x14ac:dyDescent="0.25">
      <c r="A418" s="34" t="str">
        <f t="shared" si="30"/>
        <v xml:space="preserve"> </v>
      </c>
      <c r="D418" s="33"/>
      <c r="E418" s="33"/>
      <c r="J418" s="14">
        <f t="shared" si="33"/>
        <v>0</v>
      </c>
      <c r="K418" s="2" t="str">
        <f t="shared" si="34"/>
        <v xml:space="preserve"> </v>
      </c>
      <c r="L418" s="2" t="str">
        <f t="shared" si="31"/>
        <v xml:space="preserve"> </v>
      </c>
      <c r="M418" s="2" t="str">
        <f t="shared" si="32"/>
        <v xml:space="preserve"> </v>
      </c>
    </row>
    <row r="419" spans="1:13" x14ac:dyDescent="0.25">
      <c r="A419" s="34" t="str">
        <f t="shared" si="30"/>
        <v xml:space="preserve"> </v>
      </c>
      <c r="D419" s="33"/>
      <c r="E419" s="33"/>
      <c r="J419" s="14">
        <f t="shared" si="33"/>
        <v>0</v>
      </c>
      <c r="K419" s="2" t="str">
        <f t="shared" si="34"/>
        <v xml:space="preserve"> </v>
      </c>
      <c r="L419" s="2" t="str">
        <f t="shared" si="31"/>
        <v xml:space="preserve"> </v>
      </c>
      <c r="M419" s="2" t="str">
        <f t="shared" si="32"/>
        <v xml:space="preserve"> </v>
      </c>
    </row>
    <row r="420" spans="1:13" x14ac:dyDescent="0.25">
      <c r="A420" s="34" t="str">
        <f t="shared" si="30"/>
        <v xml:space="preserve"> </v>
      </c>
      <c r="D420" s="33"/>
      <c r="E420" s="33"/>
      <c r="J420" s="14">
        <f t="shared" si="33"/>
        <v>0</v>
      </c>
      <c r="K420" s="2" t="str">
        <f t="shared" si="34"/>
        <v xml:space="preserve"> </v>
      </c>
      <c r="L420" s="2" t="str">
        <f t="shared" si="31"/>
        <v xml:space="preserve"> </v>
      </c>
      <c r="M420" s="2" t="str">
        <f t="shared" si="32"/>
        <v xml:space="preserve"> </v>
      </c>
    </row>
    <row r="421" spans="1:13" x14ac:dyDescent="0.25">
      <c r="A421" s="34" t="str">
        <f t="shared" si="30"/>
        <v xml:space="preserve"> </v>
      </c>
      <c r="D421" s="33"/>
      <c r="E421" s="33"/>
      <c r="J421" s="14">
        <f t="shared" si="33"/>
        <v>0</v>
      </c>
      <c r="K421" s="2" t="str">
        <f t="shared" si="34"/>
        <v xml:space="preserve"> </v>
      </c>
      <c r="L421" s="2" t="str">
        <f t="shared" si="31"/>
        <v xml:space="preserve"> </v>
      </c>
      <c r="M421" s="2" t="str">
        <f t="shared" si="32"/>
        <v xml:space="preserve"> </v>
      </c>
    </row>
    <row r="422" spans="1:13" x14ac:dyDescent="0.25">
      <c r="A422" s="34" t="str">
        <f t="shared" si="30"/>
        <v xml:space="preserve"> </v>
      </c>
      <c r="D422" s="33"/>
      <c r="E422" s="33"/>
      <c r="J422" s="14">
        <f t="shared" si="33"/>
        <v>0</v>
      </c>
      <c r="K422" s="2" t="str">
        <f t="shared" si="34"/>
        <v xml:space="preserve"> </v>
      </c>
      <c r="L422" s="2" t="str">
        <f t="shared" si="31"/>
        <v xml:space="preserve"> </v>
      </c>
      <c r="M422" s="2" t="str">
        <f t="shared" si="32"/>
        <v xml:space="preserve"> </v>
      </c>
    </row>
    <row r="423" spans="1:13" x14ac:dyDescent="0.25">
      <c r="A423" s="34" t="str">
        <f t="shared" si="30"/>
        <v xml:space="preserve"> </v>
      </c>
      <c r="D423" s="33"/>
      <c r="E423" s="33"/>
      <c r="J423" s="14">
        <f t="shared" si="33"/>
        <v>0</v>
      </c>
      <c r="K423" s="2" t="str">
        <f t="shared" si="34"/>
        <v xml:space="preserve"> </v>
      </c>
      <c r="L423" s="2" t="str">
        <f t="shared" si="31"/>
        <v xml:space="preserve"> </v>
      </c>
      <c r="M423" s="2" t="str">
        <f t="shared" si="32"/>
        <v xml:space="preserve"> </v>
      </c>
    </row>
    <row r="424" spans="1:13" x14ac:dyDescent="0.25">
      <c r="A424" s="34" t="str">
        <f t="shared" si="30"/>
        <v xml:space="preserve"> </v>
      </c>
      <c r="D424" s="33"/>
      <c r="E424" s="33"/>
      <c r="J424" s="14">
        <f t="shared" si="33"/>
        <v>0</v>
      </c>
      <c r="K424" s="2" t="str">
        <f t="shared" si="34"/>
        <v xml:space="preserve"> </v>
      </c>
      <c r="L424" s="2" t="str">
        <f t="shared" si="31"/>
        <v xml:space="preserve"> </v>
      </c>
      <c r="M424" s="2" t="str">
        <f t="shared" si="32"/>
        <v xml:space="preserve"> </v>
      </c>
    </row>
    <row r="425" spans="1:13" x14ac:dyDescent="0.25">
      <c r="A425" s="34" t="str">
        <f t="shared" si="30"/>
        <v xml:space="preserve"> </v>
      </c>
      <c r="D425" s="33"/>
      <c r="E425" s="33"/>
      <c r="J425" s="14">
        <f t="shared" si="33"/>
        <v>0</v>
      </c>
      <c r="K425" s="2" t="str">
        <f t="shared" si="34"/>
        <v xml:space="preserve"> </v>
      </c>
      <c r="L425" s="2" t="str">
        <f t="shared" si="31"/>
        <v xml:space="preserve"> </v>
      </c>
      <c r="M425" s="2" t="str">
        <f t="shared" si="32"/>
        <v xml:space="preserve"> </v>
      </c>
    </row>
    <row r="426" spans="1:13" x14ac:dyDescent="0.25">
      <c r="A426" s="34" t="str">
        <f t="shared" si="30"/>
        <v xml:space="preserve"> </v>
      </c>
      <c r="D426" s="33"/>
      <c r="E426" s="33"/>
      <c r="J426" s="14">
        <f t="shared" si="33"/>
        <v>0</v>
      </c>
      <c r="K426" s="2" t="str">
        <f t="shared" si="34"/>
        <v xml:space="preserve"> </v>
      </c>
      <c r="L426" s="2" t="str">
        <f t="shared" si="31"/>
        <v xml:space="preserve"> </v>
      </c>
      <c r="M426" s="2" t="str">
        <f t="shared" si="32"/>
        <v xml:space="preserve"> </v>
      </c>
    </row>
    <row r="427" spans="1:13" x14ac:dyDescent="0.25">
      <c r="A427" s="34" t="str">
        <f t="shared" si="30"/>
        <v xml:space="preserve"> </v>
      </c>
      <c r="D427" s="33"/>
      <c r="E427" s="33"/>
      <c r="J427" s="14">
        <f t="shared" si="33"/>
        <v>0</v>
      </c>
      <c r="K427" s="2" t="str">
        <f t="shared" si="34"/>
        <v xml:space="preserve"> </v>
      </c>
      <c r="L427" s="2" t="str">
        <f t="shared" si="31"/>
        <v xml:space="preserve"> </v>
      </c>
      <c r="M427" s="2" t="str">
        <f t="shared" si="32"/>
        <v xml:space="preserve"> </v>
      </c>
    </row>
    <row r="428" spans="1:13" x14ac:dyDescent="0.25">
      <c r="A428" s="34" t="str">
        <f t="shared" si="30"/>
        <v xml:space="preserve"> </v>
      </c>
      <c r="D428" s="33"/>
      <c r="E428" s="33"/>
      <c r="J428" s="14">
        <f t="shared" si="33"/>
        <v>0</v>
      </c>
      <c r="K428" s="2" t="str">
        <f t="shared" si="34"/>
        <v xml:space="preserve"> </v>
      </c>
      <c r="L428" s="2" t="str">
        <f t="shared" si="31"/>
        <v xml:space="preserve"> </v>
      </c>
      <c r="M428" s="2" t="str">
        <f t="shared" si="32"/>
        <v xml:space="preserve"> </v>
      </c>
    </row>
    <row r="429" spans="1:13" x14ac:dyDescent="0.25">
      <c r="A429" s="34" t="str">
        <f t="shared" si="30"/>
        <v xml:space="preserve"> </v>
      </c>
      <c r="D429" s="33"/>
      <c r="E429" s="33"/>
      <c r="J429" s="14">
        <f t="shared" si="33"/>
        <v>0</v>
      </c>
      <c r="K429" s="2" t="str">
        <f t="shared" si="34"/>
        <v xml:space="preserve"> </v>
      </c>
      <c r="L429" s="2" t="str">
        <f t="shared" si="31"/>
        <v xml:space="preserve"> </v>
      </c>
      <c r="M429" s="2" t="str">
        <f t="shared" si="32"/>
        <v xml:space="preserve"> </v>
      </c>
    </row>
    <row r="430" spans="1:13" x14ac:dyDescent="0.25">
      <c r="A430" s="34" t="str">
        <f t="shared" si="30"/>
        <v xml:space="preserve"> </v>
      </c>
      <c r="D430" s="33"/>
      <c r="E430" s="33"/>
      <c r="J430" s="14">
        <f t="shared" si="33"/>
        <v>0</v>
      </c>
      <c r="K430" s="2" t="str">
        <f t="shared" si="34"/>
        <v xml:space="preserve"> </v>
      </c>
      <c r="L430" s="2" t="str">
        <f t="shared" si="31"/>
        <v xml:space="preserve"> </v>
      </c>
      <c r="M430" s="2" t="str">
        <f t="shared" si="32"/>
        <v xml:space="preserve"> </v>
      </c>
    </row>
    <row r="431" spans="1:13" x14ac:dyDescent="0.25">
      <c r="A431" s="34" t="str">
        <f t="shared" si="30"/>
        <v xml:space="preserve"> </v>
      </c>
      <c r="D431" s="33"/>
      <c r="E431" s="33"/>
      <c r="J431" s="14">
        <f t="shared" si="33"/>
        <v>0</v>
      </c>
      <c r="K431" s="2" t="str">
        <f t="shared" si="34"/>
        <v xml:space="preserve"> </v>
      </c>
      <c r="L431" s="2" t="str">
        <f t="shared" si="31"/>
        <v xml:space="preserve"> </v>
      </c>
      <c r="M431" s="2" t="str">
        <f t="shared" si="32"/>
        <v xml:space="preserve"> </v>
      </c>
    </row>
    <row r="432" spans="1:13" x14ac:dyDescent="0.25">
      <c r="A432" s="34" t="str">
        <f t="shared" si="30"/>
        <v xml:space="preserve"> </v>
      </c>
      <c r="D432" s="33"/>
      <c r="E432" s="33"/>
      <c r="J432" s="14">
        <f t="shared" si="33"/>
        <v>0</v>
      </c>
      <c r="K432" s="2" t="str">
        <f t="shared" si="34"/>
        <v xml:space="preserve"> </v>
      </c>
      <c r="L432" s="2" t="str">
        <f t="shared" si="31"/>
        <v xml:space="preserve"> </v>
      </c>
      <c r="M432" s="2" t="str">
        <f t="shared" si="32"/>
        <v xml:space="preserve"> </v>
      </c>
    </row>
    <row r="433" spans="1:13" x14ac:dyDescent="0.25">
      <c r="A433" s="34" t="str">
        <f t="shared" si="30"/>
        <v xml:space="preserve"> </v>
      </c>
      <c r="D433" s="33"/>
      <c r="E433" s="33"/>
      <c r="J433" s="14">
        <f t="shared" si="33"/>
        <v>0</v>
      </c>
      <c r="K433" s="2" t="str">
        <f t="shared" si="34"/>
        <v xml:space="preserve"> </v>
      </c>
      <c r="L433" s="2" t="str">
        <f t="shared" si="31"/>
        <v xml:space="preserve"> </v>
      </c>
      <c r="M433" s="2" t="str">
        <f t="shared" si="32"/>
        <v xml:space="preserve"> </v>
      </c>
    </row>
    <row r="434" spans="1:13" x14ac:dyDescent="0.25">
      <c r="A434" s="34" t="str">
        <f t="shared" si="30"/>
        <v xml:space="preserve"> </v>
      </c>
      <c r="D434" s="33"/>
      <c r="E434" s="33"/>
      <c r="J434" s="14">
        <f t="shared" si="33"/>
        <v>0</v>
      </c>
      <c r="K434" s="2" t="str">
        <f t="shared" si="34"/>
        <v xml:space="preserve"> </v>
      </c>
      <c r="L434" s="2" t="str">
        <f t="shared" si="31"/>
        <v xml:space="preserve"> </v>
      </c>
      <c r="M434" s="2" t="str">
        <f t="shared" si="32"/>
        <v xml:space="preserve"> </v>
      </c>
    </row>
    <row r="435" spans="1:13" x14ac:dyDescent="0.25">
      <c r="A435" s="34" t="str">
        <f t="shared" si="30"/>
        <v xml:space="preserve"> </v>
      </c>
      <c r="D435" s="33"/>
      <c r="E435" s="33"/>
      <c r="J435" s="14">
        <f t="shared" si="33"/>
        <v>0</v>
      </c>
      <c r="K435" s="2" t="str">
        <f t="shared" si="34"/>
        <v xml:space="preserve"> </v>
      </c>
      <c r="L435" s="2" t="str">
        <f t="shared" si="31"/>
        <v xml:space="preserve"> </v>
      </c>
      <c r="M435" s="2" t="str">
        <f t="shared" si="32"/>
        <v xml:space="preserve"> </v>
      </c>
    </row>
    <row r="436" spans="1:13" x14ac:dyDescent="0.25">
      <c r="A436" s="34" t="str">
        <f t="shared" si="30"/>
        <v xml:space="preserve"> </v>
      </c>
      <c r="D436" s="33"/>
      <c r="E436" s="33"/>
      <c r="J436" s="14">
        <f t="shared" si="33"/>
        <v>0</v>
      </c>
      <c r="K436" s="2" t="str">
        <f t="shared" si="34"/>
        <v xml:space="preserve"> </v>
      </c>
      <c r="L436" s="2" t="str">
        <f t="shared" si="31"/>
        <v xml:space="preserve"> </v>
      </c>
      <c r="M436" s="2" t="str">
        <f t="shared" si="32"/>
        <v xml:space="preserve"> </v>
      </c>
    </row>
    <row r="437" spans="1:13" x14ac:dyDescent="0.25">
      <c r="A437" s="34" t="str">
        <f t="shared" si="30"/>
        <v xml:space="preserve"> </v>
      </c>
      <c r="D437" s="33"/>
      <c r="E437" s="33"/>
      <c r="J437" s="14">
        <f t="shared" si="33"/>
        <v>0</v>
      </c>
      <c r="K437" s="2" t="str">
        <f t="shared" si="34"/>
        <v xml:space="preserve"> </v>
      </c>
      <c r="L437" s="2" t="str">
        <f t="shared" si="31"/>
        <v xml:space="preserve"> </v>
      </c>
      <c r="M437" s="2" t="str">
        <f t="shared" si="32"/>
        <v xml:space="preserve"> </v>
      </c>
    </row>
    <row r="438" spans="1:13" x14ac:dyDescent="0.25">
      <c r="A438" s="34" t="str">
        <f t="shared" si="30"/>
        <v xml:space="preserve"> </v>
      </c>
      <c r="D438" s="33"/>
      <c r="E438" s="33"/>
      <c r="J438" s="14">
        <f t="shared" si="33"/>
        <v>0</v>
      </c>
      <c r="K438" s="2" t="str">
        <f t="shared" si="34"/>
        <v xml:space="preserve"> </v>
      </c>
      <c r="L438" s="2" t="str">
        <f t="shared" si="31"/>
        <v xml:space="preserve"> </v>
      </c>
      <c r="M438" s="2" t="str">
        <f t="shared" si="32"/>
        <v xml:space="preserve"> </v>
      </c>
    </row>
    <row r="439" spans="1:13" x14ac:dyDescent="0.25">
      <c r="A439" s="34" t="str">
        <f t="shared" si="30"/>
        <v xml:space="preserve"> </v>
      </c>
      <c r="D439" s="33"/>
      <c r="E439" s="33"/>
      <c r="J439" s="14">
        <f t="shared" si="33"/>
        <v>0</v>
      </c>
      <c r="K439" s="2" t="str">
        <f t="shared" si="34"/>
        <v xml:space="preserve"> </v>
      </c>
      <c r="L439" s="2" t="str">
        <f t="shared" si="31"/>
        <v xml:space="preserve"> </v>
      </c>
      <c r="M439" s="2" t="str">
        <f t="shared" si="32"/>
        <v xml:space="preserve"> </v>
      </c>
    </row>
    <row r="440" spans="1:13" x14ac:dyDescent="0.25">
      <c r="A440" s="34" t="str">
        <f t="shared" si="30"/>
        <v xml:space="preserve"> </v>
      </c>
      <c r="D440" s="33"/>
      <c r="E440" s="33"/>
      <c r="J440" s="14">
        <f t="shared" si="33"/>
        <v>0</v>
      </c>
      <c r="K440" s="2" t="str">
        <f t="shared" si="34"/>
        <v xml:space="preserve"> </v>
      </c>
      <c r="L440" s="2" t="str">
        <f t="shared" si="31"/>
        <v xml:space="preserve"> </v>
      </c>
      <c r="M440" s="2" t="str">
        <f t="shared" si="32"/>
        <v xml:space="preserve"> </v>
      </c>
    </row>
    <row r="441" spans="1:13" x14ac:dyDescent="0.25">
      <c r="A441" s="34" t="str">
        <f t="shared" si="30"/>
        <v xml:space="preserve"> </v>
      </c>
      <c r="D441" s="33"/>
      <c r="E441" s="33"/>
      <c r="J441" s="14">
        <f t="shared" si="33"/>
        <v>0</v>
      </c>
      <c r="K441" s="2" t="str">
        <f t="shared" si="34"/>
        <v xml:space="preserve"> </v>
      </c>
      <c r="L441" s="2" t="str">
        <f t="shared" si="31"/>
        <v xml:space="preserve"> </v>
      </c>
      <c r="M441" s="2" t="str">
        <f t="shared" si="32"/>
        <v xml:space="preserve"> </v>
      </c>
    </row>
    <row r="442" spans="1:13" x14ac:dyDescent="0.25">
      <c r="A442" s="34" t="str">
        <f t="shared" si="30"/>
        <v xml:space="preserve"> </v>
      </c>
      <c r="D442" s="33"/>
      <c r="E442" s="33"/>
      <c r="J442" s="14">
        <f t="shared" si="33"/>
        <v>0</v>
      </c>
      <c r="K442" s="2" t="str">
        <f t="shared" si="34"/>
        <v xml:space="preserve"> </v>
      </c>
      <c r="L442" s="2" t="str">
        <f t="shared" si="31"/>
        <v xml:space="preserve"> </v>
      </c>
      <c r="M442" s="2" t="str">
        <f t="shared" si="32"/>
        <v xml:space="preserve"> </v>
      </c>
    </row>
    <row r="443" spans="1:13" x14ac:dyDescent="0.25">
      <c r="A443" s="34" t="str">
        <f t="shared" si="30"/>
        <v xml:space="preserve"> </v>
      </c>
      <c r="D443" s="33"/>
      <c r="E443" s="33"/>
      <c r="J443" s="14">
        <f t="shared" si="33"/>
        <v>0</v>
      </c>
      <c r="K443" s="2" t="str">
        <f t="shared" si="34"/>
        <v xml:space="preserve"> </v>
      </c>
      <c r="L443" s="2" t="str">
        <f t="shared" si="31"/>
        <v xml:space="preserve"> </v>
      </c>
      <c r="M443" s="2" t="str">
        <f t="shared" si="32"/>
        <v xml:space="preserve"> </v>
      </c>
    </row>
    <row r="444" spans="1:13" x14ac:dyDescent="0.25">
      <c r="A444" s="34" t="str">
        <f t="shared" si="30"/>
        <v xml:space="preserve"> </v>
      </c>
      <c r="D444" s="33"/>
      <c r="E444" s="33"/>
      <c r="J444" s="14">
        <f t="shared" si="33"/>
        <v>0</v>
      </c>
      <c r="K444" s="2" t="str">
        <f t="shared" si="34"/>
        <v xml:space="preserve"> </v>
      </c>
      <c r="L444" s="2" t="str">
        <f t="shared" si="31"/>
        <v xml:space="preserve"> </v>
      </c>
      <c r="M444" s="2" t="str">
        <f t="shared" si="32"/>
        <v xml:space="preserve"> </v>
      </c>
    </row>
    <row r="445" spans="1:13" x14ac:dyDescent="0.25">
      <c r="A445" s="34" t="str">
        <f t="shared" si="30"/>
        <v xml:space="preserve"> </v>
      </c>
      <c r="D445" s="33"/>
      <c r="E445" s="33"/>
      <c r="J445" s="14">
        <f t="shared" si="33"/>
        <v>0</v>
      </c>
      <c r="K445" s="2" t="str">
        <f t="shared" si="34"/>
        <v xml:space="preserve"> </v>
      </c>
      <c r="L445" s="2" t="str">
        <f t="shared" si="31"/>
        <v xml:space="preserve"> </v>
      </c>
      <c r="M445" s="2" t="str">
        <f t="shared" si="32"/>
        <v xml:space="preserve"> </v>
      </c>
    </row>
    <row r="446" spans="1:13" x14ac:dyDescent="0.25">
      <c r="A446" s="34" t="str">
        <f t="shared" si="30"/>
        <v xml:space="preserve"> </v>
      </c>
      <c r="D446" s="33"/>
      <c r="E446" s="33"/>
      <c r="J446" s="14">
        <f t="shared" si="33"/>
        <v>0</v>
      </c>
      <c r="K446" s="2" t="str">
        <f t="shared" si="34"/>
        <v xml:space="preserve"> </v>
      </c>
      <c r="L446" s="2" t="str">
        <f t="shared" si="31"/>
        <v xml:space="preserve"> </v>
      </c>
      <c r="M446" s="2" t="str">
        <f t="shared" si="32"/>
        <v xml:space="preserve"> </v>
      </c>
    </row>
    <row r="447" spans="1:13" x14ac:dyDescent="0.25">
      <c r="A447" s="34" t="str">
        <f t="shared" si="30"/>
        <v xml:space="preserve"> </v>
      </c>
      <c r="D447" s="33"/>
      <c r="E447" s="33"/>
      <c r="J447" s="14">
        <f t="shared" si="33"/>
        <v>0</v>
      </c>
      <c r="K447" s="2" t="str">
        <f t="shared" si="34"/>
        <v xml:space="preserve"> </v>
      </c>
      <c r="L447" s="2" t="str">
        <f t="shared" si="31"/>
        <v xml:space="preserve"> </v>
      </c>
      <c r="M447" s="2" t="str">
        <f t="shared" si="32"/>
        <v xml:space="preserve"> </v>
      </c>
    </row>
    <row r="448" spans="1:13" x14ac:dyDescent="0.25">
      <c r="A448" s="34" t="str">
        <f t="shared" si="30"/>
        <v xml:space="preserve"> </v>
      </c>
      <c r="D448" s="33"/>
      <c r="E448" s="33"/>
      <c r="J448" s="14">
        <f t="shared" si="33"/>
        <v>0</v>
      </c>
      <c r="K448" s="2" t="str">
        <f t="shared" si="34"/>
        <v xml:space="preserve"> </v>
      </c>
      <c r="L448" s="2" t="str">
        <f t="shared" si="31"/>
        <v xml:space="preserve"> </v>
      </c>
      <c r="M448" s="2" t="str">
        <f t="shared" si="32"/>
        <v xml:space="preserve"> </v>
      </c>
    </row>
    <row r="449" spans="1:13" x14ac:dyDescent="0.25">
      <c r="A449" s="34" t="str">
        <f t="shared" si="30"/>
        <v xml:space="preserve"> </v>
      </c>
      <c r="D449" s="33"/>
      <c r="E449" s="33"/>
      <c r="J449" s="14">
        <f t="shared" si="33"/>
        <v>0</v>
      </c>
      <c r="K449" s="2" t="str">
        <f t="shared" si="34"/>
        <v xml:space="preserve"> </v>
      </c>
      <c r="L449" s="2" t="str">
        <f t="shared" si="31"/>
        <v xml:space="preserve"> </v>
      </c>
      <c r="M449" s="2" t="str">
        <f t="shared" si="32"/>
        <v xml:space="preserve"> </v>
      </c>
    </row>
    <row r="450" spans="1:13" x14ac:dyDescent="0.25">
      <c r="A450" s="34" t="str">
        <f t="shared" si="30"/>
        <v xml:space="preserve"> </v>
      </c>
      <c r="D450" s="33"/>
      <c r="E450" s="33"/>
      <c r="J450" s="14">
        <f t="shared" si="33"/>
        <v>0</v>
      </c>
      <c r="K450" s="2" t="str">
        <f t="shared" si="34"/>
        <v xml:space="preserve"> </v>
      </c>
      <c r="L450" s="2" t="str">
        <f t="shared" si="31"/>
        <v xml:space="preserve"> </v>
      </c>
      <c r="M450" s="2" t="str">
        <f t="shared" si="32"/>
        <v xml:space="preserve"> </v>
      </c>
    </row>
    <row r="451" spans="1:13" x14ac:dyDescent="0.25">
      <c r="A451" s="34" t="str">
        <f t="shared" si="30"/>
        <v xml:space="preserve"> </v>
      </c>
      <c r="D451" s="33"/>
      <c r="E451" s="33"/>
      <c r="J451" s="14">
        <f t="shared" si="33"/>
        <v>0</v>
      </c>
      <c r="K451" s="2" t="str">
        <f t="shared" si="34"/>
        <v xml:space="preserve"> </v>
      </c>
      <c r="L451" s="2" t="str">
        <f t="shared" si="31"/>
        <v xml:space="preserve"> </v>
      </c>
      <c r="M451" s="2" t="str">
        <f t="shared" si="32"/>
        <v xml:space="preserve"> </v>
      </c>
    </row>
    <row r="452" spans="1:13" x14ac:dyDescent="0.25">
      <c r="A452" s="34" t="str">
        <f t="shared" si="30"/>
        <v xml:space="preserve"> </v>
      </c>
      <c r="D452" s="33"/>
      <c r="E452" s="33"/>
      <c r="J452" s="14">
        <f t="shared" si="33"/>
        <v>0</v>
      </c>
      <c r="K452" s="2" t="str">
        <f t="shared" si="34"/>
        <v xml:space="preserve"> </v>
      </c>
      <c r="L452" s="2" t="str">
        <f t="shared" si="31"/>
        <v xml:space="preserve"> </v>
      </c>
      <c r="M452" s="2" t="str">
        <f t="shared" si="32"/>
        <v xml:space="preserve"> </v>
      </c>
    </row>
    <row r="453" spans="1:13" x14ac:dyDescent="0.25">
      <c r="A453" s="34" t="str">
        <f t="shared" si="30"/>
        <v xml:space="preserve"> </v>
      </c>
      <c r="D453" s="33"/>
      <c r="E453" s="33"/>
      <c r="J453" s="14">
        <f t="shared" si="33"/>
        <v>0</v>
      </c>
      <c r="K453" s="2" t="str">
        <f t="shared" si="34"/>
        <v xml:space="preserve"> </v>
      </c>
      <c r="L453" s="2" t="str">
        <f t="shared" si="31"/>
        <v xml:space="preserve"> </v>
      </c>
      <c r="M453" s="2" t="str">
        <f t="shared" si="32"/>
        <v xml:space="preserve"> </v>
      </c>
    </row>
    <row r="454" spans="1:13" x14ac:dyDescent="0.25">
      <c r="A454" s="34" t="str">
        <f t="shared" si="30"/>
        <v xml:space="preserve"> </v>
      </c>
      <c r="D454" s="33"/>
      <c r="E454" s="33"/>
      <c r="J454" s="14">
        <f t="shared" si="33"/>
        <v>0</v>
      </c>
      <c r="K454" s="2" t="str">
        <f t="shared" si="34"/>
        <v xml:space="preserve"> </v>
      </c>
      <c r="L454" s="2" t="str">
        <f t="shared" si="31"/>
        <v xml:space="preserve"> </v>
      </c>
      <c r="M454" s="2" t="str">
        <f t="shared" si="32"/>
        <v xml:space="preserve"> </v>
      </c>
    </row>
    <row r="455" spans="1:13" x14ac:dyDescent="0.25">
      <c r="A455" s="34" t="str">
        <f t="shared" si="30"/>
        <v xml:space="preserve"> </v>
      </c>
      <c r="D455" s="33"/>
      <c r="E455" s="33"/>
      <c r="J455" s="14">
        <f t="shared" si="33"/>
        <v>0</v>
      </c>
      <c r="K455" s="2" t="str">
        <f t="shared" si="34"/>
        <v xml:space="preserve"> </v>
      </c>
      <c r="L455" s="2" t="str">
        <f t="shared" si="31"/>
        <v xml:space="preserve"> </v>
      </c>
      <c r="M455" s="2" t="str">
        <f t="shared" si="32"/>
        <v xml:space="preserve"> </v>
      </c>
    </row>
    <row r="456" spans="1:13" x14ac:dyDescent="0.25">
      <c r="A456" s="34" t="str">
        <f t="shared" si="30"/>
        <v xml:space="preserve"> </v>
      </c>
      <c r="D456" s="33"/>
      <c r="E456" s="33"/>
      <c r="J456" s="14">
        <f t="shared" si="33"/>
        <v>0</v>
      </c>
      <c r="K456" s="2" t="str">
        <f t="shared" si="34"/>
        <v xml:space="preserve"> </v>
      </c>
      <c r="L456" s="2" t="str">
        <f t="shared" si="31"/>
        <v xml:space="preserve"> </v>
      </c>
      <c r="M456" s="2" t="str">
        <f t="shared" si="32"/>
        <v xml:space="preserve"> </v>
      </c>
    </row>
    <row r="457" spans="1:13" x14ac:dyDescent="0.25">
      <c r="A457" s="34" t="str">
        <f t="shared" si="30"/>
        <v xml:space="preserve"> </v>
      </c>
      <c r="D457" s="33"/>
      <c r="E457" s="33"/>
      <c r="J457" s="14">
        <f t="shared" si="33"/>
        <v>0</v>
      </c>
      <c r="K457" s="2" t="str">
        <f t="shared" si="34"/>
        <v xml:space="preserve"> </v>
      </c>
      <c r="L457" s="2" t="str">
        <f t="shared" si="31"/>
        <v xml:space="preserve"> </v>
      </c>
      <c r="M457" s="2" t="str">
        <f t="shared" si="32"/>
        <v xml:space="preserve"> </v>
      </c>
    </row>
    <row r="458" spans="1:13" x14ac:dyDescent="0.25">
      <c r="A458" s="34" t="str">
        <f t="shared" si="30"/>
        <v xml:space="preserve"> </v>
      </c>
      <c r="D458" s="33"/>
      <c r="E458" s="33"/>
      <c r="J458" s="14">
        <f t="shared" si="33"/>
        <v>0</v>
      </c>
      <c r="K458" s="2" t="str">
        <f t="shared" si="34"/>
        <v xml:space="preserve"> </v>
      </c>
      <c r="L458" s="2" t="str">
        <f t="shared" si="31"/>
        <v xml:space="preserve"> </v>
      </c>
      <c r="M458" s="2" t="str">
        <f t="shared" si="32"/>
        <v xml:space="preserve"> </v>
      </c>
    </row>
    <row r="459" spans="1:13" x14ac:dyDescent="0.25">
      <c r="A459" s="34" t="str">
        <f t="shared" si="30"/>
        <v xml:space="preserve"> </v>
      </c>
      <c r="D459" s="33"/>
      <c r="E459" s="33"/>
      <c r="J459" s="14">
        <f t="shared" si="33"/>
        <v>0</v>
      </c>
      <c r="K459" s="2" t="str">
        <f t="shared" si="34"/>
        <v xml:space="preserve"> </v>
      </c>
      <c r="L459" s="2" t="str">
        <f t="shared" si="31"/>
        <v xml:space="preserve"> </v>
      </c>
      <c r="M459" s="2" t="str">
        <f t="shared" si="32"/>
        <v xml:space="preserve"> </v>
      </c>
    </row>
    <row r="460" spans="1:13" x14ac:dyDescent="0.25">
      <c r="A460" s="34" t="str">
        <f t="shared" si="30"/>
        <v xml:space="preserve"> </v>
      </c>
      <c r="D460" s="33"/>
      <c r="E460" s="33"/>
      <c r="J460" s="14">
        <f t="shared" si="33"/>
        <v>0</v>
      </c>
      <c r="K460" s="2" t="str">
        <f t="shared" si="34"/>
        <v xml:space="preserve"> </v>
      </c>
      <c r="L460" s="2" t="str">
        <f t="shared" si="31"/>
        <v xml:space="preserve"> </v>
      </c>
      <c r="M460" s="2" t="str">
        <f t="shared" si="32"/>
        <v xml:space="preserve"> </v>
      </c>
    </row>
    <row r="461" spans="1:13" x14ac:dyDescent="0.25">
      <c r="A461" s="34" t="str">
        <f t="shared" si="30"/>
        <v xml:space="preserve"> </v>
      </c>
      <c r="D461" s="33"/>
      <c r="E461" s="33"/>
      <c r="J461" s="14">
        <f t="shared" si="33"/>
        <v>0</v>
      </c>
      <c r="K461" s="2" t="str">
        <f t="shared" si="34"/>
        <v xml:space="preserve"> </v>
      </c>
      <c r="L461" s="2" t="str">
        <f t="shared" si="31"/>
        <v xml:space="preserve"> </v>
      </c>
      <c r="M461" s="2" t="str">
        <f t="shared" si="32"/>
        <v xml:space="preserve"> </v>
      </c>
    </row>
    <row r="462" spans="1:13" x14ac:dyDescent="0.25">
      <c r="A462" s="34" t="str">
        <f t="shared" si="30"/>
        <v xml:space="preserve"> </v>
      </c>
      <c r="D462" s="33"/>
      <c r="E462" s="33"/>
      <c r="J462" s="14">
        <f t="shared" si="33"/>
        <v>0</v>
      </c>
      <c r="K462" s="2" t="str">
        <f t="shared" si="34"/>
        <v xml:space="preserve"> </v>
      </c>
      <c r="L462" s="2" t="str">
        <f t="shared" si="31"/>
        <v xml:space="preserve"> </v>
      </c>
      <c r="M462" s="2" t="str">
        <f t="shared" si="32"/>
        <v xml:space="preserve"> </v>
      </c>
    </row>
    <row r="463" spans="1:13" x14ac:dyDescent="0.25">
      <c r="A463" s="34" t="str">
        <f t="shared" ref="A463:A482" si="35">IF(COUNTIF(K463:M463,"ERROR")&gt;0,"ERROR"," ")</f>
        <v xml:space="preserve"> </v>
      </c>
      <c r="D463" s="33"/>
      <c r="E463" s="33"/>
      <c r="J463" s="14">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x14ac:dyDescent="0.25">
      <c r="A464" s="34" t="str">
        <f t="shared" si="35"/>
        <v xml:space="preserve"> </v>
      </c>
      <c r="D464" s="33"/>
      <c r="E464" s="33"/>
      <c r="J464" s="14">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4" t="str">
        <f t="shared" si="35"/>
        <v xml:space="preserve"> </v>
      </c>
      <c r="D465" s="33"/>
      <c r="E465" s="33"/>
      <c r="J465" s="14">
        <f t="shared" si="38"/>
        <v>0</v>
      </c>
      <c r="K465" s="2" t="str">
        <f t="shared" si="39"/>
        <v xml:space="preserve"> </v>
      </c>
      <c r="L465" s="2" t="str">
        <f t="shared" si="36"/>
        <v xml:space="preserve"> </v>
      </c>
      <c r="M465" s="2" t="str">
        <f t="shared" si="37"/>
        <v xml:space="preserve"> </v>
      </c>
    </row>
    <row r="466" spans="1:13" x14ac:dyDescent="0.25">
      <c r="A466" s="34" t="str">
        <f t="shared" si="35"/>
        <v xml:space="preserve"> </v>
      </c>
      <c r="D466" s="33"/>
      <c r="E466" s="33"/>
      <c r="J466" s="14">
        <f t="shared" si="38"/>
        <v>0</v>
      </c>
      <c r="K466" s="2" t="str">
        <f t="shared" si="39"/>
        <v xml:space="preserve"> </v>
      </c>
      <c r="L466" s="2" t="str">
        <f t="shared" si="36"/>
        <v xml:space="preserve"> </v>
      </c>
      <c r="M466" s="2" t="str">
        <f t="shared" si="37"/>
        <v xml:space="preserve"> </v>
      </c>
    </row>
    <row r="467" spans="1:13" x14ac:dyDescent="0.25">
      <c r="A467" s="34" t="str">
        <f t="shared" si="35"/>
        <v xml:space="preserve"> </v>
      </c>
      <c r="D467" s="33"/>
      <c r="E467" s="33"/>
      <c r="J467" s="14">
        <f t="shared" si="38"/>
        <v>0</v>
      </c>
      <c r="K467" s="2" t="str">
        <f t="shared" si="39"/>
        <v xml:space="preserve"> </v>
      </c>
      <c r="L467" s="2" t="str">
        <f t="shared" si="36"/>
        <v xml:space="preserve"> </v>
      </c>
      <c r="M467" s="2" t="str">
        <f t="shared" si="37"/>
        <v xml:space="preserve"> </v>
      </c>
    </row>
    <row r="468" spans="1:13" x14ac:dyDescent="0.25">
      <c r="A468" s="34" t="str">
        <f t="shared" si="35"/>
        <v xml:space="preserve"> </v>
      </c>
      <c r="D468" s="33"/>
      <c r="E468" s="33"/>
      <c r="J468" s="14">
        <f t="shared" si="38"/>
        <v>0</v>
      </c>
      <c r="K468" s="2" t="str">
        <f t="shared" si="39"/>
        <v xml:space="preserve"> </v>
      </c>
      <c r="L468" s="2" t="str">
        <f t="shared" si="36"/>
        <v xml:space="preserve"> </v>
      </c>
      <c r="M468" s="2" t="str">
        <f t="shared" si="37"/>
        <v xml:space="preserve"> </v>
      </c>
    </row>
    <row r="469" spans="1:13" x14ac:dyDescent="0.25">
      <c r="A469" s="34" t="str">
        <f t="shared" si="35"/>
        <v xml:space="preserve"> </v>
      </c>
      <c r="D469" s="33"/>
      <c r="E469" s="33"/>
      <c r="J469" s="14">
        <f t="shared" si="38"/>
        <v>0</v>
      </c>
      <c r="K469" s="2" t="str">
        <f t="shared" si="39"/>
        <v xml:space="preserve"> </v>
      </c>
      <c r="L469" s="2" t="str">
        <f t="shared" si="36"/>
        <v xml:space="preserve"> </v>
      </c>
      <c r="M469" s="2" t="str">
        <f t="shared" si="37"/>
        <v xml:space="preserve"> </v>
      </c>
    </row>
    <row r="470" spans="1:13" x14ac:dyDescent="0.25">
      <c r="A470" s="34" t="str">
        <f t="shared" si="35"/>
        <v xml:space="preserve"> </v>
      </c>
      <c r="D470" s="33"/>
      <c r="E470" s="33"/>
      <c r="J470" s="14">
        <f t="shared" si="38"/>
        <v>0</v>
      </c>
      <c r="K470" s="2" t="str">
        <f t="shared" si="39"/>
        <v xml:space="preserve"> </v>
      </c>
      <c r="L470" s="2" t="str">
        <f t="shared" si="36"/>
        <v xml:space="preserve"> </v>
      </c>
      <c r="M470" s="2" t="str">
        <f t="shared" si="37"/>
        <v xml:space="preserve"> </v>
      </c>
    </row>
    <row r="471" spans="1:13" x14ac:dyDescent="0.25">
      <c r="A471" s="34" t="str">
        <f t="shared" si="35"/>
        <v xml:space="preserve"> </v>
      </c>
      <c r="D471" s="33"/>
      <c r="E471" s="33"/>
      <c r="J471" s="14">
        <f t="shared" si="38"/>
        <v>0</v>
      </c>
      <c r="K471" s="2" t="str">
        <f t="shared" si="39"/>
        <v xml:space="preserve"> </v>
      </c>
      <c r="L471" s="2" t="str">
        <f t="shared" si="36"/>
        <v xml:space="preserve"> </v>
      </c>
      <c r="M471" s="2" t="str">
        <f t="shared" si="37"/>
        <v xml:space="preserve"> </v>
      </c>
    </row>
    <row r="472" spans="1:13" x14ac:dyDescent="0.25">
      <c r="A472" s="34" t="str">
        <f t="shared" si="35"/>
        <v xml:space="preserve"> </v>
      </c>
      <c r="D472" s="33"/>
      <c r="E472" s="33"/>
      <c r="J472" s="14">
        <f t="shared" si="38"/>
        <v>0</v>
      </c>
      <c r="K472" s="2" t="str">
        <f t="shared" si="39"/>
        <v xml:space="preserve"> </v>
      </c>
      <c r="L472" s="2" t="str">
        <f t="shared" si="36"/>
        <v xml:space="preserve"> </v>
      </c>
      <c r="M472" s="2" t="str">
        <f t="shared" si="37"/>
        <v xml:space="preserve"> </v>
      </c>
    </row>
    <row r="473" spans="1:13" x14ac:dyDescent="0.25">
      <c r="A473" s="34" t="str">
        <f t="shared" si="35"/>
        <v xml:space="preserve"> </v>
      </c>
      <c r="D473" s="33"/>
      <c r="E473" s="33"/>
      <c r="J473" s="14">
        <f t="shared" si="38"/>
        <v>0</v>
      </c>
      <c r="K473" s="2" t="str">
        <f t="shared" si="39"/>
        <v xml:space="preserve"> </v>
      </c>
      <c r="L473" s="2" t="str">
        <f t="shared" si="36"/>
        <v xml:space="preserve"> </v>
      </c>
      <c r="M473" s="2" t="str">
        <f t="shared" si="37"/>
        <v xml:space="preserve"> </v>
      </c>
    </row>
    <row r="474" spans="1:13" x14ac:dyDescent="0.25">
      <c r="A474" s="34" t="str">
        <f t="shared" si="35"/>
        <v xml:space="preserve"> </v>
      </c>
      <c r="D474" s="33"/>
      <c r="E474" s="33"/>
      <c r="J474" s="14">
        <f t="shared" si="38"/>
        <v>0</v>
      </c>
      <c r="K474" s="2" t="str">
        <f t="shared" si="39"/>
        <v xml:space="preserve"> </v>
      </c>
      <c r="L474" s="2" t="str">
        <f t="shared" si="36"/>
        <v xml:space="preserve"> </v>
      </c>
      <c r="M474" s="2" t="str">
        <f t="shared" si="37"/>
        <v xml:space="preserve"> </v>
      </c>
    </row>
    <row r="475" spans="1:13" x14ac:dyDescent="0.25">
      <c r="A475" s="34" t="str">
        <f t="shared" si="35"/>
        <v xml:space="preserve"> </v>
      </c>
      <c r="D475" s="33"/>
      <c r="E475" s="33"/>
      <c r="J475" s="14">
        <f t="shared" si="38"/>
        <v>0</v>
      </c>
      <c r="K475" s="2" t="str">
        <f t="shared" si="39"/>
        <v xml:space="preserve"> </v>
      </c>
      <c r="L475" s="2" t="str">
        <f t="shared" si="36"/>
        <v xml:space="preserve"> </v>
      </c>
      <c r="M475" s="2" t="str">
        <f t="shared" si="37"/>
        <v xml:space="preserve"> </v>
      </c>
    </row>
    <row r="476" spans="1:13" x14ac:dyDescent="0.25">
      <c r="A476" s="34" t="str">
        <f t="shared" si="35"/>
        <v xml:space="preserve"> </v>
      </c>
      <c r="D476" s="33"/>
      <c r="E476" s="33"/>
      <c r="J476" s="14">
        <f t="shared" si="38"/>
        <v>0</v>
      </c>
      <c r="K476" s="2" t="str">
        <f t="shared" si="39"/>
        <v xml:space="preserve"> </v>
      </c>
      <c r="L476" s="2" t="str">
        <f t="shared" si="36"/>
        <v xml:space="preserve"> </v>
      </c>
      <c r="M476" s="2" t="str">
        <f t="shared" si="37"/>
        <v xml:space="preserve"> </v>
      </c>
    </row>
    <row r="477" spans="1:13" x14ac:dyDescent="0.25">
      <c r="A477" s="34" t="str">
        <f t="shared" si="35"/>
        <v xml:space="preserve"> </v>
      </c>
      <c r="D477" s="33"/>
      <c r="E477" s="33"/>
      <c r="J477" s="14">
        <f t="shared" si="38"/>
        <v>0</v>
      </c>
      <c r="K477" s="2" t="str">
        <f t="shared" si="39"/>
        <v xml:space="preserve"> </v>
      </c>
      <c r="L477" s="2" t="str">
        <f t="shared" si="36"/>
        <v xml:space="preserve"> </v>
      </c>
      <c r="M477" s="2" t="str">
        <f t="shared" si="37"/>
        <v xml:space="preserve"> </v>
      </c>
    </row>
    <row r="478" spans="1:13" x14ac:dyDescent="0.25">
      <c r="A478" s="34" t="str">
        <f t="shared" si="35"/>
        <v xml:space="preserve"> </v>
      </c>
      <c r="D478" s="33"/>
      <c r="E478" s="33"/>
      <c r="J478" s="14">
        <f t="shared" si="38"/>
        <v>0</v>
      </c>
      <c r="K478" s="2" t="str">
        <f t="shared" si="39"/>
        <v xml:space="preserve"> </v>
      </c>
      <c r="L478" s="2" t="str">
        <f t="shared" si="36"/>
        <v xml:space="preserve"> </v>
      </c>
      <c r="M478" s="2" t="str">
        <f t="shared" si="37"/>
        <v xml:space="preserve"> </v>
      </c>
    </row>
    <row r="479" spans="1:13" x14ac:dyDescent="0.25">
      <c r="A479" s="34" t="str">
        <f t="shared" si="35"/>
        <v xml:space="preserve"> </v>
      </c>
      <c r="D479" s="33"/>
      <c r="E479" s="33"/>
      <c r="J479" s="14">
        <f t="shared" si="38"/>
        <v>0</v>
      </c>
      <c r="K479" s="2" t="str">
        <f t="shared" si="39"/>
        <v xml:space="preserve"> </v>
      </c>
      <c r="L479" s="2" t="str">
        <f t="shared" si="36"/>
        <v xml:space="preserve"> </v>
      </c>
      <c r="M479" s="2" t="str">
        <f t="shared" si="37"/>
        <v xml:space="preserve"> </v>
      </c>
    </row>
    <row r="480" spans="1:13" x14ac:dyDescent="0.25">
      <c r="A480" s="34" t="str">
        <f t="shared" si="35"/>
        <v xml:space="preserve"> </v>
      </c>
      <c r="D480" s="33"/>
      <c r="E480" s="33"/>
      <c r="J480" s="14">
        <f t="shared" si="38"/>
        <v>0</v>
      </c>
      <c r="K480" s="2" t="str">
        <f t="shared" si="39"/>
        <v xml:space="preserve"> </v>
      </c>
      <c r="L480" s="2" t="str">
        <f t="shared" si="36"/>
        <v xml:space="preserve"> </v>
      </c>
      <c r="M480" s="2" t="str">
        <f t="shared" si="37"/>
        <v xml:space="preserve"> </v>
      </c>
    </row>
    <row r="481" spans="1:13" x14ac:dyDescent="0.25">
      <c r="A481" s="34" t="str">
        <f t="shared" si="35"/>
        <v xml:space="preserve"> </v>
      </c>
      <c r="D481" s="33"/>
      <c r="E481" s="33"/>
      <c r="J481" s="14">
        <f t="shared" si="38"/>
        <v>0</v>
      </c>
      <c r="K481" s="2" t="str">
        <f t="shared" si="39"/>
        <v xml:space="preserve"> </v>
      </c>
      <c r="L481" s="2" t="str">
        <f t="shared" si="36"/>
        <v xml:space="preserve"> </v>
      </c>
      <c r="M481" s="2" t="str">
        <f t="shared" si="37"/>
        <v xml:space="preserve"> </v>
      </c>
    </row>
    <row r="482" spans="1:13" x14ac:dyDescent="0.25">
      <c r="A482" s="34" t="str">
        <f t="shared" si="35"/>
        <v xml:space="preserve"> </v>
      </c>
      <c r="D482" s="33"/>
      <c r="E482" s="33"/>
      <c r="J482" s="14">
        <f t="shared" si="38"/>
        <v>0</v>
      </c>
      <c r="K482" s="2" t="str">
        <f t="shared" si="39"/>
        <v xml:space="preserve"> </v>
      </c>
      <c r="L482" s="2" t="str">
        <f t="shared" si="36"/>
        <v xml:space="preserve"> </v>
      </c>
      <c r="M482" s="2" t="str">
        <f t="shared" si="37"/>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292</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R431"/>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1" customWidth="1"/>
    <col min="3" max="3" width="46.42578125" style="12" bestFit="1" customWidth="1"/>
    <col min="4" max="5" width="15.42578125" style="13" bestFit="1" customWidth="1"/>
    <col min="6" max="6" width="15.42578125" style="13" customWidth="1"/>
    <col min="7" max="7" width="14.140625" style="13" customWidth="1"/>
    <col min="8" max="8" width="15.85546875" style="13" bestFit="1" customWidth="1"/>
    <col min="9" max="9" width="16" style="76" customWidth="1"/>
    <col min="10" max="10" width="3.85546875" style="76" customWidth="1"/>
    <col min="11" max="11" width="16.140625" bestFit="1" customWidth="1"/>
    <col min="12" max="12" width="4.140625" customWidth="1"/>
    <col min="13" max="13" width="8.85546875" customWidth="1"/>
    <col min="14" max="14" width="13.85546875" style="42" bestFit="1" customWidth="1"/>
    <col min="15" max="15" width="14.28515625" bestFit="1" customWidth="1"/>
    <col min="16" max="17" width="13.140625" bestFit="1" customWidth="1"/>
    <col min="18" max="18" width="13.85546875" bestFit="1" customWidth="1"/>
  </cols>
  <sheetData>
    <row r="1" spans="1:18" x14ac:dyDescent="0.2">
      <c r="A1" s="257"/>
      <c r="B1" s="258"/>
      <c r="C1" s="273">
        <f>Criteria!E16</f>
        <v>0</v>
      </c>
      <c r="D1" s="274"/>
      <c r="E1" s="274"/>
      <c r="F1" s="259"/>
      <c r="G1" s="260" t="s">
        <v>166</v>
      </c>
      <c r="H1" s="260"/>
      <c r="I1" s="261">
        <f>Criteria!E22</f>
        <v>2024</v>
      </c>
      <c r="J1" s="261"/>
      <c r="K1" s="261">
        <f>Criteria!E27</f>
        <v>2023</v>
      </c>
      <c r="L1" s="258"/>
      <c r="M1" s="258"/>
      <c r="N1" s="244" t="s">
        <v>350</v>
      </c>
      <c r="O1" s="62"/>
      <c r="P1" s="62"/>
    </row>
    <row r="2" spans="1:18" x14ac:dyDescent="0.2">
      <c r="A2" s="262" t="s">
        <v>1015</v>
      </c>
      <c r="B2" s="258"/>
      <c r="C2" s="258"/>
      <c r="D2" s="529">
        <f>D403-E403</f>
        <v>0</v>
      </c>
      <c r="E2" s="529"/>
      <c r="F2" s="264" t="s">
        <v>446</v>
      </c>
      <c r="G2" s="259">
        <f>G403</f>
        <v>0</v>
      </c>
      <c r="H2" s="259">
        <f>D2-E2</f>
        <v>0</v>
      </c>
      <c r="I2" s="267">
        <f>I403</f>
        <v>0</v>
      </c>
      <c r="J2" s="267"/>
      <c r="K2" s="268">
        <f>K403</f>
        <v>0</v>
      </c>
      <c r="L2" s="258"/>
      <c r="M2" s="258"/>
      <c r="N2" s="268">
        <f>SUM(I5:I155)</f>
        <v>0</v>
      </c>
      <c r="O2" s="63"/>
      <c r="P2" s="63"/>
    </row>
    <row r="3" spans="1:18" x14ac:dyDescent="0.2">
      <c r="A3" s="262" t="s">
        <v>620</v>
      </c>
      <c r="B3" s="275" t="s">
        <v>227</v>
      </c>
      <c r="C3" s="269" t="s">
        <v>228</v>
      </c>
      <c r="D3" s="262" t="s">
        <v>229</v>
      </c>
      <c r="E3" s="262" t="s">
        <v>230</v>
      </c>
      <c r="F3" s="270" t="s">
        <v>137</v>
      </c>
      <c r="G3" s="257"/>
      <c r="H3" s="257"/>
      <c r="I3" s="272"/>
      <c r="J3" s="272"/>
      <c r="K3" s="258"/>
      <c r="L3" s="258"/>
      <c r="M3" s="258"/>
      <c r="N3" s="241"/>
    </row>
    <row r="4" spans="1:18" x14ac:dyDescent="0.2">
      <c r="A4" s="121"/>
      <c r="B4" s="90" t="s">
        <v>231</v>
      </c>
      <c r="C4" s="239" t="s">
        <v>112</v>
      </c>
      <c r="D4" s="83"/>
      <c r="E4" s="51"/>
      <c r="F4" s="51"/>
      <c r="G4" s="38"/>
      <c r="H4" s="38"/>
      <c r="I4" s="59"/>
      <c r="J4" s="59"/>
      <c r="K4" s="46" t="s">
        <v>228</v>
      </c>
      <c r="N4" s="43"/>
    </row>
    <row r="5" spans="1:18" x14ac:dyDescent="0.2">
      <c r="A5" s="238"/>
      <c r="B5" s="10" t="s">
        <v>232</v>
      </c>
      <c r="C5" s="242" t="s">
        <v>907</v>
      </c>
      <c r="D5" s="284"/>
      <c r="E5" s="281"/>
      <c r="F5" s="79"/>
      <c r="G5" s="47">
        <f>SUMIF(JournalsC!D$14:D$920,TrialBalanceC!M5,JournalsC!J$14:J$920)+SUMIF(JournalsC!E$14:E$920,TrialBalanceC!M5,JournalsC!J$14:J$920)</f>
        <v>0</v>
      </c>
      <c r="H5" s="288"/>
      <c r="I5" s="291">
        <f t="shared" ref="I5:I72" si="0">ROUND(D5-E5+G5+F5,0)</f>
        <v>0</v>
      </c>
      <c r="J5" s="75"/>
      <c r="K5" s="48">
        <f t="shared" ref="K5:K72" si="1">ROUND(SUM(A5),0)</f>
        <v>0</v>
      </c>
      <c r="M5" s="140" t="str">
        <f t="shared" ref="M5:M72" si="2">CONCATENATE(B5,C5)</f>
        <v>1000/001Sale of goods</v>
      </c>
      <c r="N5" s="70"/>
      <c r="P5" s="71"/>
      <c r="Q5" s="51"/>
      <c r="R5" s="31"/>
    </row>
    <row r="6" spans="1:18" x14ac:dyDescent="0.2">
      <c r="A6" s="238"/>
      <c r="B6" s="90" t="s">
        <v>233</v>
      </c>
      <c r="C6" s="242" t="s">
        <v>908</v>
      </c>
      <c r="D6" s="284"/>
      <c r="E6" s="281"/>
      <c r="F6" s="79"/>
      <c r="G6" s="47">
        <f>SUMIF(JournalsC!D$14:D$920,TrialBalanceC!M6,JournalsC!J$14:J$920)+SUMIF(JournalsC!E$14:E$920,TrialBalanceC!M6,JournalsC!J$14:J$920)</f>
        <v>0</v>
      </c>
      <c r="H6" s="288"/>
      <c r="I6" s="291">
        <f t="shared" ref="I6:I9" si="3">ROUND(D6-E6+G6+F6,0)</f>
        <v>0</v>
      </c>
      <c r="J6" s="75"/>
      <c r="K6" s="48">
        <f t="shared" ref="K6:K9" si="4">ROUND(SUM(A6),0)</f>
        <v>0</v>
      </c>
      <c r="M6" s="140" t="str">
        <f t="shared" ref="M6:M9" si="5">CONCATENATE(B6,C6)</f>
        <v>1000/002Rendering of services</v>
      </c>
      <c r="N6" s="70"/>
      <c r="P6" s="71"/>
      <c r="Q6" s="51"/>
      <c r="R6" s="31"/>
    </row>
    <row r="7" spans="1:18" x14ac:dyDescent="0.2">
      <c r="A7" s="238"/>
      <c r="B7" s="90" t="s">
        <v>234</v>
      </c>
      <c r="C7" s="242" t="s">
        <v>909</v>
      </c>
      <c r="D7" s="284"/>
      <c r="E7" s="281"/>
      <c r="F7" s="79"/>
      <c r="G7" s="47">
        <f>SUMIF(JournalsC!D$14:D$920,TrialBalanceC!M7,JournalsC!J$14:J$920)+SUMIF(JournalsC!E$14:E$920,TrialBalanceC!M7,JournalsC!J$14:J$920)</f>
        <v>0</v>
      </c>
      <c r="H7" s="288"/>
      <c r="I7" s="291">
        <f t="shared" si="3"/>
        <v>0</v>
      </c>
      <c r="J7" s="75"/>
      <c r="K7" s="48">
        <f t="shared" si="4"/>
        <v>0</v>
      </c>
      <c r="M7" s="140" t="str">
        <f t="shared" si="5"/>
        <v>1000/003Commissions received</v>
      </c>
      <c r="N7" s="70"/>
      <c r="P7" s="71"/>
      <c r="Q7" s="51"/>
      <c r="R7" s="31"/>
    </row>
    <row r="8" spans="1:18" x14ac:dyDescent="0.2">
      <c r="A8" s="238"/>
      <c r="B8" s="90" t="s">
        <v>910</v>
      </c>
      <c r="C8" s="276"/>
      <c r="D8" s="284"/>
      <c r="E8" s="281"/>
      <c r="F8" s="79"/>
      <c r="G8" s="47">
        <f>SUMIF(JournalsC!D$14:D$920,TrialBalanceC!M8,JournalsC!J$14:J$920)+SUMIF(JournalsC!E$14:E$920,TrialBalanceC!M8,JournalsC!J$14:J$920)</f>
        <v>0</v>
      </c>
      <c r="H8" s="288"/>
      <c r="I8" s="291">
        <f t="shared" si="3"/>
        <v>0</v>
      </c>
      <c r="J8" s="75"/>
      <c r="K8" s="48">
        <f t="shared" si="4"/>
        <v>0</v>
      </c>
      <c r="M8" s="140" t="str">
        <f t="shared" si="5"/>
        <v>1000/004</v>
      </c>
      <c r="N8" s="70"/>
      <c r="P8" s="71"/>
      <c r="Q8" s="51"/>
      <c r="R8" s="31"/>
    </row>
    <row r="9" spans="1:18" x14ac:dyDescent="0.2">
      <c r="A9" s="238"/>
      <c r="B9" s="90" t="s">
        <v>911</v>
      </c>
      <c r="C9" s="276"/>
      <c r="D9" s="284"/>
      <c r="E9" s="281"/>
      <c r="F9" s="79"/>
      <c r="G9" s="47">
        <f>SUMIF(JournalsC!D$14:D$920,TrialBalanceC!M9,JournalsC!J$14:J$920)+SUMIF(JournalsC!E$14:E$920,TrialBalanceC!M9,JournalsC!J$14:J$920)</f>
        <v>0</v>
      </c>
      <c r="H9" s="288"/>
      <c r="I9" s="291">
        <f t="shared" si="3"/>
        <v>0</v>
      </c>
      <c r="J9" s="75"/>
      <c r="K9" s="48">
        <f t="shared" si="4"/>
        <v>0</v>
      </c>
      <c r="M9" s="140" t="str">
        <f t="shared" si="5"/>
        <v>1000/005</v>
      </c>
      <c r="N9" s="70"/>
      <c r="P9" s="71"/>
      <c r="Q9" s="51"/>
      <c r="R9" s="31"/>
    </row>
    <row r="10" spans="1:18" x14ac:dyDescent="0.2">
      <c r="A10" s="238"/>
      <c r="B10" s="90" t="s">
        <v>912</v>
      </c>
      <c r="C10" s="277"/>
      <c r="D10" s="282"/>
      <c r="E10" s="281"/>
      <c r="F10" s="79"/>
      <c r="G10" s="47">
        <f>SUMIF(JournalsC!D$14:D$920,TrialBalanceC!M10,JournalsC!J$14:J$920)+SUMIF(JournalsC!E$14:E$920,TrialBalanceC!M10,JournalsC!J$14:J$920)</f>
        <v>0</v>
      </c>
      <c r="H10" s="288"/>
      <c r="I10" s="291">
        <f t="shared" si="0"/>
        <v>0</v>
      </c>
      <c r="J10" s="75"/>
      <c r="K10" s="48">
        <f t="shared" si="1"/>
        <v>0</v>
      </c>
      <c r="M10" s="140" t="str">
        <f t="shared" si="2"/>
        <v>1000/006</v>
      </c>
      <c r="N10" s="70"/>
      <c r="P10" s="71"/>
      <c r="Q10" s="51"/>
      <c r="R10" s="31"/>
    </row>
    <row r="11" spans="1:18" x14ac:dyDescent="0.2">
      <c r="A11" s="238"/>
      <c r="B11" s="90" t="s">
        <v>913</v>
      </c>
      <c r="C11" s="241" t="s">
        <v>359</v>
      </c>
      <c r="D11" s="281"/>
      <c r="E11" s="281"/>
      <c r="F11" s="79"/>
      <c r="G11" s="47">
        <f>SUMIF(JournalsC!D$14:D$920,TrialBalanceC!M11,JournalsC!J$14:J$920)+SUMIF(JournalsC!E$14:E$920,TrialBalanceC!M11,JournalsC!J$14:J$920)</f>
        <v>0</v>
      </c>
      <c r="H11" s="288"/>
      <c r="I11" s="291">
        <f t="shared" si="0"/>
        <v>0</v>
      </c>
      <c r="J11" s="75"/>
      <c r="K11" s="48">
        <f t="shared" si="1"/>
        <v>0</v>
      </c>
      <c r="M11" s="140" t="str">
        <f t="shared" si="2"/>
        <v>1000/007Rent received</v>
      </c>
      <c r="N11" s="70"/>
      <c r="P11" s="71"/>
      <c r="Q11" s="51"/>
      <c r="R11" s="31"/>
    </row>
    <row r="12" spans="1:18" x14ac:dyDescent="0.2">
      <c r="A12" s="238"/>
      <c r="B12" s="54" t="s">
        <v>235</v>
      </c>
      <c r="C12" s="239" t="s">
        <v>113</v>
      </c>
      <c r="D12" s="283"/>
      <c r="E12" s="281"/>
      <c r="F12" s="79"/>
      <c r="G12" s="47">
        <f>SUMIF(JournalsC!D$14:D$920,TrialBalanceC!M12,JournalsC!J$14:J$920)+SUMIF(JournalsC!E$14:E$920,TrialBalanceC!M12,JournalsC!J$14:J$920)</f>
        <v>0</v>
      </c>
      <c r="H12" s="288"/>
      <c r="I12" s="291">
        <f t="shared" si="0"/>
        <v>0</v>
      </c>
      <c r="J12" s="75"/>
      <c r="K12" s="48">
        <f t="shared" si="1"/>
        <v>0</v>
      </c>
      <c r="M12" s="140" t="str">
        <f t="shared" si="2"/>
        <v>2000/000COST OF SALES</v>
      </c>
      <c r="N12" s="70"/>
      <c r="P12" s="71"/>
      <c r="Q12" s="51"/>
      <c r="R12" s="31"/>
    </row>
    <row r="13" spans="1:18" x14ac:dyDescent="0.2">
      <c r="A13" s="238"/>
      <c r="B13" s="54" t="s">
        <v>236</v>
      </c>
      <c r="C13" s="242" t="s">
        <v>664</v>
      </c>
      <c r="D13" s="284"/>
      <c r="E13" s="281"/>
      <c r="F13" s="79"/>
      <c r="G13" s="47">
        <f>SUMIF(JournalsC!D$14:D$920,TrialBalanceC!M13,JournalsC!J$14:J$920)+SUMIF(JournalsC!E$14:E$920,TrialBalanceC!M13,JournalsC!J$14:J$920)</f>
        <v>0</v>
      </c>
      <c r="H13" s="288"/>
      <c r="I13" s="291">
        <f t="shared" si="0"/>
        <v>0</v>
      </c>
      <c r="J13" s="75"/>
      <c r="K13" s="48">
        <f t="shared" si="1"/>
        <v>0</v>
      </c>
      <c r="M13" s="140" t="str">
        <f t="shared" si="2"/>
        <v>2000/001Opening stock - Raw materials</v>
      </c>
      <c r="N13" s="70"/>
      <c r="P13" s="71"/>
      <c r="Q13" s="51"/>
      <c r="R13" s="31"/>
    </row>
    <row r="14" spans="1:18" x14ac:dyDescent="0.2">
      <c r="A14" s="238"/>
      <c r="B14" s="54" t="s">
        <v>388</v>
      </c>
      <c r="C14" s="240" t="s">
        <v>389</v>
      </c>
      <c r="D14" s="282"/>
      <c r="E14" s="281"/>
      <c r="F14" s="79"/>
      <c r="G14" s="47">
        <f>SUMIF(JournalsC!D$14:D$920,TrialBalanceC!M14,JournalsC!J$14:J$920)+SUMIF(JournalsC!E$14:E$920,TrialBalanceC!M14,JournalsC!J$14:J$920)</f>
        <v>0</v>
      </c>
      <c r="H14" s="288"/>
      <c r="I14" s="291">
        <f t="shared" si="0"/>
        <v>0</v>
      </c>
      <c r="J14" s="75"/>
      <c r="K14" s="48">
        <f t="shared" si="1"/>
        <v>0</v>
      </c>
      <c r="M14" s="140" t="str">
        <f t="shared" si="2"/>
        <v>2000/002Opening stock - WIP</v>
      </c>
      <c r="N14" s="70"/>
      <c r="P14" s="71"/>
      <c r="Q14" s="51"/>
      <c r="R14" s="31"/>
    </row>
    <row r="15" spans="1:18" x14ac:dyDescent="0.2">
      <c r="A15" s="238"/>
      <c r="B15" s="54" t="s">
        <v>390</v>
      </c>
      <c r="C15" s="240" t="s">
        <v>391</v>
      </c>
      <c r="D15" s="282"/>
      <c r="E15" s="281"/>
      <c r="F15" s="79"/>
      <c r="G15" s="47">
        <f>SUMIF(JournalsC!D$14:D$920,TrialBalanceC!M15,JournalsC!J$14:J$920)+SUMIF(JournalsC!E$14:E$920,TrialBalanceC!M15,JournalsC!J$14:J$920)</f>
        <v>0</v>
      </c>
      <c r="H15" s="288"/>
      <c r="I15" s="291">
        <f t="shared" si="0"/>
        <v>0</v>
      </c>
      <c r="J15" s="75"/>
      <c r="K15" s="48">
        <f t="shared" si="1"/>
        <v>0</v>
      </c>
      <c r="M15" s="140" t="str">
        <f t="shared" si="2"/>
        <v>2000/003Opening stock - Finished goods</v>
      </c>
      <c r="N15" s="70"/>
      <c r="P15" s="71"/>
      <c r="Q15" s="51"/>
      <c r="R15" s="31"/>
    </row>
    <row r="16" spans="1:18" x14ac:dyDescent="0.2">
      <c r="A16" s="238"/>
      <c r="B16" s="54" t="s">
        <v>392</v>
      </c>
      <c r="C16" s="240" t="s">
        <v>393</v>
      </c>
      <c r="D16" s="282"/>
      <c r="E16" s="281"/>
      <c r="F16" s="79"/>
      <c r="G16" s="47">
        <f>SUMIF(JournalsC!D$14:D$920,TrialBalanceC!M16,JournalsC!J$14:J$920)+SUMIF(JournalsC!E$14:E$920,TrialBalanceC!M16,JournalsC!J$14:J$920)</f>
        <v>0</v>
      </c>
      <c r="H16" s="288"/>
      <c r="I16" s="291">
        <f t="shared" si="0"/>
        <v>0</v>
      </c>
      <c r="J16" s="75"/>
      <c r="K16" s="48">
        <f t="shared" si="1"/>
        <v>0</v>
      </c>
      <c r="M16" s="140" t="str">
        <f t="shared" si="2"/>
        <v>2000/004Opening stock - Trading stock</v>
      </c>
      <c r="N16" s="70"/>
      <c r="P16" s="71"/>
      <c r="Q16" s="51"/>
      <c r="R16" s="31"/>
    </row>
    <row r="17" spans="1:18" x14ac:dyDescent="0.2">
      <c r="A17" s="238"/>
      <c r="B17" s="10" t="s">
        <v>394</v>
      </c>
      <c r="C17" s="240" t="s">
        <v>274</v>
      </c>
      <c r="D17" s="282"/>
      <c r="E17" s="281"/>
      <c r="F17" s="79"/>
      <c r="G17" s="47">
        <f>SUMIF(JournalsC!D$14:D$920,TrialBalanceC!M17,JournalsC!J$14:J$920)+SUMIF(JournalsC!E$14:E$920,TrialBalanceC!M17,JournalsC!J$14:J$920)</f>
        <v>0</v>
      </c>
      <c r="H17" s="288"/>
      <c r="I17" s="291">
        <f t="shared" si="0"/>
        <v>0</v>
      </c>
      <c r="J17" s="75"/>
      <c r="K17" s="48">
        <f t="shared" si="1"/>
        <v>0</v>
      </c>
      <c r="M17" s="140" t="str">
        <f t="shared" si="2"/>
        <v>2000/010Purchases</v>
      </c>
      <c r="N17" s="70"/>
      <c r="P17" s="71"/>
      <c r="Q17" s="51"/>
      <c r="R17" s="31"/>
    </row>
    <row r="18" spans="1:18" x14ac:dyDescent="0.2">
      <c r="A18" s="238"/>
      <c r="B18" s="10" t="s">
        <v>395</v>
      </c>
      <c r="C18" s="276"/>
      <c r="D18" s="281"/>
      <c r="E18" s="281"/>
      <c r="F18" s="79"/>
      <c r="G18" s="47">
        <f>SUMIF(JournalsC!D$14:D$920,TrialBalanceC!M18,JournalsC!J$14:J$920)+SUMIF(JournalsC!E$14:E$920,TrialBalanceC!M18,JournalsC!J$14:J$920)</f>
        <v>0</v>
      </c>
      <c r="H18" s="288"/>
      <c r="I18" s="291">
        <f t="shared" si="0"/>
        <v>0</v>
      </c>
      <c r="J18" s="75"/>
      <c r="K18" s="48">
        <f t="shared" si="1"/>
        <v>0</v>
      </c>
      <c r="M18" s="140" t="str">
        <f t="shared" si="2"/>
        <v>2000/011</v>
      </c>
      <c r="N18" s="70"/>
      <c r="O18" s="31"/>
      <c r="P18" s="71"/>
      <c r="Q18" s="51"/>
      <c r="R18" s="31"/>
    </row>
    <row r="19" spans="1:18" x14ac:dyDescent="0.2">
      <c r="A19" s="238"/>
      <c r="B19" s="54" t="s">
        <v>396</v>
      </c>
      <c r="C19" s="276"/>
      <c r="D19" s="272"/>
      <c r="E19" s="281"/>
      <c r="F19" s="79"/>
      <c r="G19" s="47">
        <f>SUMIF(JournalsC!D$14:D$920,TrialBalanceC!M19,JournalsC!J$14:J$920)+SUMIF(JournalsC!E$14:E$920,TrialBalanceC!M19,JournalsC!J$14:J$920)</f>
        <v>0</v>
      </c>
      <c r="H19" s="288"/>
      <c r="I19" s="291">
        <f t="shared" si="0"/>
        <v>0</v>
      </c>
      <c r="J19" s="75"/>
      <c r="K19" s="48">
        <f t="shared" si="1"/>
        <v>0</v>
      </c>
      <c r="M19" s="140" t="str">
        <f t="shared" si="2"/>
        <v>2000/012</v>
      </c>
      <c r="N19" s="70"/>
      <c r="P19" s="71"/>
      <c r="Q19" s="51"/>
      <c r="R19" s="31"/>
    </row>
    <row r="20" spans="1:18" x14ac:dyDescent="0.2">
      <c r="A20" s="238"/>
      <c r="B20" s="54" t="s">
        <v>397</v>
      </c>
      <c r="C20" s="277"/>
      <c r="D20" s="272"/>
      <c r="E20" s="281"/>
      <c r="F20" s="79"/>
      <c r="G20" s="47">
        <f>SUMIF(JournalsC!D$14:D$920,TrialBalanceC!M20,JournalsC!J$14:J$920)+SUMIF(JournalsC!E$14:E$920,TrialBalanceC!M20,JournalsC!J$14:J$920)</f>
        <v>0</v>
      </c>
      <c r="H20" s="288"/>
      <c r="I20" s="291">
        <f t="shared" si="0"/>
        <v>0</v>
      </c>
      <c r="J20" s="75"/>
      <c r="K20" s="48">
        <f t="shared" si="1"/>
        <v>0</v>
      </c>
      <c r="M20" s="140" t="str">
        <f t="shared" si="2"/>
        <v>2000/013</v>
      </c>
      <c r="N20" s="70"/>
      <c r="P20" s="71"/>
      <c r="Q20" s="51"/>
      <c r="R20" s="31"/>
    </row>
    <row r="21" spans="1:18" x14ac:dyDescent="0.2">
      <c r="A21" s="238"/>
      <c r="B21" s="54" t="s">
        <v>398</v>
      </c>
      <c r="C21" s="277"/>
      <c r="D21" s="272"/>
      <c r="E21" s="281"/>
      <c r="F21" s="79"/>
      <c r="G21" s="47">
        <f>SUMIF(JournalsC!D$14:D$920,TrialBalanceC!M21,JournalsC!J$14:J$920)+SUMIF(JournalsC!E$14:E$920,TrialBalanceC!M21,JournalsC!J$14:J$920)</f>
        <v>0</v>
      </c>
      <c r="H21" s="288"/>
      <c r="I21" s="291">
        <f t="shared" si="0"/>
        <v>0</v>
      </c>
      <c r="J21" s="75"/>
      <c r="K21" s="48">
        <f t="shared" si="1"/>
        <v>0</v>
      </c>
      <c r="M21" s="140" t="str">
        <f t="shared" si="2"/>
        <v>2000/014</v>
      </c>
      <c r="N21" s="70"/>
      <c r="P21" s="71"/>
      <c r="Q21" s="51"/>
      <c r="R21" s="31"/>
    </row>
    <row r="22" spans="1:18" x14ac:dyDescent="0.2">
      <c r="A22" s="238"/>
      <c r="B22" s="54" t="s">
        <v>399</v>
      </c>
      <c r="C22" s="277"/>
      <c r="D22" s="272"/>
      <c r="E22" s="281"/>
      <c r="F22" s="79"/>
      <c r="G22" s="47">
        <f>SUMIF(JournalsC!D$14:D$920,TrialBalanceC!M22,JournalsC!J$14:J$920)+SUMIF(JournalsC!E$14:E$920,TrialBalanceC!M22,JournalsC!J$14:J$920)</f>
        <v>0</v>
      </c>
      <c r="H22" s="288"/>
      <c r="I22" s="291">
        <f t="shared" si="0"/>
        <v>0</v>
      </c>
      <c r="J22" s="75"/>
      <c r="K22" s="48">
        <f t="shared" si="1"/>
        <v>0</v>
      </c>
      <c r="M22" s="140" t="str">
        <f t="shared" si="2"/>
        <v>2000/015</v>
      </c>
      <c r="N22" s="70"/>
      <c r="P22" s="71"/>
      <c r="Q22" s="51"/>
      <c r="R22" s="31"/>
    </row>
    <row r="23" spans="1:18" x14ac:dyDescent="0.2">
      <c r="A23" s="238"/>
      <c r="B23" s="54" t="s">
        <v>400</v>
      </c>
      <c r="C23" s="240" t="s">
        <v>401</v>
      </c>
      <c r="D23" s="282"/>
      <c r="E23" s="281"/>
      <c r="F23" s="79"/>
      <c r="G23" s="47">
        <f>SUMIF(JournalsC!D$14:D$920,TrialBalanceC!M23,JournalsC!J$14:J$920)+SUMIF(JournalsC!E$14:E$920,TrialBalanceC!M23,JournalsC!J$14:J$920)</f>
        <v>0</v>
      </c>
      <c r="H23" s="288"/>
      <c r="I23" s="291">
        <f t="shared" si="0"/>
        <v>0</v>
      </c>
      <c r="J23" s="75"/>
      <c r="K23" s="48">
        <f t="shared" si="1"/>
        <v>0</v>
      </c>
      <c r="M23" s="140" t="str">
        <f t="shared" si="2"/>
        <v>2000/050Closing stock - Raw materials</v>
      </c>
      <c r="N23" s="70"/>
      <c r="P23" s="71"/>
      <c r="Q23" s="51"/>
      <c r="R23" s="31"/>
    </row>
    <row r="24" spans="1:18" x14ac:dyDescent="0.2">
      <c r="A24" s="238"/>
      <c r="B24" s="54" t="s">
        <v>402</v>
      </c>
      <c r="C24" s="240" t="s">
        <v>403</v>
      </c>
      <c r="D24" s="282"/>
      <c r="E24" s="281"/>
      <c r="F24" s="79"/>
      <c r="G24" s="47">
        <f>SUMIF(JournalsC!D$14:D$920,TrialBalanceC!M24,JournalsC!J$14:J$920)+SUMIF(JournalsC!E$14:E$920,TrialBalanceC!M24,JournalsC!J$14:J$920)</f>
        <v>0</v>
      </c>
      <c r="H24" s="288"/>
      <c r="I24" s="291">
        <f t="shared" si="0"/>
        <v>0</v>
      </c>
      <c r="J24" s="75"/>
      <c r="K24" s="48">
        <f t="shared" si="1"/>
        <v>0</v>
      </c>
      <c r="M24" s="140" t="str">
        <f t="shared" si="2"/>
        <v>2000/051Closing stock - WIP</v>
      </c>
      <c r="N24" s="70"/>
      <c r="P24" s="71"/>
      <c r="Q24" s="51"/>
      <c r="R24" s="31"/>
    </row>
    <row r="25" spans="1:18" x14ac:dyDescent="0.2">
      <c r="A25" s="238"/>
      <c r="B25" s="54" t="s">
        <v>404</v>
      </c>
      <c r="C25" s="240" t="s">
        <v>405</v>
      </c>
      <c r="D25" s="282"/>
      <c r="E25" s="281"/>
      <c r="F25" s="79"/>
      <c r="G25" s="47">
        <f>SUMIF(JournalsC!D$14:D$920,TrialBalanceC!M25,JournalsC!J$14:J$920)+SUMIF(JournalsC!E$14:E$920,TrialBalanceC!M25,JournalsC!J$14:J$920)</f>
        <v>0</v>
      </c>
      <c r="H25" s="288"/>
      <c r="I25" s="291">
        <f t="shared" si="0"/>
        <v>0</v>
      </c>
      <c r="J25" s="75"/>
      <c r="K25" s="48">
        <f t="shared" si="1"/>
        <v>0</v>
      </c>
      <c r="M25" s="140" t="str">
        <f t="shared" si="2"/>
        <v>2000/052Closing stock - Finished goods</v>
      </c>
      <c r="N25" s="70"/>
      <c r="P25" s="71"/>
      <c r="Q25" s="51"/>
      <c r="R25" s="31"/>
    </row>
    <row r="26" spans="1:18" x14ac:dyDescent="0.2">
      <c r="A26" s="238"/>
      <c r="B26" s="54" t="s">
        <v>406</v>
      </c>
      <c r="C26" s="240" t="s">
        <v>407</v>
      </c>
      <c r="D26" s="282"/>
      <c r="E26" s="281"/>
      <c r="F26" s="79"/>
      <c r="G26" s="47">
        <f>SUMIF(JournalsC!D$14:D$920,TrialBalanceC!M26,JournalsC!J$14:J$920)+SUMIF(JournalsC!E$14:E$920,TrialBalanceC!M26,JournalsC!J$14:J$920)</f>
        <v>0</v>
      </c>
      <c r="H26" s="288"/>
      <c r="I26" s="291">
        <f t="shared" si="0"/>
        <v>0</v>
      </c>
      <c r="J26" s="75"/>
      <c r="K26" s="48">
        <f t="shared" si="1"/>
        <v>0</v>
      </c>
      <c r="M26" s="140" t="str">
        <f t="shared" si="2"/>
        <v>2000/053Closing stock - Trading stock</v>
      </c>
      <c r="N26" s="70"/>
      <c r="P26" s="71"/>
      <c r="Q26" s="51"/>
      <c r="R26" s="31"/>
    </row>
    <row r="27" spans="1:18" x14ac:dyDescent="0.2">
      <c r="A27" s="238"/>
      <c r="B27" s="56" t="s">
        <v>324</v>
      </c>
      <c r="C27" s="244" t="s">
        <v>323</v>
      </c>
      <c r="D27" s="270"/>
      <c r="E27" s="281"/>
      <c r="F27" s="79"/>
      <c r="G27" s="47">
        <f>SUMIF(JournalsC!D$14:D$920,TrialBalanceC!M27,JournalsC!J$14:J$920)+SUMIF(JournalsC!E$14:E$920,TrialBalanceC!M27,JournalsC!J$14:J$920)</f>
        <v>0</v>
      </c>
      <c r="H27" s="288"/>
      <c r="I27" s="291">
        <f t="shared" si="0"/>
        <v>0</v>
      </c>
      <c r="J27" s="75"/>
      <c r="K27" s="48">
        <f t="shared" si="1"/>
        <v>0</v>
      </c>
      <c r="M27" s="140" t="str">
        <f t="shared" si="2"/>
        <v>2050/000OTHER OPERATING INCOME</v>
      </c>
      <c r="N27" s="70"/>
      <c r="P27" s="71"/>
      <c r="Q27" s="51"/>
      <c r="R27" s="31"/>
    </row>
    <row r="28" spans="1:18" x14ac:dyDescent="0.2">
      <c r="A28" s="238"/>
      <c r="B28" s="56" t="s">
        <v>325</v>
      </c>
      <c r="C28" s="241" t="str">
        <f>CONCATENATE("Insurance claims - ",Criteria!H16)</f>
        <v xml:space="preserve">Insurance claims - </v>
      </c>
      <c r="D28" s="281"/>
      <c r="E28" s="281"/>
      <c r="F28" s="79"/>
      <c r="G28" s="47">
        <f>SUMIF(JournalsC!D$14:D$920,TrialBalanceC!M28,JournalsC!J$14:J$920)+SUMIF(JournalsC!E$14:E$920,TrialBalanceC!M28,JournalsC!J$14:J$920)</f>
        <v>0</v>
      </c>
      <c r="H28" s="288"/>
      <c r="I28" s="291">
        <f t="shared" si="0"/>
        <v>0</v>
      </c>
      <c r="J28" s="75"/>
      <c r="K28" s="48">
        <f t="shared" si="1"/>
        <v>0</v>
      </c>
      <c r="M28" s="140" t="str">
        <f t="shared" si="2"/>
        <v xml:space="preserve">2050/001Insurance claims - </v>
      </c>
      <c r="N28" s="70"/>
      <c r="P28" s="71"/>
      <c r="Q28" s="51"/>
      <c r="R28" s="31"/>
    </row>
    <row r="29" spans="1:18" x14ac:dyDescent="0.2">
      <c r="A29" s="238"/>
      <c r="B29" s="56" t="s">
        <v>326</v>
      </c>
      <c r="C29" s="241" t="s">
        <v>831</v>
      </c>
      <c r="D29" s="272"/>
      <c r="E29" s="281"/>
      <c r="F29" s="79"/>
      <c r="G29" s="47">
        <f>SUMIF(JournalsC!D$14:D$920,TrialBalanceC!M29,JournalsC!J$14:J$920)+SUMIF(JournalsC!E$14:E$920,TrialBalanceC!M29,JournalsC!J$14:J$920)</f>
        <v>0</v>
      </c>
      <c r="H29" s="288"/>
      <c r="I29" s="291">
        <f t="shared" si="0"/>
        <v>0</v>
      </c>
      <c r="J29" s="75"/>
      <c r="K29" s="48">
        <f t="shared" si="1"/>
        <v>0</v>
      </c>
      <c r="M29" s="140" t="str">
        <f t="shared" si="2"/>
        <v>2050/002Government grants received</v>
      </c>
      <c r="N29" s="70"/>
      <c r="P29" s="71"/>
      <c r="Q29" s="51"/>
      <c r="R29" s="31"/>
    </row>
    <row r="30" spans="1:18" x14ac:dyDescent="0.2">
      <c r="A30" s="238"/>
      <c r="B30" s="56" t="s">
        <v>327</v>
      </c>
      <c r="C30" s="277"/>
      <c r="D30" s="272"/>
      <c r="E30" s="281"/>
      <c r="F30" s="79"/>
      <c r="G30" s="47">
        <f>SUMIF(JournalsC!D$14:D$920,TrialBalanceC!M30,JournalsC!J$14:J$920)+SUMIF(JournalsC!E$14:E$920,TrialBalanceC!M30,JournalsC!J$14:J$920)</f>
        <v>0</v>
      </c>
      <c r="H30" s="288"/>
      <c r="I30" s="291">
        <f t="shared" si="0"/>
        <v>0</v>
      </c>
      <c r="J30" s="75"/>
      <c r="K30" s="48">
        <f t="shared" si="1"/>
        <v>0</v>
      </c>
      <c r="M30" s="140" t="str">
        <f t="shared" si="2"/>
        <v>2050/003</v>
      </c>
      <c r="N30" s="70"/>
      <c r="P30" s="71"/>
      <c r="Q30" s="51"/>
      <c r="R30" s="31"/>
    </row>
    <row r="31" spans="1:18" x14ac:dyDescent="0.2">
      <c r="A31" s="238"/>
      <c r="B31" s="56" t="s">
        <v>328</v>
      </c>
      <c r="C31" s="277"/>
      <c r="D31" s="272"/>
      <c r="E31" s="281"/>
      <c r="F31" s="79"/>
      <c r="G31" s="47">
        <f>SUMIF(JournalsC!D$14:D$920,TrialBalanceC!M31,JournalsC!J$14:J$920)+SUMIF(JournalsC!E$14:E$920,TrialBalanceC!M31,JournalsC!J$14:J$920)</f>
        <v>0</v>
      </c>
      <c r="H31" s="288"/>
      <c r="I31" s="291">
        <f t="shared" si="0"/>
        <v>0</v>
      </c>
      <c r="J31" s="75"/>
      <c r="K31" s="48">
        <f t="shared" si="1"/>
        <v>0</v>
      </c>
      <c r="M31" s="140" t="str">
        <f t="shared" si="2"/>
        <v>2050/004</v>
      </c>
      <c r="N31" s="70"/>
      <c r="P31" s="71"/>
      <c r="Q31" s="51"/>
      <c r="R31" s="31"/>
    </row>
    <row r="32" spans="1:18" x14ac:dyDescent="0.2">
      <c r="A32" s="238"/>
      <c r="B32" s="56" t="s">
        <v>329</v>
      </c>
      <c r="C32" s="277"/>
      <c r="D32" s="272"/>
      <c r="E32" s="281"/>
      <c r="F32" s="79"/>
      <c r="G32" s="47">
        <f>SUMIF(JournalsC!D$14:D$920,TrialBalanceC!M32,JournalsC!J$14:J$920)+SUMIF(JournalsC!E$14:E$920,TrialBalanceC!M32,JournalsC!J$14:J$920)</f>
        <v>0</v>
      </c>
      <c r="H32" s="288"/>
      <c r="I32" s="291">
        <f t="shared" si="0"/>
        <v>0</v>
      </c>
      <c r="J32" s="75"/>
      <c r="K32" s="48">
        <f t="shared" si="1"/>
        <v>0</v>
      </c>
      <c r="M32" s="140" t="str">
        <f t="shared" si="2"/>
        <v>2050/005</v>
      </c>
      <c r="N32" s="70"/>
      <c r="P32" s="71"/>
      <c r="Q32" s="51"/>
      <c r="R32" s="31"/>
    </row>
    <row r="33" spans="1:18" x14ac:dyDescent="0.2">
      <c r="A33" s="238"/>
      <c r="B33" s="43" t="s">
        <v>1073</v>
      </c>
      <c r="C33" s="241" t="s">
        <v>1074</v>
      </c>
      <c r="D33" s="272"/>
      <c r="E33" s="281"/>
      <c r="F33" s="79"/>
      <c r="G33" s="47">
        <f>SUMIF(JournalsC!D$14:D$920,TrialBalanceC!M33,JournalsC!J$14:J$920)+SUMIF(JournalsC!E$14:E$920,TrialBalanceC!M33,JournalsC!J$14:J$920)</f>
        <v>0</v>
      </c>
      <c r="H33" s="288"/>
      <c r="I33" s="291">
        <f t="shared" ref="I33" si="6">ROUND(D33-E33+G33+F33,0)</f>
        <v>0</v>
      </c>
      <c r="J33" s="75"/>
      <c r="K33" s="48">
        <f t="shared" ref="K33" si="7">ROUND(SUM(A33),0)</f>
        <v>0</v>
      </c>
      <c r="M33" s="140" t="str">
        <f t="shared" ref="M33" si="8">CONCATENATE(B33,C33)</f>
        <v>2050/006Recoupment of depreciation</v>
      </c>
      <c r="N33" s="70"/>
      <c r="P33" s="71"/>
      <c r="Q33" s="51"/>
      <c r="R33" s="31"/>
    </row>
    <row r="34" spans="1:18" x14ac:dyDescent="0.2">
      <c r="A34" s="238"/>
      <c r="B34" s="43" t="s">
        <v>666</v>
      </c>
      <c r="C34" s="244" t="s">
        <v>665</v>
      </c>
      <c r="D34" s="270"/>
      <c r="E34" s="281"/>
      <c r="F34" s="79"/>
      <c r="G34" s="47">
        <f>SUMIF(JournalsC!D$14:D$920,TrialBalanceC!M34,JournalsC!J$14:J$920)+SUMIF(JournalsC!E$14:E$920,TrialBalanceC!M34,JournalsC!J$14:J$920)</f>
        <v>0</v>
      </c>
      <c r="H34" s="288"/>
      <c r="I34" s="291">
        <f t="shared" si="0"/>
        <v>0</v>
      </c>
      <c r="J34" s="75"/>
      <c r="K34" s="48">
        <f t="shared" si="1"/>
        <v>0</v>
      </c>
      <c r="M34" s="140" t="str">
        <f t="shared" si="2"/>
        <v>2060/000NET (PROFIT)/LOSS OTHER</v>
      </c>
      <c r="N34" s="70"/>
      <c r="P34" s="71"/>
      <c r="Q34" s="51"/>
      <c r="R34" s="31"/>
    </row>
    <row r="35" spans="1:18" x14ac:dyDescent="0.2">
      <c r="A35" s="238"/>
      <c r="B35" s="43" t="s">
        <v>574</v>
      </c>
      <c r="C35" s="241"/>
      <c r="D35" s="281"/>
      <c r="E35" s="281"/>
      <c r="F35" s="79"/>
      <c r="G35" s="47">
        <f>SUMIF(JournalsC!D$14:D$920,TrialBalanceC!M35,JournalsC!J$14:J$920)+SUMIF(JournalsC!E$14:E$920,TrialBalanceC!M35,JournalsC!J$14:J$920)</f>
        <v>0</v>
      </c>
      <c r="H35" s="288"/>
      <c r="I35" s="291">
        <f t="shared" si="0"/>
        <v>0</v>
      </c>
      <c r="J35" s="75"/>
      <c r="K35" s="48">
        <f t="shared" si="1"/>
        <v>0</v>
      </c>
      <c r="M35" s="140" t="str">
        <f t="shared" si="2"/>
        <v>2060/001</v>
      </c>
      <c r="N35" s="70"/>
      <c r="P35" s="71"/>
      <c r="Q35" s="51"/>
      <c r="R35" s="31"/>
    </row>
    <row r="36" spans="1:18" x14ac:dyDescent="0.2">
      <c r="A36" s="238"/>
      <c r="B36" s="43" t="s">
        <v>575</v>
      </c>
      <c r="C36" s="246"/>
      <c r="D36" s="272"/>
      <c r="E36" s="281"/>
      <c r="F36" s="79"/>
      <c r="G36" s="47">
        <f>SUMIF(JournalsC!D$14:D$920,TrialBalanceC!M36,JournalsC!J$14:J$920)+SUMIF(JournalsC!E$14:E$920,TrialBalanceC!M36,JournalsC!J$14:J$920)</f>
        <v>0</v>
      </c>
      <c r="H36" s="288"/>
      <c r="I36" s="291">
        <f t="shared" si="0"/>
        <v>0</v>
      </c>
      <c r="J36" s="75"/>
      <c r="K36" s="48">
        <f t="shared" si="1"/>
        <v>0</v>
      </c>
      <c r="M36" s="140" t="str">
        <f t="shared" si="2"/>
        <v>2060/002</v>
      </c>
      <c r="N36" s="70"/>
      <c r="P36" s="71"/>
      <c r="Q36" s="51"/>
      <c r="R36" s="31"/>
    </row>
    <row r="37" spans="1:18" x14ac:dyDescent="0.2">
      <c r="A37" s="238"/>
      <c r="B37" s="43" t="s">
        <v>576</v>
      </c>
      <c r="C37" s="246"/>
      <c r="D37" s="272"/>
      <c r="E37" s="281"/>
      <c r="F37" s="79"/>
      <c r="G37" s="47">
        <f>SUMIF(JournalsC!D$14:D$920,TrialBalanceC!M37,JournalsC!J$14:J$920)+SUMIF(JournalsC!E$14:E$920,TrialBalanceC!M37,JournalsC!J$14:J$920)</f>
        <v>0</v>
      </c>
      <c r="H37" s="288"/>
      <c r="I37" s="291">
        <f t="shared" si="0"/>
        <v>0</v>
      </c>
      <c r="J37" s="75"/>
      <c r="K37" s="48">
        <f t="shared" si="1"/>
        <v>0</v>
      </c>
      <c r="M37" s="140" t="str">
        <f t="shared" si="2"/>
        <v>2060/003</v>
      </c>
      <c r="N37" s="70"/>
      <c r="P37" s="71"/>
      <c r="Q37" s="51"/>
      <c r="R37" s="31"/>
    </row>
    <row r="38" spans="1:18" x14ac:dyDescent="0.2">
      <c r="A38" s="238"/>
      <c r="B38" s="43" t="s">
        <v>577</v>
      </c>
      <c r="C38" s="246"/>
      <c r="D38" s="272"/>
      <c r="E38" s="281"/>
      <c r="F38" s="79"/>
      <c r="G38" s="47">
        <f>SUMIF(JournalsC!D$14:D$920,TrialBalanceC!M38,JournalsC!J$14:J$920)+SUMIF(JournalsC!E$14:E$920,TrialBalanceC!M38,JournalsC!J$14:J$920)</f>
        <v>0</v>
      </c>
      <c r="H38" s="288"/>
      <c r="I38" s="291">
        <f t="shared" si="0"/>
        <v>0</v>
      </c>
      <c r="J38" s="75"/>
      <c r="K38" s="48">
        <f t="shared" si="1"/>
        <v>0</v>
      </c>
      <c r="M38" s="140" t="str">
        <f t="shared" si="2"/>
        <v>2060/004</v>
      </c>
      <c r="N38" s="70"/>
      <c r="P38" s="71"/>
      <c r="Q38" s="51"/>
      <c r="R38" s="31"/>
    </row>
    <row r="39" spans="1:18" x14ac:dyDescent="0.2">
      <c r="A39" s="238"/>
      <c r="B39" s="54" t="s">
        <v>408</v>
      </c>
      <c r="C39" s="239" t="s">
        <v>995</v>
      </c>
      <c r="D39" s="283"/>
      <c r="E39" s="281"/>
      <c r="F39" s="79"/>
      <c r="G39" s="47">
        <f>SUMIF(JournalsC!D$14:D$920,TrialBalanceC!M39,JournalsC!J$14:J$920)+SUMIF(JournalsC!E$14:E$920,TrialBalanceC!M39,JournalsC!J$14:J$920)</f>
        <v>0</v>
      </c>
      <c r="H39" s="288"/>
      <c r="I39" s="291">
        <f t="shared" si="0"/>
        <v>0</v>
      </c>
      <c r="J39" s="75"/>
      <c r="K39" s="48">
        <f t="shared" si="1"/>
        <v>0</v>
      </c>
      <c r="M39" s="140" t="str">
        <f t="shared" si="2"/>
        <v>2100/000OPERATING EXPENSES</v>
      </c>
      <c r="N39" s="70"/>
      <c r="P39" s="71"/>
      <c r="Q39" s="51"/>
      <c r="R39" s="31"/>
    </row>
    <row r="40" spans="1:18" x14ac:dyDescent="0.2">
      <c r="A40" s="238"/>
      <c r="B40" s="54" t="s">
        <v>409</v>
      </c>
      <c r="C40" s="240" t="s">
        <v>275</v>
      </c>
      <c r="D40" s="282"/>
      <c r="E40" s="281"/>
      <c r="F40" s="79"/>
      <c r="G40" s="47">
        <f>SUMIF(JournalsC!D$14:D$920,TrialBalanceC!M40,JournalsC!J$14:J$920)+SUMIF(JournalsC!E$14:E$920,TrialBalanceC!M40,JournalsC!J$14:J$920)</f>
        <v>0</v>
      </c>
      <c r="H40" s="288"/>
      <c r="I40" s="291">
        <f t="shared" si="0"/>
        <v>0</v>
      </c>
      <c r="J40" s="75"/>
      <c r="K40" s="48">
        <f t="shared" si="1"/>
        <v>0</v>
      </c>
      <c r="M40" s="140" t="str">
        <f t="shared" si="2"/>
        <v>2100/001Advertising</v>
      </c>
      <c r="N40" s="70"/>
      <c r="P40" s="71"/>
      <c r="Q40" s="51"/>
      <c r="R40" s="31"/>
    </row>
    <row r="41" spans="1:18" x14ac:dyDescent="0.2">
      <c r="A41" s="238"/>
      <c r="B41" s="54" t="s">
        <v>410</v>
      </c>
      <c r="C41" s="242" t="s">
        <v>701</v>
      </c>
      <c r="D41" s="284"/>
      <c r="E41" s="281"/>
      <c r="F41" s="79"/>
      <c r="G41" s="47">
        <f>SUMIF(JournalsC!D$14:D$920,TrialBalanceC!M41,JournalsC!J$14:J$920)+SUMIF(JournalsC!E$14:E$920,TrialBalanceC!M41,JournalsC!J$14:J$920)</f>
        <v>0</v>
      </c>
      <c r="H41" s="288"/>
      <c r="I41" s="291">
        <f t="shared" si="0"/>
        <v>0</v>
      </c>
      <c r="J41" s="75"/>
      <c r="K41" s="48">
        <f t="shared" si="1"/>
        <v>0</v>
      </c>
      <c r="M41" s="140" t="str">
        <f t="shared" si="2"/>
        <v>2100/010Assets less than R7,000</v>
      </c>
      <c r="N41" s="70"/>
      <c r="P41" s="71"/>
      <c r="Q41" s="51"/>
      <c r="R41" s="31"/>
    </row>
    <row r="42" spans="1:18" x14ac:dyDescent="0.2">
      <c r="A42" s="238"/>
      <c r="B42" s="54" t="s">
        <v>411</v>
      </c>
      <c r="C42" s="240" t="s">
        <v>276</v>
      </c>
      <c r="D42" s="282"/>
      <c r="E42" s="281"/>
      <c r="F42" s="79"/>
      <c r="G42" s="47">
        <f>SUMIF(JournalsC!D$14:D$920,TrialBalanceC!M42,JournalsC!J$14:J$920)+SUMIF(JournalsC!E$14:E$920,TrialBalanceC!M42,JournalsC!J$14:J$920)</f>
        <v>0</v>
      </c>
      <c r="H42" s="288"/>
      <c r="I42" s="291">
        <f t="shared" si="0"/>
        <v>0</v>
      </c>
      <c r="J42" s="75"/>
      <c r="K42" s="48">
        <f t="shared" si="1"/>
        <v>0</v>
      </c>
      <c r="M42" s="140" t="str">
        <f t="shared" si="2"/>
        <v>2100/020Consumables</v>
      </c>
      <c r="N42" s="70"/>
      <c r="P42" s="71"/>
      <c r="Q42" s="51"/>
      <c r="R42" s="31"/>
    </row>
    <row r="43" spans="1:18" x14ac:dyDescent="0.2">
      <c r="A43" s="238"/>
      <c r="B43" s="54" t="s">
        <v>412</v>
      </c>
      <c r="C43" s="239" t="s">
        <v>642</v>
      </c>
      <c r="D43" s="283"/>
      <c r="E43" s="281"/>
      <c r="F43" s="79"/>
      <c r="G43" s="47">
        <f>SUMIF(JournalsC!D$14:D$920,TrialBalanceC!M43,JournalsC!J$14:J$920)+SUMIF(JournalsC!E$14:E$920,TrialBalanceC!M43,JournalsC!J$14:J$920)</f>
        <v>0</v>
      </c>
      <c r="H43" s="288"/>
      <c r="I43" s="291">
        <f t="shared" si="0"/>
        <v>0</v>
      </c>
      <c r="J43" s="75"/>
      <c r="K43" s="48">
        <f t="shared" si="1"/>
        <v>0</v>
      </c>
      <c r="M43" s="140" t="str">
        <f t="shared" si="2"/>
        <v>2100/030Depreciation--------------------------------------------------</v>
      </c>
      <c r="N43" s="70"/>
      <c r="P43" s="71"/>
      <c r="Q43" s="51"/>
      <c r="R43" s="31"/>
    </row>
    <row r="44" spans="1:18" x14ac:dyDescent="0.2">
      <c r="A44" s="238"/>
      <c r="B44" s="54" t="s">
        <v>414</v>
      </c>
      <c r="C44" s="242" t="s">
        <v>1123</v>
      </c>
      <c r="D44" s="282"/>
      <c r="E44" s="281"/>
      <c r="F44" s="79"/>
      <c r="G44" s="47">
        <f>SUMIF(JournalsC!D$14:D$920,TrialBalanceC!M44,JournalsC!J$14:J$920)+SUMIF(JournalsC!E$14:E$920,TrialBalanceC!M44,JournalsC!J$14:J$920)</f>
        <v>0</v>
      </c>
      <c r="H44" s="288"/>
      <c r="I44" s="291">
        <f t="shared" si="0"/>
        <v>0</v>
      </c>
      <c r="J44" s="75"/>
      <c r="K44" s="48">
        <f t="shared" si="1"/>
        <v>0</v>
      </c>
      <c r="M44" s="140" t="str">
        <f t="shared" si="2"/>
        <v>2100/031Depr - Property</v>
      </c>
      <c r="N44" s="70"/>
      <c r="P44" s="71"/>
      <c r="Q44" s="51"/>
      <c r="R44" s="31"/>
    </row>
    <row r="45" spans="1:18" x14ac:dyDescent="0.2">
      <c r="A45" s="238"/>
      <c r="B45" s="54" t="s">
        <v>415</v>
      </c>
      <c r="C45" s="242" t="s">
        <v>758</v>
      </c>
      <c r="D45" s="282"/>
      <c r="E45" s="281"/>
      <c r="F45" s="79"/>
      <c r="G45" s="47">
        <f>SUMIF(JournalsC!D$14:D$920,TrialBalanceC!M45,JournalsC!J$14:J$920)+SUMIF(JournalsC!E$14:E$920,TrialBalanceC!M45,JournalsC!J$14:J$920)</f>
        <v>0</v>
      </c>
      <c r="H45" s="288"/>
      <c r="I45" s="291">
        <f t="shared" si="0"/>
        <v>0</v>
      </c>
      <c r="J45" s="75"/>
      <c r="K45" s="48">
        <f t="shared" si="1"/>
        <v>0</v>
      </c>
      <c r="M45" s="140" t="str">
        <f t="shared" si="2"/>
        <v>2100/032Depr - Plant and machinery</v>
      </c>
      <c r="N45" s="70"/>
      <c r="P45" s="71"/>
      <c r="Q45" s="51"/>
      <c r="R45" s="31"/>
    </row>
    <row r="46" spans="1:18" x14ac:dyDescent="0.2">
      <c r="A46" s="238"/>
      <c r="B46" s="54" t="s">
        <v>51</v>
      </c>
      <c r="C46" s="240" t="s">
        <v>52</v>
      </c>
      <c r="D46" s="282"/>
      <c r="E46" s="281"/>
      <c r="F46" s="79"/>
      <c r="G46" s="47">
        <f>SUMIF(JournalsC!D$14:D$920,TrialBalanceC!M46,JournalsC!J$14:J$920)+SUMIF(JournalsC!E$14:E$920,TrialBalanceC!M46,JournalsC!J$14:J$920)</f>
        <v>0</v>
      </c>
      <c r="H46" s="288"/>
      <c r="I46" s="291">
        <f t="shared" si="0"/>
        <v>0</v>
      </c>
      <c r="J46" s="75"/>
      <c r="K46" s="48">
        <f t="shared" si="1"/>
        <v>0</v>
      </c>
      <c r="M46" s="140" t="str">
        <f t="shared" si="2"/>
        <v>2100/033Depr - Motor vehicles</v>
      </c>
      <c r="N46" s="70"/>
      <c r="P46" s="71"/>
      <c r="Q46" s="51"/>
      <c r="R46" s="31"/>
    </row>
    <row r="47" spans="1:18" x14ac:dyDescent="0.2">
      <c r="A47" s="238"/>
      <c r="B47" s="54" t="s">
        <v>54</v>
      </c>
      <c r="C47" s="240" t="s">
        <v>55</v>
      </c>
      <c r="D47" s="282"/>
      <c r="E47" s="281"/>
      <c r="F47" s="79"/>
      <c r="G47" s="47">
        <f>SUMIF(JournalsC!D$14:D$920,TrialBalanceC!M47,JournalsC!J$14:J$920)+SUMIF(JournalsC!E$14:E$920,TrialBalanceC!M47,JournalsC!J$14:J$920)</f>
        <v>0</v>
      </c>
      <c r="H47" s="288"/>
      <c r="I47" s="291">
        <f t="shared" si="0"/>
        <v>0</v>
      </c>
      <c r="J47" s="75"/>
      <c r="K47" s="48">
        <f t="shared" si="1"/>
        <v>0</v>
      </c>
      <c r="M47" s="140" t="str">
        <f t="shared" si="2"/>
        <v>2100/040Discounts allowed</v>
      </c>
      <c r="N47" s="70"/>
      <c r="P47" s="71"/>
      <c r="Q47" s="51"/>
      <c r="R47" s="31"/>
    </row>
    <row r="48" spans="1:18" x14ac:dyDescent="0.2">
      <c r="A48" s="238"/>
      <c r="B48" s="54" t="s">
        <v>56</v>
      </c>
      <c r="C48" s="242" t="s">
        <v>725</v>
      </c>
      <c r="D48" s="282"/>
      <c r="E48" s="281"/>
      <c r="F48" s="79"/>
      <c r="G48" s="47">
        <f>SUMIF(JournalsC!D$14:D$920,TrialBalanceC!M48,JournalsC!J$14:J$920)+SUMIF(JournalsC!E$14:E$920,TrialBalanceC!M48,JournalsC!J$14:J$920)</f>
        <v>0</v>
      </c>
      <c r="H48" s="288"/>
      <c r="I48" s="291">
        <f t="shared" si="0"/>
        <v>0</v>
      </c>
      <c r="J48" s="75"/>
      <c r="K48" s="48">
        <f t="shared" si="1"/>
        <v>0</v>
      </c>
      <c r="M48" s="140" t="str">
        <f t="shared" si="2"/>
        <v>2100/050Electricity and water</v>
      </c>
      <c r="N48" s="70"/>
      <c r="P48" s="71"/>
      <c r="Q48" s="51"/>
      <c r="R48" s="31"/>
    </row>
    <row r="49" spans="1:18" x14ac:dyDescent="0.2">
      <c r="A49" s="238"/>
      <c r="B49" s="54" t="s">
        <v>57</v>
      </c>
      <c r="C49" s="240" t="s">
        <v>59</v>
      </c>
      <c r="D49" s="282"/>
      <c r="E49" s="281"/>
      <c r="F49" s="79"/>
      <c r="G49" s="47">
        <f>SUMIF(JournalsC!D$14:D$920,TrialBalanceC!M49,JournalsC!J$14:J$920)+SUMIF(JournalsC!E$14:E$920,TrialBalanceC!M49,JournalsC!J$14:J$920)</f>
        <v>0</v>
      </c>
      <c r="H49" s="288"/>
      <c r="I49" s="291">
        <f t="shared" si="0"/>
        <v>0</v>
      </c>
      <c r="J49" s="75"/>
      <c r="K49" s="48">
        <f t="shared" si="1"/>
        <v>0</v>
      </c>
      <c r="M49" s="140" t="str">
        <f t="shared" si="2"/>
        <v>2100/055Equipment lease</v>
      </c>
      <c r="N49" s="70"/>
      <c r="P49" s="71"/>
      <c r="Q49" s="51"/>
      <c r="R49" s="31"/>
    </row>
    <row r="50" spans="1:18" x14ac:dyDescent="0.2">
      <c r="A50" s="238"/>
      <c r="B50" s="54" t="s">
        <v>60</v>
      </c>
      <c r="C50" s="240" t="s">
        <v>278</v>
      </c>
      <c r="D50" s="282"/>
      <c r="E50" s="281"/>
      <c r="F50" s="79"/>
      <c r="G50" s="47">
        <f>SUMIF(JournalsC!D$14:D$920,TrialBalanceC!M50,JournalsC!J$14:J$920)+SUMIF(JournalsC!E$14:E$920,TrialBalanceC!M50,JournalsC!J$14:J$920)</f>
        <v>0</v>
      </c>
      <c r="H50" s="288"/>
      <c r="I50" s="291">
        <f t="shared" si="0"/>
        <v>0</v>
      </c>
      <c r="J50" s="75"/>
      <c r="K50" s="48">
        <f t="shared" si="1"/>
        <v>0</v>
      </c>
      <c r="M50" s="140" t="str">
        <f t="shared" si="2"/>
        <v>2100/060Insurance</v>
      </c>
      <c r="N50" s="70"/>
      <c r="P50" s="51"/>
      <c r="Q50" s="51"/>
      <c r="R50" s="31"/>
    </row>
    <row r="51" spans="1:18" x14ac:dyDescent="0.2">
      <c r="A51" s="238"/>
      <c r="B51" s="54" t="s">
        <v>447</v>
      </c>
      <c r="C51" s="240" t="s">
        <v>172</v>
      </c>
      <c r="D51" s="282"/>
      <c r="E51" s="281"/>
      <c r="F51" s="79"/>
      <c r="G51" s="47">
        <f>SUMIF(JournalsC!D$14:D$920,TrialBalanceC!M51,JournalsC!J$14:J$920)+SUMIF(JournalsC!E$14:E$920,TrialBalanceC!M51,JournalsC!J$14:J$920)</f>
        <v>0</v>
      </c>
      <c r="H51" s="288"/>
      <c r="I51" s="291">
        <f t="shared" si="0"/>
        <v>0</v>
      </c>
      <c r="J51" s="75"/>
      <c r="K51" s="48">
        <f t="shared" si="1"/>
        <v>0</v>
      </c>
      <c r="M51" s="140" t="str">
        <f t="shared" si="2"/>
        <v>2100/071Levies - SDL</v>
      </c>
      <c r="N51" s="70"/>
      <c r="P51" s="71"/>
      <c r="Q51" s="51"/>
      <c r="R51" s="31"/>
    </row>
    <row r="52" spans="1:18" x14ac:dyDescent="0.2">
      <c r="A52" s="238"/>
      <c r="B52" s="54" t="s">
        <v>173</v>
      </c>
      <c r="C52" s="240" t="s">
        <v>174</v>
      </c>
      <c r="D52" s="282"/>
      <c r="E52" s="281"/>
      <c r="F52" s="79"/>
      <c r="G52" s="47">
        <f>SUMIF(JournalsC!D$14:D$920,TrialBalanceC!M52,JournalsC!J$14:J$920)+SUMIF(JournalsC!E$14:E$920,TrialBalanceC!M52,JournalsC!J$14:J$920)</f>
        <v>0</v>
      </c>
      <c r="H52" s="288"/>
      <c r="I52" s="291">
        <f t="shared" si="0"/>
        <v>0</v>
      </c>
      <c r="J52" s="75"/>
      <c r="K52" s="48">
        <f t="shared" si="1"/>
        <v>0</v>
      </c>
      <c r="M52" s="140" t="str">
        <f t="shared" si="2"/>
        <v>2100/072Levies - other</v>
      </c>
      <c r="N52" s="70"/>
      <c r="P52" s="71"/>
      <c r="Q52" s="51"/>
      <c r="R52" s="31"/>
    </row>
    <row r="53" spans="1:18" x14ac:dyDescent="0.2">
      <c r="A53" s="238"/>
      <c r="B53" s="54" t="s">
        <v>175</v>
      </c>
      <c r="C53" s="246" t="s">
        <v>357</v>
      </c>
      <c r="D53" s="272"/>
      <c r="E53" s="281"/>
      <c r="F53" s="79"/>
      <c r="G53" s="47">
        <f>SUMIF(JournalsC!D$14:D$920,TrialBalanceC!M53,JournalsC!J$14:J$920)+SUMIF(JournalsC!E$14:E$920,TrialBalanceC!M53,JournalsC!J$14:J$920)</f>
        <v>0</v>
      </c>
      <c r="H53" s="288"/>
      <c r="I53" s="291">
        <f t="shared" si="0"/>
        <v>0</v>
      </c>
      <c r="J53" s="75"/>
      <c r="K53" s="48">
        <f t="shared" si="1"/>
        <v>0</v>
      </c>
      <c r="M53" s="140" t="str">
        <f t="shared" si="2"/>
        <v>2100/080Trade licenses</v>
      </c>
      <c r="N53" s="70"/>
      <c r="P53" s="71"/>
      <c r="Q53" s="51"/>
      <c r="R53" s="31"/>
    </row>
    <row r="54" spans="1:18" x14ac:dyDescent="0.2">
      <c r="A54" s="238"/>
      <c r="B54" s="54" t="s">
        <v>176</v>
      </c>
      <c r="C54" s="239" t="s">
        <v>676</v>
      </c>
      <c r="D54" s="283"/>
      <c r="E54" s="281"/>
      <c r="F54" s="79"/>
      <c r="G54" s="47">
        <f>SUMIF(JournalsC!D$14:D$920,TrialBalanceC!M54,JournalsC!J$14:J$920)+SUMIF(JournalsC!E$14:E$920,TrialBalanceC!M54,JournalsC!J$14:J$920)</f>
        <v>0</v>
      </c>
      <c r="H54" s="288"/>
      <c r="I54" s="291">
        <f t="shared" si="0"/>
        <v>0</v>
      </c>
      <c r="J54" s="75"/>
      <c r="K54" s="48">
        <f t="shared" si="1"/>
        <v>0</v>
      </c>
      <c r="M54" s="140" t="str">
        <f t="shared" si="2"/>
        <v>2100/090Motor vehicle expenses----------------------------------</v>
      </c>
      <c r="N54" s="70"/>
      <c r="P54" s="71"/>
      <c r="Q54" s="51"/>
      <c r="R54" s="31"/>
    </row>
    <row r="55" spans="1:18" x14ac:dyDescent="0.2">
      <c r="A55" s="238"/>
      <c r="B55" s="54" t="s">
        <v>178</v>
      </c>
      <c r="C55" s="240" t="s">
        <v>179</v>
      </c>
      <c r="D55" s="282"/>
      <c r="E55" s="281"/>
      <c r="F55" s="79"/>
      <c r="G55" s="47">
        <f>SUMIF(JournalsC!D$14:D$920,TrialBalanceC!M55,JournalsC!J$14:J$920)+SUMIF(JournalsC!E$14:E$920,TrialBalanceC!M55,JournalsC!J$14:J$920)</f>
        <v>0</v>
      </c>
      <c r="H55" s="288"/>
      <c r="I55" s="291">
        <f t="shared" si="0"/>
        <v>0</v>
      </c>
      <c r="J55" s="75"/>
      <c r="K55" s="48">
        <f t="shared" si="1"/>
        <v>0</v>
      </c>
      <c r="M55" s="140" t="str">
        <f t="shared" si="2"/>
        <v>2100/091Motor vehicle expenses - Petrol and oil</v>
      </c>
      <c r="N55" s="70"/>
      <c r="P55" s="71"/>
      <c r="Q55" s="51"/>
      <c r="R55" s="31"/>
    </row>
    <row r="56" spans="1:18" x14ac:dyDescent="0.2">
      <c r="A56" s="238"/>
      <c r="B56" s="54" t="s">
        <v>180</v>
      </c>
      <c r="C56" s="240" t="s">
        <v>181</v>
      </c>
      <c r="D56" s="282"/>
      <c r="E56" s="281"/>
      <c r="F56" s="79"/>
      <c r="G56" s="47">
        <f>SUMIF(JournalsC!D$14:D$920,TrialBalanceC!M56,JournalsC!J$14:J$920)+SUMIF(JournalsC!E$14:E$920,TrialBalanceC!M56,JournalsC!J$14:J$920)</f>
        <v>0</v>
      </c>
      <c r="H56" s="288"/>
      <c r="I56" s="291">
        <f t="shared" si="0"/>
        <v>0</v>
      </c>
      <c r="J56" s="75"/>
      <c r="K56" s="48">
        <f t="shared" si="1"/>
        <v>0</v>
      </c>
      <c r="M56" s="140" t="str">
        <f t="shared" si="2"/>
        <v>2100/092Motor vehicle expenses - R&amp;M</v>
      </c>
      <c r="N56" s="70"/>
      <c r="P56" s="71"/>
      <c r="Q56" s="51"/>
      <c r="R56" s="31"/>
    </row>
    <row r="57" spans="1:18" x14ac:dyDescent="0.2">
      <c r="A57" s="238"/>
      <c r="B57" s="54" t="s">
        <v>182</v>
      </c>
      <c r="C57" s="240" t="s">
        <v>183</v>
      </c>
      <c r="D57" s="282"/>
      <c r="E57" s="281"/>
      <c r="F57" s="79"/>
      <c r="G57" s="47">
        <f>SUMIF(JournalsC!D$14:D$920,TrialBalanceC!M57,JournalsC!J$14:J$920)+SUMIF(JournalsC!E$14:E$920,TrialBalanceC!M57,JournalsC!J$14:J$920)</f>
        <v>0</v>
      </c>
      <c r="H57" s="288"/>
      <c r="I57" s="291">
        <f t="shared" si="0"/>
        <v>0</v>
      </c>
      <c r="J57" s="75"/>
      <c r="K57" s="48">
        <f t="shared" si="1"/>
        <v>0</v>
      </c>
      <c r="M57" s="140" t="str">
        <f t="shared" si="2"/>
        <v>2100/093Motor vehicle expenses - Insurance</v>
      </c>
      <c r="N57" s="70"/>
      <c r="P57" s="71"/>
      <c r="Q57" s="51"/>
      <c r="R57" s="31"/>
    </row>
    <row r="58" spans="1:18" x14ac:dyDescent="0.2">
      <c r="A58" s="238"/>
      <c r="B58" s="54" t="s">
        <v>184</v>
      </c>
      <c r="C58" s="241" t="s">
        <v>759</v>
      </c>
      <c r="D58" s="272"/>
      <c r="E58" s="281"/>
      <c r="F58" s="79"/>
      <c r="G58" s="47">
        <f>SUMIF(JournalsC!D$14:D$920,TrialBalanceC!M58,JournalsC!J$14:J$920)+SUMIF(JournalsC!E$14:E$920,TrialBalanceC!M58,JournalsC!J$14:J$920)</f>
        <v>0</v>
      </c>
      <c r="H58" s="288"/>
      <c r="I58" s="291">
        <f t="shared" si="0"/>
        <v>0</v>
      </c>
      <c r="J58" s="75"/>
      <c r="K58" s="48">
        <f t="shared" si="1"/>
        <v>0</v>
      </c>
      <c r="M58" s="140" t="str">
        <f t="shared" si="2"/>
        <v>2100/094Motor vehicle expenses - Licenses</v>
      </c>
      <c r="N58" s="70"/>
      <c r="P58" s="71"/>
      <c r="Q58" s="51"/>
      <c r="R58" s="31"/>
    </row>
    <row r="59" spans="1:18" x14ac:dyDescent="0.2">
      <c r="A59" s="238"/>
      <c r="B59" s="54" t="s">
        <v>185</v>
      </c>
      <c r="C59" s="242" t="s">
        <v>760</v>
      </c>
      <c r="D59" s="282"/>
      <c r="E59" s="281"/>
      <c r="F59" s="79"/>
      <c r="G59" s="47">
        <f>SUMIF(JournalsC!D$14:D$920,TrialBalanceC!M59,JournalsC!J$14:J$920)+SUMIF(JournalsC!E$14:E$920,TrialBalanceC!M59,JournalsC!J$14:J$920)</f>
        <v>0</v>
      </c>
      <c r="H59" s="288"/>
      <c r="I59" s="291">
        <f t="shared" si="0"/>
        <v>0</v>
      </c>
      <c r="J59" s="75"/>
      <c r="K59" s="48">
        <f t="shared" si="1"/>
        <v>0</v>
      </c>
      <c r="M59" s="140" t="str">
        <f t="shared" si="2"/>
        <v>2100/095Motor vehicle expenses - General</v>
      </c>
      <c r="N59" s="70"/>
      <c r="P59" s="71"/>
      <c r="Q59" s="51"/>
      <c r="R59" s="31"/>
    </row>
    <row r="60" spans="1:18" x14ac:dyDescent="0.2">
      <c r="A60" s="238"/>
      <c r="B60" s="54" t="s">
        <v>186</v>
      </c>
      <c r="C60" s="239" t="s">
        <v>187</v>
      </c>
      <c r="D60" s="283"/>
      <c r="E60" s="281"/>
      <c r="F60" s="79"/>
      <c r="G60" s="47">
        <f>SUMIF(JournalsC!D$14:D$920,TrialBalanceC!M60,JournalsC!J$14:J$920)+SUMIF(JournalsC!E$14:E$920,TrialBalanceC!M60,JournalsC!J$14:J$920)</f>
        <v>0</v>
      </c>
      <c r="H60" s="288"/>
      <c r="I60" s="291">
        <f t="shared" si="0"/>
        <v>0</v>
      </c>
      <c r="J60" s="75"/>
      <c r="K60" s="48">
        <f t="shared" si="1"/>
        <v>0</v>
      </c>
      <c r="M60" s="140" t="str">
        <f t="shared" si="2"/>
        <v>2100/100Rent paid-------------------------------</v>
      </c>
      <c r="N60" s="70"/>
      <c r="P60" s="71"/>
      <c r="Q60" s="51"/>
      <c r="R60" s="31"/>
    </row>
    <row r="61" spans="1:18" x14ac:dyDescent="0.2">
      <c r="A61" s="238"/>
      <c r="B61" s="54" t="s">
        <v>188</v>
      </c>
      <c r="C61" s="277"/>
      <c r="D61" s="281"/>
      <c r="E61" s="281"/>
      <c r="F61" s="79"/>
      <c r="G61" s="47">
        <f>SUMIF(JournalsC!D$14:D$920,TrialBalanceC!M61,JournalsC!J$14:J$920)+SUMIF(JournalsC!E$14:E$920,TrialBalanceC!M61,JournalsC!J$14:J$920)</f>
        <v>0</v>
      </c>
      <c r="H61" s="288"/>
      <c r="I61" s="291">
        <f t="shared" si="0"/>
        <v>0</v>
      </c>
      <c r="J61" s="75"/>
      <c r="K61" s="48">
        <f t="shared" si="1"/>
        <v>0</v>
      </c>
      <c r="M61" s="140" t="str">
        <f t="shared" si="2"/>
        <v>2100/101</v>
      </c>
      <c r="N61" s="70"/>
      <c r="P61" s="71"/>
      <c r="Q61" s="51"/>
      <c r="R61" s="31"/>
    </row>
    <row r="62" spans="1:18" x14ac:dyDescent="0.2">
      <c r="A62" s="238"/>
      <c r="B62" s="54" t="s">
        <v>189</v>
      </c>
      <c r="C62" s="277"/>
      <c r="D62" s="272"/>
      <c r="E62" s="281"/>
      <c r="F62" s="79"/>
      <c r="G62" s="47">
        <f>SUMIF(JournalsC!D$14:D$920,TrialBalanceC!M62,JournalsC!J$14:J$920)+SUMIF(JournalsC!E$14:E$920,TrialBalanceC!M62,JournalsC!J$14:J$920)</f>
        <v>0</v>
      </c>
      <c r="H62" s="288"/>
      <c r="I62" s="291">
        <f t="shared" si="0"/>
        <v>0</v>
      </c>
      <c r="J62" s="75"/>
      <c r="K62" s="48">
        <f t="shared" si="1"/>
        <v>0</v>
      </c>
      <c r="M62" s="140" t="str">
        <f t="shared" si="2"/>
        <v>2100/102</v>
      </c>
      <c r="N62" s="70"/>
      <c r="P62" s="71"/>
      <c r="Q62" s="51"/>
      <c r="R62" s="31"/>
    </row>
    <row r="63" spans="1:18" x14ac:dyDescent="0.2">
      <c r="A63" s="238"/>
      <c r="B63" s="54" t="s">
        <v>190</v>
      </c>
      <c r="C63" s="277"/>
      <c r="D63" s="272"/>
      <c r="E63" s="281"/>
      <c r="F63" s="79"/>
      <c r="G63" s="47">
        <f>SUMIF(JournalsC!D$14:D$920,TrialBalanceC!M63,JournalsC!J$14:J$920)+SUMIF(JournalsC!E$14:E$920,TrialBalanceC!M63,JournalsC!J$14:J$920)</f>
        <v>0</v>
      </c>
      <c r="H63" s="288"/>
      <c r="I63" s="291">
        <f t="shared" si="0"/>
        <v>0</v>
      </c>
      <c r="J63" s="75"/>
      <c r="K63" s="48">
        <f t="shared" si="1"/>
        <v>0</v>
      </c>
      <c r="M63" s="140" t="str">
        <f t="shared" si="2"/>
        <v>2100/103</v>
      </c>
      <c r="N63" s="70"/>
      <c r="P63" s="71"/>
      <c r="Q63" s="51"/>
      <c r="R63" s="31"/>
    </row>
    <row r="64" spans="1:18" x14ac:dyDescent="0.2">
      <c r="A64" s="238"/>
      <c r="B64" s="54" t="s">
        <v>191</v>
      </c>
      <c r="C64" s="240" t="s">
        <v>62</v>
      </c>
      <c r="D64" s="282"/>
      <c r="E64" s="281"/>
      <c r="F64" s="79"/>
      <c r="G64" s="47">
        <f>SUMIF(JournalsC!D$14:D$920,TrialBalanceC!M64,JournalsC!J$14:J$920)+SUMIF(JournalsC!E$14:E$920,TrialBalanceC!M64,JournalsC!J$14:J$920)</f>
        <v>0</v>
      </c>
      <c r="H64" s="288"/>
      <c r="I64" s="291">
        <f t="shared" si="0"/>
        <v>0</v>
      </c>
      <c r="J64" s="75"/>
      <c r="K64" s="48">
        <f t="shared" si="1"/>
        <v>0</v>
      </c>
      <c r="M64" s="140" t="str">
        <f t="shared" si="2"/>
        <v>2100/110Repairs and maintenance</v>
      </c>
      <c r="N64" s="70"/>
      <c r="P64" s="71"/>
      <c r="Q64" s="51"/>
      <c r="R64" s="31"/>
    </row>
    <row r="65" spans="1:18" x14ac:dyDescent="0.2">
      <c r="A65" s="238"/>
      <c r="B65" s="54" t="s">
        <v>63</v>
      </c>
      <c r="C65" s="240" t="s">
        <v>64</v>
      </c>
      <c r="D65" s="282"/>
      <c r="E65" s="281"/>
      <c r="F65" s="79"/>
      <c r="G65" s="47">
        <f>SUMIF(JournalsC!D$14:D$920,TrialBalanceC!M65,JournalsC!J$14:J$920)+SUMIF(JournalsC!E$14:E$920,TrialBalanceC!M65,JournalsC!J$14:J$920)</f>
        <v>0</v>
      </c>
      <c r="H65" s="288"/>
      <c r="I65" s="291">
        <f t="shared" si="0"/>
        <v>0</v>
      </c>
      <c r="J65" s="75"/>
      <c r="K65" s="48">
        <f t="shared" si="1"/>
        <v>0</v>
      </c>
      <c r="M65" s="140" t="str">
        <f t="shared" si="2"/>
        <v>2100/120Salaries</v>
      </c>
      <c r="N65" s="70"/>
      <c r="P65" s="71"/>
      <c r="Q65" s="51"/>
      <c r="R65" s="31"/>
    </row>
    <row r="66" spans="1:18" x14ac:dyDescent="0.2">
      <c r="A66" s="238"/>
      <c r="B66" s="54" t="s">
        <v>65</v>
      </c>
      <c r="C66" s="240" t="s">
        <v>66</v>
      </c>
      <c r="D66" s="282"/>
      <c r="E66" s="281"/>
      <c r="F66" s="79"/>
      <c r="G66" s="47">
        <f>SUMIF(JournalsC!D$14:D$920,TrialBalanceC!M66,JournalsC!J$14:J$920)+SUMIF(JournalsC!E$14:E$920,TrialBalanceC!M66,JournalsC!J$14:J$920)</f>
        <v>0</v>
      </c>
      <c r="H66" s="288"/>
      <c r="I66" s="291">
        <f t="shared" si="0"/>
        <v>0</v>
      </c>
      <c r="J66" s="75"/>
      <c r="K66" s="48">
        <f t="shared" si="1"/>
        <v>0</v>
      </c>
      <c r="M66" s="140" t="str">
        <f t="shared" si="2"/>
        <v>2100/121UIF - Employer</v>
      </c>
      <c r="N66" s="70"/>
      <c r="P66" s="71"/>
      <c r="Q66" s="51"/>
      <c r="R66" s="31"/>
    </row>
    <row r="67" spans="1:18" x14ac:dyDescent="0.2">
      <c r="A67" s="238"/>
      <c r="B67" s="54" t="s">
        <v>67</v>
      </c>
      <c r="C67" s="240" t="s">
        <v>68</v>
      </c>
      <c r="D67" s="282"/>
      <c r="E67" s="281"/>
      <c r="F67" s="79"/>
      <c r="G67" s="47">
        <f>SUMIF(JournalsC!D$14:D$920,TrialBalanceC!M67,JournalsC!J$14:J$920)+SUMIF(JournalsC!E$14:E$920,TrialBalanceC!M67,JournalsC!J$14:J$920)</f>
        <v>0</v>
      </c>
      <c r="H67" s="288"/>
      <c r="I67" s="291">
        <f t="shared" si="0"/>
        <v>0</v>
      </c>
      <c r="J67" s="75"/>
      <c r="K67" s="48">
        <f t="shared" si="1"/>
        <v>0</v>
      </c>
      <c r="M67" s="140" t="str">
        <f t="shared" si="2"/>
        <v>2100/122Casual wages</v>
      </c>
      <c r="N67" s="70"/>
      <c r="P67" s="71"/>
      <c r="Q67" s="51"/>
      <c r="R67" s="31"/>
    </row>
    <row r="68" spans="1:18" x14ac:dyDescent="0.2">
      <c r="A68" s="238"/>
      <c r="B68" s="54" t="s">
        <v>69</v>
      </c>
      <c r="C68" s="240" t="s">
        <v>70</v>
      </c>
      <c r="D68" s="282"/>
      <c r="E68" s="281"/>
      <c r="F68" s="79"/>
      <c r="G68" s="47">
        <f>SUMIF(JournalsC!D$14:D$920,TrialBalanceC!M68,JournalsC!J$14:J$920)+SUMIF(JournalsC!E$14:E$920,TrialBalanceC!M68,JournalsC!J$14:J$920)</f>
        <v>0</v>
      </c>
      <c r="H68" s="288"/>
      <c r="I68" s="291">
        <f t="shared" si="0"/>
        <v>0</v>
      </c>
      <c r="J68" s="75"/>
      <c r="K68" s="48">
        <f t="shared" si="1"/>
        <v>0</v>
      </c>
      <c r="M68" s="140" t="str">
        <f t="shared" si="2"/>
        <v>2100/130Telephone</v>
      </c>
      <c r="N68" s="70"/>
      <c r="P68" s="71"/>
      <c r="Q68" s="51"/>
      <c r="R68" s="31"/>
    </row>
    <row r="69" spans="1:18" x14ac:dyDescent="0.2">
      <c r="A69" s="238"/>
      <c r="B69" s="54" t="s">
        <v>71</v>
      </c>
      <c r="C69" s="240" t="s">
        <v>482</v>
      </c>
      <c r="D69" s="282"/>
      <c r="E69" s="281"/>
      <c r="F69" s="79"/>
      <c r="G69" s="47">
        <f>SUMIF(JournalsC!D$14:D$920,TrialBalanceC!M69,JournalsC!J$14:J$920)+SUMIF(JournalsC!E$14:E$920,TrialBalanceC!M69,JournalsC!J$14:J$920)</f>
        <v>0</v>
      </c>
      <c r="H69" s="288"/>
      <c r="I69" s="291">
        <f t="shared" si="0"/>
        <v>0</v>
      </c>
      <c r="J69" s="75"/>
      <c r="K69" s="48">
        <f t="shared" si="1"/>
        <v>0</v>
      </c>
      <c r="M69" s="140" t="str">
        <f t="shared" si="2"/>
        <v>2100/135Postage and courier</v>
      </c>
      <c r="N69" s="70"/>
      <c r="P69" s="71"/>
      <c r="Q69" s="51"/>
      <c r="R69" s="31"/>
    </row>
    <row r="70" spans="1:18" x14ac:dyDescent="0.2">
      <c r="A70" s="238"/>
      <c r="B70" s="54" t="s">
        <v>72</v>
      </c>
      <c r="C70" s="240" t="s">
        <v>254</v>
      </c>
      <c r="D70" s="282"/>
      <c r="E70" s="281"/>
      <c r="F70" s="79"/>
      <c r="G70" s="47">
        <f>SUMIF(JournalsC!D$14:D$920,TrialBalanceC!M70,JournalsC!J$14:J$920)+SUMIF(JournalsC!E$14:E$920,TrialBalanceC!M70,JournalsC!J$14:J$920)</f>
        <v>0</v>
      </c>
      <c r="H70" s="288"/>
      <c r="I70" s="291">
        <f t="shared" si="0"/>
        <v>0</v>
      </c>
      <c r="J70" s="75"/>
      <c r="K70" s="48">
        <f t="shared" si="1"/>
        <v>0</v>
      </c>
      <c r="M70" s="140" t="str">
        <f t="shared" si="2"/>
        <v>2100/140Training</v>
      </c>
      <c r="N70" s="70"/>
      <c r="P70" s="71"/>
      <c r="Q70" s="51"/>
      <c r="R70" s="31"/>
    </row>
    <row r="71" spans="1:18" x14ac:dyDescent="0.2">
      <c r="A71" s="238"/>
      <c r="B71" s="54" t="s">
        <v>73</v>
      </c>
      <c r="C71" s="241" t="s">
        <v>808</v>
      </c>
      <c r="D71" s="272"/>
      <c r="E71" s="281"/>
      <c r="F71" s="79"/>
      <c r="G71" s="47">
        <f>SUMIF(JournalsC!D$14:D$920,TrialBalanceC!M71,JournalsC!J$14:J$920)+SUMIF(JournalsC!E$14:E$920,TrialBalanceC!M71,JournalsC!J$14:J$920)</f>
        <v>0</v>
      </c>
      <c r="H71" s="288"/>
      <c r="I71" s="291">
        <f t="shared" si="0"/>
        <v>0</v>
      </c>
      <c r="J71" s="75"/>
      <c r="K71" s="48">
        <f t="shared" si="1"/>
        <v>0</v>
      </c>
      <c r="M71" s="140" t="str">
        <f t="shared" si="2"/>
        <v>2100/150Traveling and accommodation</v>
      </c>
      <c r="N71" s="70"/>
      <c r="P71" s="71"/>
      <c r="Q71" s="51"/>
      <c r="R71" s="31"/>
    </row>
    <row r="72" spans="1:18" x14ac:dyDescent="0.2">
      <c r="A72" s="238"/>
      <c r="B72" s="90" t="s">
        <v>621</v>
      </c>
      <c r="C72" s="276"/>
      <c r="D72" s="281"/>
      <c r="E72" s="281"/>
      <c r="F72" s="79"/>
      <c r="G72" s="47">
        <f>SUMIF(JournalsC!D$14:D$920,TrialBalanceC!M72,JournalsC!J$14:J$920)+SUMIF(JournalsC!E$14:E$920,TrialBalanceC!M72,JournalsC!J$14:J$920)</f>
        <v>0</v>
      </c>
      <c r="H72" s="288"/>
      <c r="I72" s="291">
        <f t="shared" si="0"/>
        <v>0</v>
      </c>
      <c r="J72" s="75"/>
      <c r="K72" s="48">
        <f t="shared" si="1"/>
        <v>0</v>
      </c>
      <c r="M72" s="140" t="str">
        <f t="shared" si="2"/>
        <v>2150/001</v>
      </c>
      <c r="N72" s="70"/>
      <c r="P72" s="71"/>
      <c r="Q72" s="51"/>
      <c r="R72" s="31"/>
    </row>
    <row r="73" spans="1:18" x14ac:dyDescent="0.2">
      <c r="A73" s="238"/>
      <c r="B73" s="90" t="s">
        <v>622</v>
      </c>
      <c r="C73" s="276"/>
      <c r="D73" s="281"/>
      <c r="E73" s="281"/>
      <c r="F73" s="79"/>
      <c r="G73" s="47">
        <f>SUMIF(JournalsC!D$14:D$920,TrialBalanceC!M73,JournalsC!J$14:J$920)+SUMIF(JournalsC!E$14:E$920,TrialBalanceC!M73,JournalsC!J$14:J$920)</f>
        <v>0</v>
      </c>
      <c r="H73" s="288"/>
      <c r="I73" s="291">
        <f t="shared" ref="I73:I101" si="9">ROUND(D73-E73+G73+F73,0)</f>
        <v>0</v>
      </c>
      <c r="J73" s="75"/>
      <c r="K73" s="48">
        <f t="shared" ref="K73:K136" si="10">ROUND(SUM(A73),0)</f>
        <v>0</v>
      </c>
      <c r="M73" s="140" t="str">
        <f t="shared" ref="M73:M136" si="11">CONCATENATE(B73,C73)</f>
        <v>2150/002</v>
      </c>
      <c r="N73" s="70"/>
      <c r="P73" s="71"/>
      <c r="Q73" s="51"/>
      <c r="R73" s="31"/>
    </row>
    <row r="74" spans="1:18" x14ac:dyDescent="0.2">
      <c r="A74" s="238"/>
      <c r="B74" s="90" t="s">
        <v>623</v>
      </c>
      <c r="C74" s="276"/>
      <c r="D74" s="281"/>
      <c r="E74" s="281"/>
      <c r="F74" s="79"/>
      <c r="G74" s="47">
        <f>SUMIF(JournalsC!D$14:D$920,TrialBalanceC!M74,JournalsC!J$14:J$920)+SUMIF(JournalsC!E$14:E$920,TrialBalanceC!M74,JournalsC!J$14:J$920)</f>
        <v>0</v>
      </c>
      <c r="H74" s="288"/>
      <c r="I74" s="291">
        <f t="shared" si="9"/>
        <v>0</v>
      </c>
      <c r="J74" s="75"/>
      <c r="K74" s="48">
        <f t="shared" si="10"/>
        <v>0</v>
      </c>
      <c r="M74" s="140" t="str">
        <f t="shared" si="11"/>
        <v>2150/003</v>
      </c>
      <c r="N74" s="70"/>
      <c r="P74" s="71"/>
      <c r="Q74" s="51"/>
      <c r="R74" s="31"/>
    </row>
    <row r="75" spans="1:18" x14ac:dyDescent="0.2">
      <c r="A75" s="238"/>
      <c r="B75" s="90" t="s">
        <v>624</v>
      </c>
      <c r="C75" s="276"/>
      <c r="D75" s="281"/>
      <c r="E75" s="281"/>
      <c r="F75" s="79"/>
      <c r="G75" s="47">
        <f>SUMIF(JournalsC!D$14:D$920,TrialBalanceC!M75,JournalsC!J$14:J$920)+SUMIF(JournalsC!E$14:E$920,TrialBalanceC!M75,JournalsC!J$14:J$920)</f>
        <v>0</v>
      </c>
      <c r="H75" s="288"/>
      <c r="I75" s="291">
        <f t="shared" si="9"/>
        <v>0</v>
      </c>
      <c r="J75" s="75"/>
      <c r="K75" s="48">
        <f t="shared" si="10"/>
        <v>0</v>
      </c>
      <c r="M75" s="140" t="str">
        <f t="shared" si="11"/>
        <v>2150/004</v>
      </c>
      <c r="N75" s="70"/>
      <c r="P75" s="71"/>
      <c r="Q75" s="51"/>
      <c r="R75" s="31"/>
    </row>
    <row r="76" spans="1:18" x14ac:dyDescent="0.2">
      <c r="A76" s="238"/>
      <c r="B76" s="90" t="s">
        <v>625</v>
      </c>
      <c r="C76" s="276"/>
      <c r="D76" s="281"/>
      <c r="E76" s="281"/>
      <c r="F76" s="79"/>
      <c r="G76" s="47">
        <f>SUMIF(JournalsC!D$14:D$920,TrialBalanceC!M76,JournalsC!J$14:J$920)+SUMIF(JournalsC!E$14:E$920,TrialBalanceC!M76,JournalsC!J$14:J$920)</f>
        <v>0</v>
      </c>
      <c r="H76" s="288"/>
      <c r="I76" s="291">
        <f t="shared" si="9"/>
        <v>0</v>
      </c>
      <c r="J76" s="75"/>
      <c r="K76" s="48">
        <f t="shared" si="10"/>
        <v>0</v>
      </c>
      <c r="M76" s="140" t="str">
        <f t="shared" si="11"/>
        <v>2150/005</v>
      </c>
      <c r="N76" s="70"/>
      <c r="P76" s="71"/>
      <c r="Q76" s="51"/>
      <c r="R76" s="31"/>
    </row>
    <row r="77" spans="1:18" x14ac:dyDescent="0.2">
      <c r="A77" s="238"/>
      <c r="B77" s="90" t="s">
        <v>626</v>
      </c>
      <c r="C77" s="276"/>
      <c r="D77" s="281"/>
      <c r="E77" s="281"/>
      <c r="F77" s="79"/>
      <c r="G77" s="47">
        <f>SUMIF(JournalsC!D$14:D$920,TrialBalanceC!M77,JournalsC!J$14:J$920)+SUMIF(JournalsC!E$14:E$920,TrialBalanceC!M77,JournalsC!J$14:J$920)</f>
        <v>0</v>
      </c>
      <c r="H77" s="288"/>
      <c r="I77" s="291">
        <f t="shared" si="9"/>
        <v>0</v>
      </c>
      <c r="J77" s="75"/>
      <c r="K77" s="48">
        <f t="shared" si="10"/>
        <v>0</v>
      </c>
      <c r="M77" s="140" t="str">
        <f t="shared" si="11"/>
        <v>2150/006</v>
      </c>
      <c r="N77" s="70"/>
      <c r="P77" s="71"/>
      <c r="Q77" s="51"/>
      <c r="R77" s="31"/>
    </row>
    <row r="78" spans="1:18" x14ac:dyDescent="0.2">
      <c r="A78" s="238"/>
      <c r="B78" s="90" t="s">
        <v>627</v>
      </c>
      <c r="C78" s="278"/>
      <c r="D78" s="274"/>
      <c r="E78" s="281"/>
      <c r="F78" s="79"/>
      <c r="G78" s="47">
        <f>SUMIF(JournalsC!D$14:D$920,TrialBalanceC!M78,JournalsC!J$14:J$920)+SUMIF(JournalsC!E$14:E$920,TrialBalanceC!M78,JournalsC!J$14:J$920)</f>
        <v>0</v>
      </c>
      <c r="H78" s="288"/>
      <c r="I78" s="291">
        <f t="shared" si="9"/>
        <v>0</v>
      </c>
      <c r="J78" s="75"/>
      <c r="K78" s="48">
        <f t="shared" si="10"/>
        <v>0</v>
      </c>
      <c r="M78" s="140" t="str">
        <f t="shared" si="11"/>
        <v>2150/007</v>
      </c>
      <c r="N78" s="70"/>
      <c r="P78" s="71"/>
      <c r="Q78" s="51"/>
      <c r="R78" s="31"/>
    </row>
    <row r="79" spans="1:18" x14ac:dyDescent="0.2">
      <c r="A79" s="238"/>
      <c r="B79" s="90" t="s">
        <v>628</v>
      </c>
      <c r="C79" s="278"/>
      <c r="D79" s="274"/>
      <c r="E79" s="281"/>
      <c r="F79" s="79"/>
      <c r="G79" s="47">
        <f>SUMIF(JournalsC!D$14:D$920,TrialBalanceC!M79,JournalsC!J$14:J$920)+SUMIF(JournalsC!E$14:E$920,TrialBalanceC!M79,JournalsC!J$14:J$920)</f>
        <v>0</v>
      </c>
      <c r="H79" s="288"/>
      <c r="I79" s="291">
        <f t="shared" si="9"/>
        <v>0</v>
      </c>
      <c r="J79" s="75"/>
      <c r="K79" s="48">
        <f t="shared" si="10"/>
        <v>0</v>
      </c>
      <c r="M79" s="140" t="str">
        <f t="shared" si="11"/>
        <v>2150/008</v>
      </c>
      <c r="N79" s="70"/>
      <c r="P79" s="71"/>
      <c r="Q79" s="51"/>
      <c r="R79" s="31"/>
    </row>
    <row r="80" spans="1:18" x14ac:dyDescent="0.2">
      <c r="A80" s="238"/>
      <c r="B80" s="90" t="s">
        <v>629</v>
      </c>
      <c r="C80" s="276"/>
      <c r="D80" s="281"/>
      <c r="E80" s="281"/>
      <c r="F80" s="79"/>
      <c r="G80" s="47">
        <f>SUMIF(JournalsC!D$14:D$920,TrialBalanceC!M80,JournalsC!J$14:J$920)+SUMIF(JournalsC!E$14:E$920,TrialBalanceC!M80,JournalsC!J$14:J$920)</f>
        <v>0</v>
      </c>
      <c r="H80" s="288"/>
      <c r="I80" s="291">
        <f t="shared" si="9"/>
        <v>0</v>
      </c>
      <c r="J80" s="75"/>
      <c r="K80" s="48">
        <f t="shared" si="10"/>
        <v>0</v>
      </c>
      <c r="M80" s="140" t="str">
        <f t="shared" si="11"/>
        <v>2150/009</v>
      </c>
      <c r="N80" s="70"/>
      <c r="P80" s="71"/>
      <c r="Q80" s="51"/>
      <c r="R80" s="31"/>
    </row>
    <row r="81" spans="1:18" x14ac:dyDescent="0.2">
      <c r="A81" s="238"/>
      <c r="B81" s="90" t="s">
        <v>630</v>
      </c>
      <c r="C81" s="276"/>
      <c r="D81" s="281"/>
      <c r="E81" s="281"/>
      <c r="F81" s="79"/>
      <c r="G81" s="47">
        <f>SUMIF(JournalsC!D$14:D$920,TrialBalanceC!M81,JournalsC!J$14:J$920)+SUMIF(JournalsC!E$14:E$920,TrialBalanceC!M81,JournalsC!J$14:J$920)</f>
        <v>0</v>
      </c>
      <c r="H81" s="288"/>
      <c r="I81" s="291">
        <f t="shared" si="9"/>
        <v>0</v>
      </c>
      <c r="J81" s="75"/>
      <c r="K81" s="48">
        <f t="shared" si="10"/>
        <v>0</v>
      </c>
      <c r="M81" s="140" t="str">
        <f t="shared" si="11"/>
        <v>2150/010</v>
      </c>
      <c r="N81" s="70"/>
      <c r="P81" s="71"/>
      <c r="Q81" s="51"/>
      <c r="R81" s="31"/>
    </row>
    <row r="82" spans="1:18" x14ac:dyDescent="0.2">
      <c r="A82" s="238"/>
      <c r="B82" s="54" t="s">
        <v>20</v>
      </c>
      <c r="C82" s="239" t="s">
        <v>114</v>
      </c>
      <c r="D82" s="283"/>
      <c r="E82" s="281"/>
      <c r="F82" s="79"/>
      <c r="G82" s="47">
        <f>SUMIF(JournalsC!D$14:D$920,TrialBalanceC!M82,JournalsC!J$14:J$920)+SUMIF(JournalsC!E$14:E$920,TrialBalanceC!M82,JournalsC!J$14:J$920)</f>
        <v>0</v>
      </c>
      <c r="H82" s="288"/>
      <c r="I82" s="291">
        <f t="shared" si="9"/>
        <v>0</v>
      </c>
      <c r="J82" s="75"/>
      <c r="K82" s="48">
        <f t="shared" si="10"/>
        <v>0</v>
      </c>
      <c r="M82" s="140" t="str">
        <f t="shared" si="11"/>
        <v>2500/000OTHER INCOME</v>
      </c>
      <c r="N82" s="70"/>
      <c r="P82" s="71"/>
      <c r="Q82" s="51"/>
      <c r="R82" s="31"/>
    </row>
    <row r="83" spans="1:18" x14ac:dyDescent="0.2">
      <c r="A83" s="238"/>
      <c r="B83" s="54" t="s">
        <v>358</v>
      </c>
      <c r="C83" s="241" t="s">
        <v>761</v>
      </c>
      <c r="D83" s="272"/>
      <c r="E83" s="281"/>
      <c r="F83" s="79"/>
      <c r="G83" s="47">
        <f>SUMIF(JournalsC!D$14:D$920,TrialBalanceC!M83,JournalsC!J$14:J$920)+SUMIF(JournalsC!E$14:E$920,TrialBalanceC!M83,JournalsC!J$14:J$920)</f>
        <v>0</v>
      </c>
      <c r="H83" s="288"/>
      <c r="I83" s="291">
        <f t="shared" si="9"/>
        <v>0</v>
      </c>
      <c r="J83" s="75"/>
      <c r="K83" s="48">
        <f t="shared" si="10"/>
        <v>0</v>
      </c>
      <c r="M83" s="140" t="str">
        <f t="shared" si="11"/>
        <v>2710/000Rent received (not main income)</v>
      </c>
      <c r="N83" s="70"/>
      <c r="P83" s="71"/>
      <c r="Q83" s="51"/>
      <c r="R83" s="31"/>
    </row>
    <row r="84" spans="1:18" x14ac:dyDescent="0.2">
      <c r="A84" s="238"/>
      <c r="B84" s="54" t="s">
        <v>74</v>
      </c>
      <c r="C84" s="239" t="s">
        <v>767</v>
      </c>
      <c r="D84" s="283"/>
      <c r="E84" s="281"/>
      <c r="F84" s="79"/>
      <c r="G84" s="47">
        <f>SUMIF(JournalsC!D$14:D$920,TrialBalanceC!M84,JournalsC!J$14:J$920)+SUMIF(JournalsC!E$14:E$920,TrialBalanceC!M84,JournalsC!J$14:J$920)</f>
        <v>0</v>
      </c>
      <c r="H84" s="288"/>
      <c r="I84" s="291">
        <f t="shared" si="9"/>
        <v>0</v>
      </c>
      <c r="J84" s="75"/>
      <c r="K84" s="48">
        <f t="shared" si="10"/>
        <v>0</v>
      </c>
      <c r="M84" s="140" t="str">
        <f t="shared" si="11"/>
        <v>2750/000Interest received-----------------------</v>
      </c>
      <c r="N84" s="70"/>
      <c r="P84" s="71"/>
      <c r="Q84" s="51"/>
      <c r="R84" s="31"/>
    </row>
    <row r="85" spans="1:18" x14ac:dyDescent="0.2">
      <c r="A85" s="238"/>
      <c r="B85" s="54" t="s">
        <v>75</v>
      </c>
      <c r="C85" s="276"/>
      <c r="D85" s="281"/>
      <c r="E85" s="281"/>
      <c r="F85" s="79"/>
      <c r="G85" s="47">
        <f>SUMIF(JournalsC!D$14:D$920,TrialBalanceC!M85,JournalsC!J$14:J$920)+SUMIF(JournalsC!E$14:E$920,TrialBalanceC!M85,JournalsC!J$14:J$920)</f>
        <v>0</v>
      </c>
      <c r="H85" s="288"/>
      <c r="I85" s="291">
        <f t="shared" si="9"/>
        <v>0</v>
      </c>
      <c r="J85" s="75"/>
      <c r="K85" s="48">
        <f t="shared" si="10"/>
        <v>0</v>
      </c>
      <c r="M85" s="140" t="str">
        <f t="shared" si="11"/>
        <v>2750/001</v>
      </c>
      <c r="N85" s="70"/>
      <c r="P85" s="71"/>
      <c r="Q85" s="51"/>
      <c r="R85" s="31"/>
    </row>
    <row r="86" spans="1:18" x14ac:dyDescent="0.2">
      <c r="A86" s="238"/>
      <c r="B86" s="54" t="s">
        <v>76</v>
      </c>
      <c r="C86" s="278"/>
      <c r="D86" s="274"/>
      <c r="E86" s="281"/>
      <c r="F86" s="79"/>
      <c r="G86" s="47">
        <f>SUMIF(JournalsC!D$14:D$920,TrialBalanceC!M86,JournalsC!J$14:J$920)+SUMIF(JournalsC!E$14:E$920,TrialBalanceC!M86,JournalsC!J$14:J$920)</f>
        <v>0</v>
      </c>
      <c r="H86" s="288"/>
      <c r="I86" s="291">
        <f t="shared" si="9"/>
        <v>0</v>
      </c>
      <c r="J86" s="75"/>
      <c r="K86" s="48">
        <f t="shared" si="10"/>
        <v>0</v>
      </c>
      <c r="M86" s="140" t="str">
        <f t="shared" si="11"/>
        <v>2750/002</v>
      </c>
      <c r="N86" s="70"/>
      <c r="P86" s="71"/>
      <c r="Q86" s="51"/>
      <c r="R86" s="31"/>
    </row>
    <row r="87" spans="1:18" x14ac:dyDescent="0.2">
      <c r="A87" s="238"/>
      <c r="B87" s="54" t="s">
        <v>77</v>
      </c>
      <c r="C87" s="279"/>
      <c r="D87" s="282"/>
      <c r="E87" s="281"/>
      <c r="F87" s="79"/>
      <c r="G87" s="47">
        <f>SUMIF(JournalsC!D$14:D$920,TrialBalanceC!M87,JournalsC!J$14:J$920)+SUMIF(JournalsC!E$14:E$920,TrialBalanceC!M87,JournalsC!J$14:J$920)</f>
        <v>0</v>
      </c>
      <c r="H87" s="288"/>
      <c r="I87" s="291">
        <f t="shared" si="9"/>
        <v>0</v>
      </c>
      <c r="J87" s="75"/>
      <c r="K87" s="48">
        <f t="shared" si="10"/>
        <v>0</v>
      </c>
      <c r="M87" s="140" t="str">
        <f t="shared" si="11"/>
        <v>2750/003</v>
      </c>
      <c r="N87" s="70"/>
      <c r="P87" s="71"/>
      <c r="Q87" s="51"/>
      <c r="R87" s="31"/>
    </row>
    <row r="88" spans="1:18" x14ac:dyDescent="0.2">
      <c r="A88" s="238"/>
      <c r="B88" s="54" t="s">
        <v>78</v>
      </c>
      <c r="C88" s="279"/>
      <c r="D88" s="282"/>
      <c r="E88" s="281"/>
      <c r="F88" s="79"/>
      <c r="G88" s="47">
        <f>SUMIF(JournalsC!D$14:D$920,TrialBalanceC!M88,JournalsC!J$14:J$920)+SUMIF(JournalsC!E$14:E$920,TrialBalanceC!M88,JournalsC!J$14:J$920)</f>
        <v>0</v>
      </c>
      <c r="H88" s="288"/>
      <c r="I88" s="291">
        <f t="shared" si="9"/>
        <v>0</v>
      </c>
      <c r="J88" s="75"/>
      <c r="K88" s="48">
        <f t="shared" si="10"/>
        <v>0</v>
      </c>
      <c r="M88" s="140" t="str">
        <f t="shared" si="11"/>
        <v>2750/004</v>
      </c>
      <c r="N88" s="70"/>
      <c r="P88" s="71"/>
      <c r="Q88" s="51"/>
      <c r="R88" s="31"/>
    </row>
    <row r="89" spans="1:18" x14ac:dyDescent="0.2">
      <c r="A89" s="238"/>
      <c r="B89" s="54" t="s">
        <v>192</v>
      </c>
      <c r="C89" s="240" t="s">
        <v>299</v>
      </c>
      <c r="D89" s="282"/>
      <c r="E89" s="281"/>
      <c r="F89" s="79"/>
      <c r="G89" s="47">
        <f>SUMIF(JournalsC!D$14:D$920,TrialBalanceC!M89,JournalsC!J$14:J$920)+SUMIF(JournalsC!E$14:E$920,TrialBalanceC!M89,JournalsC!J$14:J$920)</f>
        <v>0</v>
      </c>
      <c r="H89" s="288"/>
      <c r="I89" s="291">
        <f t="shared" si="9"/>
        <v>0</v>
      </c>
      <c r="J89" s="75"/>
      <c r="K89" s="48">
        <f t="shared" si="10"/>
        <v>0</v>
      </c>
      <c r="M89" s="140" t="str">
        <f t="shared" si="11"/>
        <v>2800/000Dividends received----------------------</v>
      </c>
      <c r="N89" s="70"/>
      <c r="P89" s="71"/>
      <c r="Q89" s="51"/>
      <c r="R89" s="31"/>
    </row>
    <row r="90" spans="1:18" x14ac:dyDescent="0.2">
      <c r="A90" s="238"/>
      <c r="B90" s="54" t="s">
        <v>300</v>
      </c>
      <c r="C90" s="242" t="s">
        <v>708</v>
      </c>
      <c r="D90" s="282"/>
      <c r="E90" s="281"/>
      <c r="F90" s="79"/>
      <c r="G90" s="47">
        <f>SUMIF(JournalsC!D$14:D$920,TrialBalanceC!M90,JournalsC!J$14:J$920)+SUMIF(JournalsC!E$14:E$920,TrialBalanceC!M90,JournalsC!J$14:J$920)</f>
        <v>0</v>
      </c>
      <c r="H90" s="288"/>
      <c r="I90" s="291">
        <f t="shared" si="9"/>
        <v>0</v>
      </c>
      <c r="J90" s="75"/>
      <c r="K90" s="48">
        <f t="shared" si="10"/>
        <v>0</v>
      </c>
      <c r="M90" s="140" t="str">
        <f t="shared" si="11"/>
        <v>2800/001Div.'s received - SA sources</v>
      </c>
      <c r="N90" s="70"/>
      <c r="P90" s="71"/>
      <c r="Q90" s="51"/>
      <c r="R90" s="31"/>
    </row>
    <row r="91" spans="1:18" x14ac:dyDescent="0.2">
      <c r="A91" s="238"/>
      <c r="B91" s="54" t="s">
        <v>202</v>
      </c>
      <c r="C91" s="242" t="s">
        <v>1141</v>
      </c>
      <c r="D91" s="282"/>
      <c r="E91" s="281"/>
      <c r="F91" s="79"/>
      <c r="G91" s="47">
        <f>SUMIF(JournalsC!D$14:D$920,TrialBalanceC!M91,JournalsC!J$14:J$920)+SUMIF(JournalsC!E$14:E$920,TrialBalanceC!M91,JournalsC!J$14:J$920)</f>
        <v>0</v>
      </c>
      <c r="H91" s="288"/>
      <c r="I91" s="291">
        <f t="shared" ref="I91" si="12">ROUND(D91-E91+G91+F91,0)</f>
        <v>0</v>
      </c>
      <c r="J91" s="75"/>
      <c r="K91" s="48">
        <f t="shared" ref="K91" si="13">ROUND(SUM(A91),0)</f>
        <v>0</v>
      </c>
      <c r="M91" s="140" t="str">
        <f t="shared" ref="M91" si="14">CONCATENATE(B91,C91)</f>
        <v>2800/002Div.'s received - Associates</v>
      </c>
      <c r="N91" s="70"/>
      <c r="P91" s="71"/>
      <c r="Q91" s="51"/>
      <c r="R91" s="31"/>
    </row>
    <row r="92" spans="1:18" x14ac:dyDescent="0.2">
      <c r="A92" s="238"/>
      <c r="B92" s="90" t="s">
        <v>1140</v>
      </c>
      <c r="C92" s="242" t="s">
        <v>709</v>
      </c>
      <c r="D92" s="282"/>
      <c r="E92" s="281"/>
      <c r="F92" s="79"/>
      <c r="G92" s="47">
        <f>SUMIF(JournalsC!D$14:D$920,TrialBalanceC!M92,JournalsC!J$14:J$920)+SUMIF(JournalsC!E$14:E$920,TrialBalanceC!M92,JournalsC!J$14:J$920)</f>
        <v>0</v>
      </c>
      <c r="H92" s="288"/>
      <c r="I92" s="291">
        <f t="shared" si="9"/>
        <v>0</v>
      </c>
      <c r="J92" s="75"/>
      <c r="K92" s="48">
        <f t="shared" si="10"/>
        <v>0</v>
      </c>
      <c r="M92" s="140" t="str">
        <f t="shared" si="11"/>
        <v>2800/003Div.'s received - Foreign div.'s</v>
      </c>
      <c r="N92" s="70"/>
      <c r="P92" s="71"/>
      <c r="Q92" s="51"/>
      <c r="R92" s="31"/>
    </row>
    <row r="93" spans="1:18" x14ac:dyDescent="0.2">
      <c r="A93" s="238"/>
      <c r="B93" s="54" t="s">
        <v>203</v>
      </c>
      <c r="C93" s="242" t="s">
        <v>667</v>
      </c>
      <c r="D93" s="284"/>
      <c r="E93" s="281"/>
      <c r="F93" s="79"/>
      <c r="G93" s="47">
        <f>SUMIF(JournalsC!D$14:D$920,TrialBalanceC!M93,JournalsC!J$14:J$920)+SUMIF(JournalsC!E$14:E$920,TrialBalanceC!M93,JournalsC!J$14:J$920)</f>
        <v>0</v>
      </c>
      <c r="H93" s="288"/>
      <c r="I93" s="291">
        <f t="shared" si="9"/>
        <v>0</v>
      </c>
      <c r="J93" s="75"/>
      <c r="K93" s="48">
        <f t="shared" si="10"/>
        <v>0</v>
      </c>
      <c r="M93" s="140" t="str">
        <f t="shared" si="11"/>
        <v>2810/000(Profit)/Loss on sale of fixed assets</v>
      </c>
      <c r="N93" s="70"/>
      <c r="P93" s="71"/>
      <c r="Q93" s="51"/>
      <c r="R93" s="31"/>
    </row>
    <row r="94" spans="1:18" x14ac:dyDescent="0.2">
      <c r="A94" s="238"/>
      <c r="B94" s="54" t="s">
        <v>204</v>
      </c>
      <c r="C94" s="240" t="s">
        <v>205</v>
      </c>
      <c r="D94" s="282"/>
      <c r="E94" s="281"/>
      <c r="F94" s="79"/>
      <c r="G94" s="47">
        <f>SUMIF(JournalsC!D$14:D$920,TrialBalanceC!M94,JournalsC!J$14:J$920)+SUMIF(JournalsC!E$14:E$920,TrialBalanceC!M94,JournalsC!J$14:J$920)</f>
        <v>0</v>
      </c>
      <c r="H94" s="288"/>
      <c r="I94" s="291">
        <f t="shared" si="9"/>
        <v>0</v>
      </c>
      <c r="J94" s="75"/>
      <c r="K94" s="48">
        <f t="shared" si="10"/>
        <v>0</v>
      </c>
      <c r="M94" s="140" t="str">
        <f t="shared" si="11"/>
        <v>2820/000Bad debts recovered</v>
      </c>
      <c r="N94" s="70"/>
      <c r="P94" s="71"/>
      <c r="Q94" s="51"/>
      <c r="R94" s="31"/>
    </row>
    <row r="95" spans="1:18" x14ac:dyDescent="0.2">
      <c r="A95" s="238"/>
      <c r="B95" s="54" t="s">
        <v>206</v>
      </c>
      <c r="C95" s="240" t="s">
        <v>207</v>
      </c>
      <c r="D95" s="282"/>
      <c r="E95" s="281"/>
      <c r="F95" s="79"/>
      <c r="G95" s="47">
        <f>SUMIF(JournalsC!D$14:D$920,TrialBalanceC!M95,JournalsC!J$14:J$920)+SUMIF(JournalsC!E$14:E$920,TrialBalanceC!M95,JournalsC!J$14:J$920)</f>
        <v>0</v>
      </c>
      <c r="H95" s="288"/>
      <c r="I95" s="291">
        <f t="shared" si="9"/>
        <v>0</v>
      </c>
      <c r="J95" s="75"/>
      <c r="K95" s="48">
        <f t="shared" si="10"/>
        <v>0</v>
      </c>
      <c r="M95" s="140" t="str">
        <f t="shared" si="11"/>
        <v>2830/000Other income</v>
      </c>
      <c r="N95" s="70"/>
      <c r="P95" s="51"/>
      <c r="Q95" s="51"/>
      <c r="R95" s="31"/>
    </row>
    <row r="96" spans="1:18" x14ac:dyDescent="0.2">
      <c r="A96" s="238"/>
      <c r="B96" s="90" t="s">
        <v>1075</v>
      </c>
      <c r="C96" s="242" t="s">
        <v>1076</v>
      </c>
      <c r="D96" s="282"/>
      <c r="E96" s="281"/>
      <c r="F96" s="79"/>
      <c r="G96" s="47">
        <f>SUMIF(JournalsC!D$14:D$920,TrialBalanceC!M96,JournalsC!J$14:J$920)+SUMIF(JournalsC!E$14:E$920,TrialBalanceC!M96,JournalsC!J$14:J$920)</f>
        <v>0</v>
      </c>
      <c r="H96" s="288"/>
      <c r="I96" s="291">
        <f t="shared" ref="I96" si="15">ROUND(D96-E96+G96+F96,0)</f>
        <v>0</v>
      </c>
      <c r="J96" s="75"/>
      <c r="K96" s="48">
        <f t="shared" ref="K96" si="16">ROUND(SUM(A96),0)</f>
        <v>0</v>
      </c>
      <c r="M96" s="140" t="str">
        <f t="shared" ref="M96" si="17">CONCATENATE(B96,C96)</f>
        <v>2840/000Revaluation of investment property</v>
      </c>
      <c r="N96" s="70"/>
      <c r="P96" s="51"/>
      <c r="Q96" s="51"/>
      <c r="R96" s="31"/>
    </row>
    <row r="97" spans="1:18" x14ac:dyDescent="0.2">
      <c r="A97" s="238"/>
      <c r="B97" s="54" t="s">
        <v>208</v>
      </c>
      <c r="C97" s="239" t="s">
        <v>903</v>
      </c>
      <c r="D97" s="283"/>
      <c r="E97" s="281"/>
      <c r="F97" s="79"/>
      <c r="G97" s="47">
        <f>SUMIF(JournalsC!D$14:D$920,TrialBalanceC!M97,JournalsC!J$14:J$920)+SUMIF(JournalsC!E$14:E$920,TrialBalanceC!M97,JournalsC!J$14:J$920)</f>
        <v>0</v>
      </c>
      <c r="H97" s="288"/>
      <c r="I97" s="291">
        <f t="shared" si="9"/>
        <v>0</v>
      </c>
      <c r="J97" s="75"/>
      <c r="K97" s="48">
        <f t="shared" si="10"/>
        <v>0</v>
      </c>
      <c r="M97" s="140" t="str">
        <f t="shared" si="11"/>
        <v>3000/000ADMINISTRATIVE EXPENSES</v>
      </c>
      <c r="N97" s="70"/>
      <c r="P97" s="71"/>
      <c r="Q97" s="51"/>
      <c r="R97" s="31"/>
    </row>
    <row r="98" spans="1:18" x14ac:dyDescent="0.2">
      <c r="A98" s="238"/>
      <c r="B98" s="54" t="s">
        <v>209</v>
      </c>
      <c r="C98" s="240" t="s">
        <v>210</v>
      </c>
      <c r="D98" s="282"/>
      <c r="E98" s="281"/>
      <c r="F98" s="79"/>
      <c r="G98" s="47">
        <f>SUMIF(JournalsC!D$14:D$920,TrialBalanceC!M98,JournalsC!J$14:J$920)+SUMIF(JournalsC!E$14:E$920,TrialBalanceC!M98,JournalsC!J$14:J$920)</f>
        <v>0</v>
      </c>
      <c r="H98" s="288"/>
      <c r="I98" s="291">
        <f t="shared" si="9"/>
        <v>0</v>
      </c>
      <c r="J98" s="75"/>
      <c r="K98" s="48">
        <f t="shared" si="10"/>
        <v>0</v>
      </c>
      <c r="M98" s="140" t="str">
        <f t="shared" si="11"/>
        <v>3000/011Audit fees for current year</v>
      </c>
      <c r="N98" s="70"/>
      <c r="P98" s="51"/>
      <c r="Q98" s="51"/>
      <c r="R98" s="31"/>
    </row>
    <row r="99" spans="1:18" x14ac:dyDescent="0.2">
      <c r="A99" s="238"/>
      <c r="B99" s="54" t="s">
        <v>211</v>
      </c>
      <c r="C99" s="246" t="s">
        <v>356</v>
      </c>
      <c r="D99" s="272"/>
      <c r="E99" s="281"/>
      <c r="F99" s="79"/>
      <c r="G99" s="47">
        <f>SUMIF(JournalsC!D$14:D$920,TrialBalanceC!M99,JournalsC!J$14:J$920)+SUMIF(JournalsC!E$14:E$920,TrialBalanceC!M99,JournalsC!J$14:J$920)</f>
        <v>0</v>
      </c>
      <c r="H99" s="288"/>
      <c r="I99" s="291">
        <f t="shared" si="9"/>
        <v>0</v>
      </c>
      <c r="J99" s="75"/>
      <c r="K99" s="48">
        <f t="shared" si="10"/>
        <v>0</v>
      </c>
      <c r="M99" s="140" t="str">
        <f t="shared" si="11"/>
        <v>3000/012Under provision previous year</v>
      </c>
      <c r="N99" s="70"/>
      <c r="P99" s="71"/>
      <c r="Q99" s="51"/>
      <c r="R99" s="31"/>
    </row>
    <row r="100" spans="1:18" x14ac:dyDescent="0.2">
      <c r="A100" s="238"/>
      <c r="B100" s="54" t="s">
        <v>212</v>
      </c>
      <c r="C100" s="240" t="s">
        <v>213</v>
      </c>
      <c r="D100" s="282"/>
      <c r="E100" s="281"/>
      <c r="F100" s="79"/>
      <c r="G100" s="47">
        <f>SUMIF(JournalsC!D$14:D$920,TrialBalanceC!M100,JournalsC!J$14:J$920)+SUMIF(JournalsC!E$14:E$920,TrialBalanceC!M100,JournalsC!J$14:J$920)</f>
        <v>0</v>
      </c>
      <c r="H100" s="288"/>
      <c r="I100" s="291">
        <f t="shared" si="9"/>
        <v>0</v>
      </c>
      <c r="J100" s="75"/>
      <c r="K100" s="48">
        <f t="shared" si="10"/>
        <v>0</v>
      </c>
      <c r="M100" s="140" t="str">
        <f t="shared" si="11"/>
        <v>3000/013Overprovision previous year</v>
      </c>
      <c r="N100" s="70"/>
      <c r="P100" s="71"/>
      <c r="Q100" s="51"/>
      <c r="R100" s="31"/>
    </row>
    <row r="101" spans="1:18" x14ac:dyDescent="0.2">
      <c r="A101" s="238"/>
      <c r="B101" s="54" t="s">
        <v>214</v>
      </c>
      <c r="C101" s="240" t="s">
        <v>215</v>
      </c>
      <c r="D101" s="282"/>
      <c r="E101" s="281"/>
      <c r="F101" s="79"/>
      <c r="G101" s="47">
        <f>SUMIF(JournalsC!D$14:D$920,TrialBalanceC!M101,JournalsC!J$14:J$920)+SUMIF(JournalsC!E$14:E$920,TrialBalanceC!M101,JournalsC!J$14:J$920)</f>
        <v>0</v>
      </c>
      <c r="H101" s="288"/>
      <c r="I101" s="291">
        <f t="shared" si="9"/>
        <v>0</v>
      </c>
      <c r="J101" s="75"/>
      <c r="K101" s="48">
        <f t="shared" si="10"/>
        <v>0</v>
      </c>
      <c r="M101" s="140" t="str">
        <f t="shared" si="11"/>
        <v>3000/014Accounting fees</v>
      </c>
      <c r="N101" s="70"/>
      <c r="P101" s="71"/>
      <c r="Q101" s="51"/>
      <c r="R101" s="31"/>
    </row>
    <row r="102" spans="1:18" x14ac:dyDescent="0.2">
      <c r="A102" s="238"/>
      <c r="B102" s="54" t="s">
        <v>216</v>
      </c>
      <c r="C102" s="240" t="s">
        <v>217</v>
      </c>
      <c r="D102" s="282"/>
      <c r="E102" s="281"/>
      <c r="F102" s="79"/>
      <c r="G102" s="47">
        <f>SUMIF(JournalsC!D$14:D$920,TrialBalanceC!M102,JournalsC!J$14:J$920)+SUMIF(JournalsC!E$14:E$920,TrialBalanceC!M102,JournalsC!J$14:J$920)</f>
        <v>0</v>
      </c>
      <c r="H102" s="288"/>
      <c r="I102" s="291">
        <f>ROUND(D102-E102+G102+F102,0)</f>
        <v>0</v>
      </c>
      <c r="J102" s="75"/>
      <c r="K102" s="48">
        <f t="shared" si="10"/>
        <v>0</v>
      </c>
      <c r="M102" s="140" t="str">
        <f t="shared" si="11"/>
        <v>3000/020Bank charges</v>
      </c>
      <c r="N102" s="70"/>
      <c r="P102" s="71"/>
      <c r="Q102" s="51"/>
      <c r="R102" s="31"/>
    </row>
    <row r="103" spans="1:18" x14ac:dyDescent="0.2">
      <c r="A103" s="238"/>
      <c r="B103" s="54" t="s">
        <v>218</v>
      </c>
      <c r="C103" s="240" t="s">
        <v>219</v>
      </c>
      <c r="D103" s="282"/>
      <c r="E103" s="281"/>
      <c r="F103" s="79"/>
      <c r="G103" s="47">
        <f>SUMIF(JournalsC!D$14:D$920,TrialBalanceC!M103,JournalsC!J$14:J$920)+SUMIF(JournalsC!E$14:E$920,TrialBalanceC!M103,JournalsC!J$14:J$920)</f>
        <v>0</v>
      </c>
      <c r="H103" s="288"/>
      <c r="I103" s="291">
        <f t="shared" ref="I103:I170" si="18">ROUND(D103-E103+G103+F103,0)</f>
        <v>0</v>
      </c>
      <c r="J103" s="75"/>
      <c r="K103" s="48">
        <f t="shared" si="10"/>
        <v>0</v>
      </c>
      <c r="M103" s="140" t="str">
        <f t="shared" si="11"/>
        <v>3000/030Bad debts</v>
      </c>
      <c r="N103" s="70"/>
      <c r="P103" s="71"/>
      <c r="Q103" s="51"/>
      <c r="R103" s="31"/>
    </row>
    <row r="104" spans="1:18" x14ac:dyDescent="0.2">
      <c r="A104" s="238"/>
      <c r="B104" s="54" t="s">
        <v>220</v>
      </c>
      <c r="C104" s="240" t="s">
        <v>258</v>
      </c>
      <c r="D104" s="282"/>
      <c r="E104" s="281"/>
      <c r="F104" s="79"/>
      <c r="G104" s="47">
        <f>SUMIF(JournalsC!D$14:D$920,TrialBalanceC!M104,JournalsC!J$14:J$920)+SUMIF(JournalsC!E$14:E$920,TrialBalanceC!M104,JournalsC!J$14:J$920)</f>
        <v>0</v>
      </c>
      <c r="H104" s="288"/>
      <c r="I104" s="291">
        <f t="shared" si="18"/>
        <v>0</v>
      </c>
      <c r="J104" s="75"/>
      <c r="K104" s="48">
        <f t="shared" si="10"/>
        <v>0</v>
      </c>
      <c r="M104" s="140" t="str">
        <f t="shared" si="11"/>
        <v>3000/040Cleaning</v>
      </c>
      <c r="N104" s="70"/>
      <c r="P104" s="71"/>
      <c r="Q104" s="51"/>
      <c r="R104" s="31"/>
    </row>
    <row r="105" spans="1:18" x14ac:dyDescent="0.2">
      <c r="A105" s="238"/>
      <c r="B105" s="54" t="s">
        <v>221</v>
      </c>
      <c r="C105" s="240" t="s">
        <v>222</v>
      </c>
      <c r="D105" s="282"/>
      <c r="E105" s="281"/>
      <c r="F105" s="79"/>
      <c r="G105" s="47">
        <f>SUMIF(JournalsC!D$14:D$920,TrialBalanceC!M105,JournalsC!J$14:J$920)+SUMIF(JournalsC!E$14:E$920,TrialBalanceC!M105,JournalsC!J$14:J$920)</f>
        <v>0</v>
      </c>
      <c r="H105" s="288"/>
      <c r="I105" s="291">
        <f t="shared" si="18"/>
        <v>0</v>
      </c>
      <c r="J105" s="75"/>
      <c r="K105" s="48">
        <f t="shared" si="10"/>
        <v>0</v>
      </c>
      <c r="M105" s="140" t="str">
        <f t="shared" si="11"/>
        <v>3000/050Computer expenses</v>
      </c>
      <c r="N105" s="70"/>
      <c r="P105" s="71"/>
      <c r="Q105" s="51"/>
      <c r="R105" s="31"/>
    </row>
    <row r="106" spans="1:18" x14ac:dyDescent="0.2">
      <c r="A106" s="238"/>
      <c r="B106" s="90" t="s">
        <v>689</v>
      </c>
      <c r="C106" s="242" t="s">
        <v>727</v>
      </c>
      <c r="D106" s="282"/>
      <c r="E106" s="281"/>
      <c r="F106" s="79"/>
      <c r="G106" s="47">
        <f>SUMIF(JournalsC!D$14:D$920,TrialBalanceC!M106,JournalsC!J$14:J$920)+SUMIF(JournalsC!E$14:E$920,TrialBalanceC!M106,JournalsC!J$14:J$920)</f>
        <v>0</v>
      </c>
      <c r="H106" s="288"/>
      <c r="I106" s="291">
        <f t="shared" ref="I106" si="19">ROUND(D106-E106+G106+F106,0)</f>
        <v>0</v>
      </c>
      <c r="J106" s="75"/>
      <c r="K106" s="48">
        <f t="shared" ref="K106" si="20">ROUND(SUM(A106),0)</f>
        <v>0</v>
      </c>
      <c r="M106" s="140" t="str">
        <f t="shared" ref="M106" si="21">CONCATENATE(B106,C106)</f>
        <v>3000/055Consulting and professional fees</v>
      </c>
      <c r="N106" s="70"/>
      <c r="P106" s="71"/>
      <c r="Q106" s="51"/>
      <c r="R106" s="31"/>
    </row>
    <row r="107" spans="1:18" x14ac:dyDescent="0.2">
      <c r="A107" s="238"/>
      <c r="B107" s="54" t="s">
        <v>223</v>
      </c>
      <c r="C107" s="239" t="s">
        <v>413</v>
      </c>
      <c r="D107" s="283"/>
      <c r="E107" s="281"/>
      <c r="F107" s="79"/>
      <c r="G107" s="47">
        <f>SUMIF(JournalsC!D$14:D$920,TrialBalanceC!M107,JournalsC!J$14:J$920)+SUMIF(JournalsC!E$14:E$920,TrialBalanceC!M107,JournalsC!J$14:J$920)</f>
        <v>0</v>
      </c>
      <c r="H107" s="288"/>
      <c r="I107" s="291">
        <f t="shared" si="18"/>
        <v>0</v>
      </c>
      <c r="J107" s="75"/>
      <c r="K107" s="48">
        <f t="shared" si="10"/>
        <v>0</v>
      </c>
      <c r="M107" s="140" t="str">
        <f t="shared" si="11"/>
        <v>3000/060Depreciation----------------------------</v>
      </c>
      <c r="N107" s="70"/>
      <c r="P107" s="71"/>
      <c r="Q107" s="51"/>
      <c r="R107" s="31"/>
    </row>
    <row r="108" spans="1:18" x14ac:dyDescent="0.2">
      <c r="A108" s="238"/>
      <c r="B108" s="90" t="s">
        <v>224</v>
      </c>
      <c r="C108" s="241" t="s">
        <v>53</v>
      </c>
      <c r="D108" s="281"/>
      <c r="E108" s="281"/>
      <c r="F108" s="79"/>
      <c r="G108" s="47">
        <f>SUMIF(JournalsC!D$14:D$920,TrialBalanceC!M108,JournalsC!J$14:J$920)+SUMIF(JournalsC!E$14:E$920,TrialBalanceC!M108,JournalsC!J$14:J$920)</f>
        <v>0</v>
      </c>
      <c r="H108" s="288"/>
      <c r="I108" s="291">
        <f t="shared" si="18"/>
        <v>0</v>
      </c>
      <c r="J108" s="75"/>
      <c r="K108" s="48">
        <f t="shared" si="10"/>
        <v>0</v>
      </c>
      <c r="M108" s="140" t="str">
        <f t="shared" si="11"/>
        <v>3000/061Depr - Electronic equipment</v>
      </c>
      <c r="N108" s="70"/>
      <c r="P108" s="71"/>
      <c r="Q108" s="51"/>
      <c r="R108" s="31"/>
    </row>
    <row r="109" spans="1:18" x14ac:dyDescent="0.2">
      <c r="A109" s="238"/>
      <c r="B109" s="90" t="s">
        <v>360</v>
      </c>
      <c r="C109" s="242" t="s">
        <v>766</v>
      </c>
      <c r="D109" s="282"/>
      <c r="E109" s="281"/>
      <c r="F109" s="79"/>
      <c r="G109" s="47">
        <f>SUMIF(JournalsC!D$14:D$920,TrialBalanceC!M109,JournalsC!J$14:J$920)+SUMIF(JournalsC!E$14:E$920,TrialBalanceC!M109,JournalsC!J$14:J$920)</f>
        <v>0</v>
      </c>
      <c r="H109" s="288"/>
      <c r="I109" s="291">
        <f t="shared" si="18"/>
        <v>0</v>
      </c>
      <c r="J109" s="75"/>
      <c r="K109" s="48">
        <f t="shared" si="10"/>
        <v>0</v>
      </c>
      <c r="M109" s="140" t="str">
        <f t="shared" si="11"/>
        <v>3000/063Depr - Furniture and fittings</v>
      </c>
      <c r="N109" s="70"/>
      <c r="P109" s="71"/>
      <c r="Q109" s="51"/>
      <c r="R109" s="31"/>
    </row>
    <row r="110" spans="1:18" x14ac:dyDescent="0.2">
      <c r="A110" s="238"/>
      <c r="B110" s="54" t="s">
        <v>361</v>
      </c>
      <c r="C110" s="239" t="s">
        <v>615</v>
      </c>
      <c r="D110" s="283"/>
      <c r="E110" s="281"/>
      <c r="F110" s="79"/>
      <c r="G110" s="47">
        <f>SUMIF(JournalsC!D$14:D$920,TrialBalanceC!M110,JournalsC!J$14:J$920)+SUMIF(JournalsC!E$14:E$920,TrialBalanceC!M110,JournalsC!J$14:J$920)</f>
        <v>0</v>
      </c>
      <c r="H110" s="288"/>
      <c r="I110" s="291">
        <f t="shared" si="18"/>
        <v>0</v>
      </c>
      <c r="J110" s="75"/>
      <c r="K110" s="48">
        <f t="shared" si="10"/>
        <v>0</v>
      </c>
      <c r="M110" s="140" t="str">
        <f t="shared" si="11"/>
        <v>3000/070Directors' remuneration-----------------</v>
      </c>
      <c r="N110" s="70"/>
      <c r="P110" s="71"/>
      <c r="Q110" s="51"/>
      <c r="R110" s="31"/>
    </row>
    <row r="111" spans="1:18" x14ac:dyDescent="0.2">
      <c r="A111" s="238"/>
      <c r="B111" s="54" t="s">
        <v>362</v>
      </c>
      <c r="C111" s="276" t="str">
        <f>Criteria!E38</f>
        <v>A Director</v>
      </c>
      <c r="D111" s="281"/>
      <c r="E111" s="281"/>
      <c r="F111" s="79"/>
      <c r="G111" s="47">
        <f>SUMIF(JournalsC!D$14:D$920,TrialBalanceC!M111,JournalsC!J$14:J$920)+SUMIF(JournalsC!E$14:E$920,TrialBalanceC!M111,JournalsC!J$14:J$920)</f>
        <v>0</v>
      </c>
      <c r="H111" s="288"/>
      <c r="I111" s="291">
        <f t="shared" si="18"/>
        <v>0</v>
      </c>
      <c r="J111" s="75"/>
      <c r="K111" s="48">
        <f t="shared" si="10"/>
        <v>0</v>
      </c>
      <c r="M111" s="140" t="str">
        <f t="shared" si="11"/>
        <v>3000/071A Director</v>
      </c>
      <c r="N111" s="70"/>
      <c r="P111" s="71"/>
      <c r="Q111" s="51"/>
      <c r="R111" s="31"/>
    </row>
    <row r="112" spans="1:18" x14ac:dyDescent="0.2">
      <c r="A112" s="238"/>
      <c r="B112" s="54" t="s">
        <v>363</v>
      </c>
      <c r="C112" s="276">
        <f>Criteria!E39</f>
        <v>0</v>
      </c>
      <c r="D112" s="281"/>
      <c r="E112" s="281"/>
      <c r="F112" s="79"/>
      <c r="G112" s="47">
        <f>SUMIF(JournalsC!D$14:D$920,TrialBalanceC!M112,JournalsC!J$14:J$920)+SUMIF(JournalsC!E$14:E$920,TrialBalanceC!M112,JournalsC!J$14:J$920)</f>
        <v>0</v>
      </c>
      <c r="H112" s="288"/>
      <c r="I112" s="291">
        <f t="shared" si="18"/>
        <v>0</v>
      </c>
      <c r="J112" s="75"/>
      <c r="K112" s="48">
        <f t="shared" si="10"/>
        <v>0</v>
      </c>
      <c r="M112" s="140" t="str">
        <f t="shared" si="11"/>
        <v>3000/0720</v>
      </c>
      <c r="N112" s="70"/>
      <c r="P112" s="71"/>
      <c r="Q112" s="51"/>
      <c r="R112" s="31"/>
    </row>
    <row r="113" spans="1:18" x14ac:dyDescent="0.2">
      <c r="A113" s="238"/>
      <c r="B113" s="54" t="s">
        <v>364</v>
      </c>
      <c r="C113" s="276">
        <f>Criteria!E40</f>
        <v>0</v>
      </c>
      <c r="D113" s="281"/>
      <c r="E113" s="281"/>
      <c r="F113" s="79"/>
      <c r="G113" s="47">
        <f>SUMIF(JournalsC!D$14:D$920,TrialBalanceC!M113,JournalsC!J$14:J$920)+SUMIF(JournalsC!E$14:E$920,TrialBalanceC!M113,JournalsC!J$14:J$920)</f>
        <v>0</v>
      </c>
      <c r="H113" s="288"/>
      <c r="I113" s="291">
        <f t="shared" si="18"/>
        <v>0</v>
      </c>
      <c r="J113" s="75"/>
      <c r="K113" s="48">
        <f t="shared" si="10"/>
        <v>0</v>
      </c>
      <c r="M113" s="140" t="str">
        <f t="shared" si="11"/>
        <v>3000/0730</v>
      </c>
      <c r="N113" s="70"/>
      <c r="P113" s="71"/>
      <c r="Q113" s="51"/>
      <c r="R113" s="31"/>
    </row>
    <row r="114" spans="1:18" x14ac:dyDescent="0.2">
      <c r="A114" s="238"/>
      <c r="B114" s="54" t="s">
        <v>365</v>
      </c>
      <c r="C114" s="276">
        <f>Criteria!E41</f>
        <v>0</v>
      </c>
      <c r="D114" s="281"/>
      <c r="E114" s="281"/>
      <c r="F114" s="79"/>
      <c r="G114" s="47">
        <f>SUMIF(JournalsC!D$14:D$920,TrialBalanceC!M114,JournalsC!J$14:J$920)+SUMIF(JournalsC!E$14:E$920,TrialBalanceC!M114,JournalsC!J$14:J$920)</f>
        <v>0</v>
      </c>
      <c r="H114" s="288"/>
      <c r="I114" s="291">
        <f t="shared" si="18"/>
        <v>0</v>
      </c>
      <c r="J114" s="75"/>
      <c r="K114" s="48">
        <f t="shared" si="10"/>
        <v>0</v>
      </c>
      <c r="M114" s="140" t="str">
        <f t="shared" si="11"/>
        <v>3000/0740</v>
      </c>
      <c r="N114" s="70"/>
      <c r="P114" s="71"/>
      <c r="Q114" s="51"/>
      <c r="R114" s="31"/>
    </row>
    <row r="115" spans="1:18" x14ac:dyDescent="0.2">
      <c r="A115" s="238"/>
      <c r="B115" s="54" t="s">
        <v>366</v>
      </c>
      <c r="C115" s="276">
        <f>Criteria!E42</f>
        <v>0</v>
      </c>
      <c r="D115" s="282"/>
      <c r="E115" s="281"/>
      <c r="F115" s="79"/>
      <c r="G115" s="47">
        <f>SUMIF(JournalsC!D$14:D$920,TrialBalanceC!M115,JournalsC!J$14:J$920)+SUMIF(JournalsC!E$14:E$920,TrialBalanceC!M115,JournalsC!J$14:J$920)</f>
        <v>0</v>
      </c>
      <c r="H115" s="288"/>
      <c r="I115" s="291">
        <f t="shared" si="18"/>
        <v>0</v>
      </c>
      <c r="J115" s="75"/>
      <c r="K115" s="48">
        <f t="shared" si="10"/>
        <v>0</v>
      </c>
      <c r="M115" s="140" t="str">
        <f t="shared" si="11"/>
        <v>3000/0750</v>
      </c>
      <c r="N115" s="70"/>
      <c r="P115" s="71"/>
      <c r="Q115" s="51"/>
      <c r="R115" s="31"/>
    </row>
    <row r="116" spans="1:18" x14ac:dyDescent="0.2">
      <c r="A116" s="238"/>
      <c r="B116" s="54" t="s">
        <v>367</v>
      </c>
      <c r="C116" s="240" t="s">
        <v>259</v>
      </c>
      <c r="D116" s="282"/>
      <c r="E116" s="281"/>
      <c r="F116" s="79"/>
      <c r="G116" s="47">
        <f>SUMIF(JournalsC!D$14:D$920,TrialBalanceC!M116,JournalsC!J$14:J$920)+SUMIF(JournalsC!E$14:E$920,TrialBalanceC!M116,JournalsC!J$14:J$920)</f>
        <v>0</v>
      </c>
      <c r="H116" s="288"/>
      <c r="I116" s="291">
        <f t="shared" si="18"/>
        <v>0</v>
      </c>
      <c r="J116" s="75"/>
      <c r="K116" s="48">
        <f t="shared" si="10"/>
        <v>0</v>
      </c>
      <c r="M116" s="140" t="str">
        <f t="shared" si="11"/>
        <v>3000/080Donations</v>
      </c>
      <c r="N116" s="70"/>
      <c r="P116" s="71"/>
      <c r="Q116" s="51"/>
      <c r="R116" s="31"/>
    </row>
    <row r="117" spans="1:18" x14ac:dyDescent="0.2">
      <c r="A117" s="238"/>
      <c r="B117" s="54" t="s">
        <v>368</v>
      </c>
      <c r="C117" s="240" t="s">
        <v>369</v>
      </c>
      <c r="D117" s="282"/>
      <c r="E117" s="281"/>
      <c r="F117" s="79"/>
      <c r="G117" s="47">
        <f>SUMIF(JournalsC!D$14:D$920,TrialBalanceC!M117,JournalsC!J$14:J$920)+SUMIF(JournalsC!E$14:E$920,TrialBalanceC!M117,JournalsC!J$14:J$920)</f>
        <v>0</v>
      </c>
      <c r="H117" s="288"/>
      <c r="I117" s="291">
        <f t="shared" si="18"/>
        <v>0</v>
      </c>
      <c r="J117" s="75"/>
      <c r="K117" s="48">
        <f t="shared" si="10"/>
        <v>0</v>
      </c>
      <c r="M117" s="140" t="str">
        <f t="shared" si="11"/>
        <v>3000/090Entertainment expenses</v>
      </c>
      <c r="N117" s="70"/>
      <c r="P117" s="71"/>
      <c r="Q117" s="51"/>
      <c r="R117" s="31"/>
    </row>
    <row r="118" spans="1:18" x14ac:dyDescent="0.2">
      <c r="A118" s="238"/>
      <c r="B118" s="56" t="s">
        <v>61</v>
      </c>
      <c r="C118" s="246" t="s">
        <v>330</v>
      </c>
      <c r="D118" s="272"/>
      <c r="E118" s="281"/>
      <c r="F118" s="79"/>
      <c r="G118" s="47">
        <f>SUMIF(JournalsC!D$14:D$920,TrialBalanceC!M118,JournalsC!J$14:J$920)+SUMIF(JournalsC!E$14:E$920,TrialBalanceC!M118,JournalsC!J$14:J$920)</f>
        <v>0</v>
      </c>
      <c r="H118" s="288"/>
      <c r="I118" s="291">
        <f t="shared" si="18"/>
        <v>0</v>
      </c>
      <c r="J118" s="75"/>
      <c r="K118" s="48">
        <f t="shared" si="10"/>
        <v>0</v>
      </c>
      <c r="M118" s="140" t="str">
        <f t="shared" si="11"/>
        <v>3000/095Fines</v>
      </c>
      <c r="N118" s="70"/>
      <c r="P118" s="71"/>
      <c r="Q118" s="51"/>
      <c r="R118" s="31"/>
    </row>
    <row r="119" spans="1:18" x14ac:dyDescent="0.2">
      <c r="A119" s="238"/>
      <c r="B119" s="54" t="s">
        <v>370</v>
      </c>
      <c r="C119" s="240" t="s">
        <v>371</v>
      </c>
      <c r="D119" s="282"/>
      <c r="E119" s="281"/>
      <c r="F119" s="79"/>
      <c r="G119" s="47">
        <f>SUMIF(JournalsC!D$14:D$920,TrialBalanceC!M119,JournalsC!J$14:J$920)+SUMIF(JournalsC!E$14:E$920,TrialBalanceC!M119,JournalsC!J$14:J$920)</f>
        <v>0</v>
      </c>
      <c r="H119" s="288"/>
      <c r="I119" s="291">
        <f t="shared" si="18"/>
        <v>0</v>
      </c>
      <c r="J119" s="75"/>
      <c r="K119" s="48">
        <f t="shared" si="10"/>
        <v>0</v>
      </c>
      <c r="M119" s="140" t="str">
        <f t="shared" si="11"/>
        <v>3000/100General expenses</v>
      </c>
      <c r="N119" s="70"/>
      <c r="P119" s="71"/>
      <c r="Q119" s="51"/>
      <c r="R119" s="31"/>
    </row>
    <row r="120" spans="1:18" x14ac:dyDescent="0.2">
      <c r="A120" s="238"/>
      <c r="B120" s="54" t="s">
        <v>301</v>
      </c>
      <c r="C120" s="241" t="s">
        <v>763</v>
      </c>
      <c r="D120" s="272"/>
      <c r="E120" s="281"/>
      <c r="F120" s="79"/>
      <c r="G120" s="47">
        <f>SUMIF(JournalsC!D$14:D$920,TrialBalanceC!M120,JournalsC!J$14:J$920)+SUMIF(JournalsC!E$14:E$920,TrialBalanceC!M120,JournalsC!J$14:J$920)</f>
        <v>0</v>
      </c>
      <c r="H120" s="288"/>
      <c r="I120" s="291">
        <f t="shared" si="18"/>
        <v>0</v>
      </c>
      <c r="J120" s="75"/>
      <c r="K120" s="48">
        <f t="shared" si="10"/>
        <v>0</v>
      </c>
      <c r="M120" s="140" t="str">
        <f t="shared" si="11"/>
        <v>3000/110Legal expenses - tax deductible</v>
      </c>
      <c r="N120" s="70"/>
      <c r="P120" s="71"/>
      <c r="Q120" s="51"/>
      <c r="R120" s="31"/>
    </row>
    <row r="121" spans="1:18" x14ac:dyDescent="0.2">
      <c r="A121" s="238"/>
      <c r="B121" s="54" t="s">
        <v>448</v>
      </c>
      <c r="C121" s="241" t="s">
        <v>764</v>
      </c>
      <c r="D121" s="272"/>
      <c r="E121" s="281"/>
      <c r="F121" s="79"/>
      <c r="G121" s="47">
        <f>SUMIF(JournalsC!D$14:D$920,TrialBalanceC!M121,JournalsC!J$14:J$920)+SUMIF(JournalsC!E$14:E$920,TrialBalanceC!M121,JournalsC!J$14:J$920)</f>
        <v>0</v>
      </c>
      <c r="H121" s="288"/>
      <c r="I121" s="291">
        <f t="shared" si="18"/>
        <v>0</v>
      </c>
      <c r="J121" s="75"/>
      <c r="K121" s="48">
        <f t="shared" si="10"/>
        <v>0</v>
      </c>
      <c r="M121" s="140" t="str">
        <f t="shared" si="11"/>
        <v>3000/111Legal expenses - non deductible</v>
      </c>
      <c r="N121" s="70"/>
      <c r="P121" s="71"/>
      <c r="Q121" s="51"/>
      <c r="R121" s="31"/>
    </row>
    <row r="122" spans="1:18" x14ac:dyDescent="0.2">
      <c r="A122" s="238"/>
      <c r="B122" s="54" t="s">
        <v>302</v>
      </c>
      <c r="C122" s="240" t="s">
        <v>303</v>
      </c>
      <c r="D122" s="282"/>
      <c r="E122" s="281"/>
      <c r="F122" s="79"/>
      <c r="G122" s="47">
        <f>SUMIF(JournalsC!D$14:D$920,TrialBalanceC!M122,JournalsC!J$14:J$920)+SUMIF(JournalsC!E$14:E$920,TrialBalanceC!M122,JournalsC!J$14:J$920)</f>
        <v>0</v>
      </c>
      <c r="H122" s="288"/>
      <c r="I122" s="291">
        <f t="shared" si="18"/>
        <v>0</v>
      </c>
      <c r="J122" s="75"/>
      <c r="K122" s="48">
        <f t="shared" si="10"/>
        <v>0</v>
      </c>
      <c r="M122" s="140" t="str">
        <f t="shared" si="11"/>
        <v>3000/120Printing and stationary</v>
      </c>
      <c r="N122" s="70"/>
      <c r="P122" s="71"/>
      <c r="Q122" s="51"/>
      <c r="R122" s="31"/>
    </row>
    <row r="123" spans="1:18" x14ac:dyDescent="0.2">
      <c r="A123" s="238"/>
      <c r="B123" s="54" t="s">
        <v>304</v>
      </c>
      <c r="C123" s="240" t="s">
        <v>260</v>
      </c>
      <c r="D123" s="282"/>
      <c r="E123" s="281"/>
      <c r="F123" s="79"/>
      <c r="G123" s="47">
        <f>SUMIF(JournalsC!D$14:D$920,TrialBalanceC!M123,JournalsC!J$14:J$920)+SUMIF(JournalsC!E$14:E$920,TrialBalanceC!M123,JournalsC!J$14:J$920)</f>
        <v>0</v>
      </c>
      <c r="H123" s="288"/>
      <c r="I123" s="291">
        <f t="shared" si="18"/>
        <v>0</v>
      </c>
      <c r="J123" s="75"/>
      <c r="K123" s="48">
        <f t="shared" si="10"/>
        <v>0</v>
      </c>
      <c r="M123" s="140" t="str">
        <f t="shared" si="11"/>
        <v>3000/130Refreshments</v>
      </c>
      <c r="N123" s="70"/>
      <c r="P123" s="71"/>
      <c r="Q123" s="51"/>
      <c r="R123" s="31"/>
    </row>
    <row r="124" spans="1:18" x14ac:dyDescent="0.2">
      <c r="A124" s="238"/>
      <c r="B124" s="54" t="s">
        <v>305</v>
      </c>
      <c r="C124" s="240" t="s">
        <v>64</v>
      </c>
      <c r="D124" s="282"/>
      <c r="E124" s="281"/>
      <c r="F124" s="79"/>
      <c r="G124" s="47">
        <f>SUMIF(JournalsC!D$14:D$920,TrialBalanceC!M124,JournalsC!J$14:J$920)+SUMIF(JournalsC!E$14:E$920,TrialBalanceC!M124,JournalsC!J$14:J$920)</f>
        <v>0</v>
      </c>
      <c r="H124" s="288"/>
      <c r="I124" s="291">
        <f t="shared" si="18"/>
        <v>0</v>
      </c>
      <c r="J124" s="75"/>
      <c r="K124" s="48">
        <f t="shared" si="10"/>
        <v>0</v>
      </c>
      <c r="M124" s="140" t="str">
        <f t="shared" si="11"/>
        <v>3000/140Salaries</v>
      </c>
      <c r="N124" s="70"/>
      <c r="P124" s="71"/>
      <c r="Q124" s="51"/>
      <c r="R124" s="31"/>
    </row>
    <row r="125" spans="1:18" x14ac:dyDescent="0.2">
      <c r="A125" s="238"/>
      <c r="B125" s="90" t="s">
        <v>306</v>
      </c>
      <c r="C125" s="240" t="s">
        <v>68</v>
      </c>
      <c r="D125" s="282"/>
      <c r="E125" s="281"/>
      <c r="F125" s="79"/>
      <c r="G125" s="47">
        <f>SUMIF(JournalsC!D$14:D$920,TrialBalanceC!M125,JournalsC!J$14:J$920)+SUMIF(JournalsC!E$14:E$920,TrialBalanceC!M125,JournalsC!J$14:J$920)</f>
        <v>0</v>
      </c>
      <c r="H125" s="288"/>
      <c r="I125" s="291">
        <f t="shared" si="18"/>
        <v>0</v>
      </c>
      <c r="J125" s="75"/>
      <c r="K125" s="48">
        <f t="shared" si="10"/>
        <v>0</v>
      </c>
      <c r="M125" s="140" t="str">
        <f t="shared" si="11"/>
        <v>3000/141Casual wages</v>
      </c>
      <c r="N125" s="70"/>
      <c r="P125" s="71"/>
      <c r="Q125" s="51"/>
      <c r="R125" s="31"/>
    </row>
    <row r="126" spans="1:18" x14ac:dyDescent="0.2">
      <c r="A126" s="238"/>
      <c r="B126" s="54" t="s">
        <v>307</v>
      </c>
      <c r="C126" s="240" t="s">
        <v>261</v>
      </c>
      <c r="D126" s="282"/>
      <c r="E126" s="281"/>
      <c r="F126" s="79"/>
      <c r="G126" s="47">
        <f>SUMIF(JournalsC!D$14:D$920,TrialBalanceC!M126,JournalsC!J$14:J$920)+SUMIF(JournalsC!E$14:E$920,TrialBalanceC!M126,JournalsC!J$14:J$920)</f>
        <v>0</v>
      </c>
      <c r="H126" s="288"/>
      <c r="I126" s="291">
        <f t="shared" si="18"/>
        <v>0</v>
      </c>
      <c r="J126" s="75"/>
      <c r="K126" s="48">
        <f t="shared" si="10"/>
        <v>0</v>
      </c>
      <c r="M126" s="140" t="str">
        <f t="shared" si="11"/>
        <v>3000/150Security</v>
      </c>
      <c r="N126" s="70"/>
      <c r="P126" s="71"/>
      <c r="Q126" s="51"/>
      <c r="R126" s="31"/>
    </row>
    <row r="127" spans="1:18" x14ac:dyDescent="0.2">
      <c r="A127" s="238"/>
      <c r="B127" s="54" t="s">
        <v>308</v>
      </c>
      <c r="C127" s="242" t="s">
        <v>729</v>
      </c>
      <c r="D127" s="284"/>
      <c r="E127" s="281"/>
      <c r="F127" s="79"/>
      <c r="G127" s="47">
        <f>SUMIF(JournalsC!D$14:D$920,TrialBalanceC!M127,JournalsC!J$14:J$920)+SUMIF(JournalsC!E$14:E$920,TrialBalanceC!M127,JournalsC!J$14:J$920)</f>
        <v>0</v>
      </c>
      <c r="H127" s="288"/>
      <c r="I127" s="291">
        <f t="shared" si="18"/>
        <v>0</v>
      </c>
      <c r="J127" s="75"/>
      <c r="K127" s="48">
        <f t="shared" si="10"/>
        <v>0</v>
      </c>
      <c r="M127" s="140" t="str">
        <f t="shared" si="11"/>
        <v>3000/160Subscriptions and membership fees</v>
      </c>
      <c r="N127" s="70"/>
      <c r="P127" s="71"/>
      <c r="Q127" s="51"/>
      <c r="R127" s="31"/>
    </row>
    <row r="128" spans="1:18" x14ac:dyDescent="0.2">
      <c r="A128" s="238"/>
      <c r="B128" s="54" t="s">
        <v>333</v>
      </c>
      <c r="C128" s="242" t="s">
        <v>765</v>
      </c>
      <c r="D128" s="282"/>
      <c r="E128" s="281"/>
      <c r="F128" s="79"/>
      <c r="G128" s="47">
        <f>SUMIF(JournalsC!D$14:D$920,TrialBalanceC!M128,JournalsC!J$14:J$920)+SUMIF(JournalsC!E$14:E$920,TrialBalanceC!M128,JournalsC!J$14:J$920)</f>
        <v>0</v>
      </c>
      <c r="H128" s="288"/>
      <c r="I128" s="291">
        <f t="shared" si="18"/>
        <v>0</v>
      </c>
      <c r="J128" s="75"/>
      <c r="K128" s="48">
        <f t="shared" si="10"/>
        <v>0</v>
      </c>
      <c r="M128" s="140" t="str">
        <f t="shared" si="11"/>
        <v>3000/170Penalties and interest - SARS</v>
      </c>
      <c r="N128" s="70"/>
      <c r="P128" s="71"/>
      <c r="Q128" s="51"/>
      <c r="R128" s="31"/>
    </row>
    <row r="129" spans="1:18" x14ac:dyDescent="0.2">
      <c r="A129" s="238"/>
      <c r="B129" s="54" t="s">
        <v>279</v>
      </c>
      <c r="C129" s="276"/>
      <c r="D129" s="281"/>
      <c r="E129" s="281"/>
      <c r="F129" s="79"/>
      <c r="G129" s="47">
        <f>SUMIF(JournalsC!D$14:D$920,TrialBalanceC!M129,JournalsC!J$14:J$920)+SUMIF(JournalsC!E$14:E$920,TrialBalanceC!M129,JournalsC!J$14:J$920)</f>
        <v>0</v>
      </c>
      <c r="H129" s="288"/>
      <c r="I129" s="291">
        <f t="shared" si="18"/>
        <v>0</v>
      </c>
      <c r="J129" s="75"/>
      <c r="K129" s="48">
        <f t="shared" si="10"/>
        <v>0</v>
      </c>
      <c r="M129" s="140" t="str">
        <f t="shared" si="11"/>
        <v>3000/180</v>
      </c>
      <c r="N129" s="70"/>
      <c r="P129" s="71"/>
      <c r="Q129" s="51"/>
      <c r="R129" s="31"/>
    </row>
    <row r="130" spans="1:18" x14ac:dyDescent="0.2">
      <c r="A130" s="238"/>
      <c r="B130" s="54" t="s">
        <v>280</v>
      </c>
      <c r="C130" s="276"/>
      <c r="D130" s="281"/>
      <c r="E130" s="281"/>
      <c r="F130" s="79"/>
      <c r="G130" s="47">
        <f>SUMIF(JournalsC!D$14:D$920,TrialBalanceC!M130,JournalsC!J$14:J$920)+SUMIF(JournalsC!E$14:E$920,TrialBalanceC!M130,JournalsC!J$14:J$920)</f>
        <v>0</v>
      </c>
      <c r="H130" s="288"/>
      <c r="I130" s="291">
        <f t="shared" si="18"/>
        <v>0</v>
      </c>
      <c r="J130" s="75"/>
      <c r="K130" s="48">
        <f t="shared" si="10"/>
        <v>0</v>
      </c>
      <c r="M130" s="140" t="str">
        <f t="shared" si="11"/>
        <v>3000/190</v>
      </c>
      <c r="N130" s="70"/>
      <c r="P130" s="71"/>
      <c r="Q130" s="51"/>
      <c r="R130" s="31"/>
    </row>
    <row r="131" spans="1:18" x14ac:dyDescent="0.2">
      <c r="A131" s="238"/>
      <c r="B131" s="54" t="s">
        <v>281</v>
      </c>
      <c r="C131" s="277"/>
      <c r="D131" s="272"/>
      <c r="E131" s="281"/>
      <c r="F131" s="79"/>
      <c r="G131" s="47">
        <f>SUMIF(JournalsC!D$14:D$920,TrialBalanceC!M131,JournalsC!J$14:J$920)+SUMIF(JournalsC!E$14:E$920,TrialBalanceC!M131,JournalsC!J$14:J$920)</f>
        <v>0</v>
      </c>
      <c r="H131" s="288"/>
      <c r="I131" s="291">
        <f t="shared" si="18"/>
        <v>0</v>
      </c>
      <c r="J131" s="75"/>
      <c r="K131" s="48">
        <f t="shared" si="10"/>
        <v>0</v>
      </c>
      <c r="M131" s="140" t="str">
        <f t="shared" si="11"/>
        <v>3000/200</v>
      </c>
      <c r="N131" s="70"/>
      <c r="P131" s="71"/>
      <c r="Q131" s="51"/>
      <c r="R131" s="31"/>
    </row>
    <row r="132" spans="1:18" x14ac:dyDescent="0.2">
      <c r="A132" s="238"/>
      <c r="B132" s="54" t="s">
        <v>282</v>
      </c>
      <c r="C132" s="277"/>
      <c r="D132" s="272"/>
      <c r="E132" s="281"/>
      <c r="F132" s="79"/>
      <c r="G132" s="47">
        <f>SUMIF(JournalsC!D$14:D$920,TrialBalanceC!M132,JournalsC!J$14:J$920)+SUMIF(JournalsC!E$14:E$920,TrialBalanceC!M132,JournalsC!J$14:J$920)</f>
        <v>0</v>
      </c>
      <c r="H132" s="288"/>
      <c r="I132" s="291">
        <f t="shared" si="18"/>
        <v>0</v>
      </c>
      <c r="J132" s="75"/>
      <c r="K132" s="48">
        <f t="shared" si="10"/>
        <v>0</v>
      </c>
      <c r="M132" s="140" t="str">
        <f t="shared" si="11"/>
        <v>3000/210</v>
      </c>
      <c r="N132" s="70"/>
      <c r="P132" s="71"/>
      <c r="Q132" s="51"/>
      <c r="R132" s="31"/>
    </row>
    <row r="133" spans="1:18" x14ac:dyDescent="0.2">
      <c r="A133" s="238"/>
      <c r="B133" s="54" t="s">
        <v>283</v>
      </c>
      <c r="C133" s="277"/>
      <c r="D133" s="272"/>
      <c r="E133" s="281"/>
      <c r="F133" s="79"/>
      <c r="G133" s="47">
        <f>SUMIF(JournalsC!D$14:D$920,TrialBalanceC!M133,JournalsC!J$14:J$920)+SUMIF(JournalsC!E$14:E$920,TrialBalanceC!M133,JournalsC!J$14:J$920)</f>
        <v>0</v>
      </c>
      <c r="H133" s="288"/>
      <c r="I133" s="291">
        <f t="shared" si="18"/>
        <v>0</v>
      </c>
      <c r="J133" s="75"/>
      <c r="K133" s="48">
        <f t="shared" si="10"/>
        <v>0</v>
      </c>
      <c r="M133" s="140" t="str">
        <f t="shared" si="11"/>
        <v>3000/220</v>
      </c>
      <c r="N133" s="70"/>
      <c r="P133" s="71"/>
      <c r="Q133" s="51"/>
      <c r="R133" s="31"/>
    </row>
    <row r="134" spans="1:18" x14ac:dyDescent="0.2">
      <c r="A134" s="238"/>
      <c r="B134" s="90" t="s">
        <v>537</v>
      </c>
      <c r="C134" s="277"/>
      <c r="D134" s="272"/>
      <c r="E134" s="281"/>
      <c r="F134" s="79"/>
      <c r="G134" s="47">
        <f>SUMIF(JournalsC!D$14:D$920,TrialBalanceC!M134,JournalsC!J$14:J$920)+SUMIF(JournalsC!E$14:E$920,TrialBalanceC!M134,JournalsC!J$14:J$920)</f>
        <v>0</v>
      </c>
      <c r="H134" s="288"/>
      <c r="I134" s="291">
        <f t="shared" si="18"/>
        <v>0</v>
      </c>
      <c r="J134" s="75"/>
      <c r="K134" s="48">
        <f t="shared" si="10"/>
        <v>0</v>
      </c>
      <c r="M134" s="140" t="str">
        <f t="shared" si="11"/>
        <v>3000/230</v>
      </c>
      <c r="N134" s="70"/>
      <c r="P134" s="71"/>
      <c r="Q134" s="51"/>
      <c r="R134" s="31"/>
    </row>
    <row r="135" spans="1:18" x14ac:dyDescent="0.2">
      <c r="A135" s="238"/>
      <c r="B135" s="90" t="s">
        <v>538</v>
      </c>
      <c r="C135" s="277"/>
      <c r="D135" s="272"/>
      <c r="E135" s="281"/>
      <c r="F135" s="79"/>
      <c r="G135" s="47">
        <f>SUMIF(JournalsC!D$14:D$920,TrialBalanceC!M135,JournalsC!J$14:J$920)+SUMIF(JournalsC!E$14:E$920,TrialBalanceC!M135,JournalsC!J$14:J$920)</f>
        <v>0</v>
      </c>
      <c r="H135" s="288"/>
      <c r="I135" s="291">
        <f t="shared" si="18"/>
        <v>0</v>
      </c>
      <c r="J135" s="75"/>
      <c r="K135" s="48">
        <f t="shared" si="10"/>
        <v>0</v>
      </c>
      <c r="M135" s="140" t="str">
        <f t="shared" si="11"/>
        <v>3000/240</v>
      </c>
      <c r="N135" s="70"/>
      <c r="P135" s="71"/>
      <c r="Q135" s="51"/>
      <c r="R135" s="31"/>
    </row>
    <row r="136" spans="1:18" x14ac:dyDescent="0.2">
      <c r="A136" s="238"/>
      <c r="B136" s="90" t="s">
        <v>539</v>
      </c>
      <c r="C136" s="277"/>
      <c r="D136" s="272"/>
      <c r="E136" s="281"/>
      <c r="F136" s="79"/>
      <c r="G136" s="47">
        <f>SUMIF(JournalsC!D$14:D$920,TrialBalanceC!M136,JournalsC!J$14:J$920)+SUMIF(JournalsC!E$14:E$920,TrialBalanceC!M136,JournalsC!J$14:J$920)</f>
        <v>0</v>
      </c>
      <c r="H136" s="288"/>
      <c r="I136" s="291">
        <f t="shared" si="18"/>
        <v>0</v>
      </c>
      <c r="J136" s="75"/>
      <c r="K136" s="48">
        <f t="shared" si="10"/>
        <v>0</v>
      </c>
      <c r="M136" s="140" t="str">
        <f t="shared" si="11"/>
        <v>3000/250</v>
      </c>
      <c r="N136" s="70"/>
      <c r="P136" s="71"/>
      <c r="Q136" s="51"/>
      <c r="R136" s="31"/>
    </row>
    <row r="137" spans="1:18" x14ac:dyDescent="0.2">
      <c r="A137" s="238"/>
      <c r="B137" s="90" t="s">
        <v>540</v>
      </c>
      <c r="C137" s="277"/>
      <c r="D137" s="272"/>
      <c r="E137" s="281"/>
      <c r="F137" s="79"/>
      <c r="G137" s="47">
        <f>SUMIF(JournalsC!D$14:D$920,TrialBalanceC!M137,JournalsC!J$14:J$920)+SUMIF(JournalsC!E$14:E$920,TrialBalanceC!M137,JournalsC!J$14:J$920)</f>
        <v>0</v>
      </c>
      <c r="H137" s="288"/>
      <c r="I137" s="291">
        <f t="shared" si="18"/>
        <v>0</v>
      </c>
      <c r="J137" s="75"/>
      <c r="K137" s="48">
        <f t="shared" ref="K137:K206" si="22">ROUND(SUM(A137),0)</f>
        <v>0</v>
      </c>
      <c r="M137" s="140" t="str">
        <f t="shared" ref="M137:M206" si="23">CONCATENATE(B137,C137)</f>
        <v>3000/260</v>
      </c>
      <c r="N137" s="70"/>
      <c r="P137" s="71"/>
      <c r="Q137" s="51"/>
      <c r="R137" s="31"/>
    </row>
    <row r="138" spans="1:18" x14ac:dyDescent="0.2">
      <c r="A138" s="238"/>
      <c r="B138" s="90" t="s">
        <v>541</v>
      </c>
      <c r="C138" s="241" t="s">
        <v>1018</v>
      </c>
      <c r="D138" s="281"/>
      <c r="E138" s="281"/>
      <c r="F138" s="79"/>
      <c r="G138" s="47">
        <f>SUMIF(JournalsC!D$14:D$920,TrialBalanceC!M138,JournalsC!J$14:J$920)+SUMIF(JournalsC!E$14:E$920,TrialBalanceC!M138,JournalsC!J$14:J$920)</f>
        <v>0</v>
      </c>
      <c r="H138" s="288"/>
      <c r="I138" s="291">
        <f t="shared" si="18"/>
        <v>0</v>
      </c>
      <c r="J138" s="75"/>
      <c r="K138" s="48">
        <f t="shared" si="22"/>
        <v>0</v>
      </c>
      <c r="M138" s="140" t="str">
        <f t="shared" si="23"/>
        <v>3000/270Amortisation of prepaid lease agreement</v>
      </c>
      <c r="N138" s="70"/>
      <c r="P138" s="71"/>
      <c r="Q138" s="51"/>
      <c r="R138" s="31"/>
    </row>
    <row r="139" spans="1:18" x14ac:dyDescent="0.2">
      <c r="A139" s="238"/>
      <c r="B139" s="90" t="s">
        <v>1019</v>
      </c>
      <c r="C139" s="242" t="s">
        <v>1020</v>
      </c>
      <c r="D139" s="281"/>
      <c r="E139" s="281"/>
      <c r="F139" s="79"/>
      <c r="G139" s="47">
        <f>SUMIF(JournalsC!D$14:D$920,TrialBalanceC!M139,JournalsC!J$14:J$920)+SUMIF(JournalsC!E$14:E$920,TrialBalanceC!M139,JournalsC!J$14:J$920)</f>
        <v>0</v>
      </c>
      <c r="H139" s="288"/>
      <c r="I139" s="291">
        <f t="shared" ref="I139" si="24">ROUND(D139-E139+G139+F139,0)</f>
        <v>0</v>
      </c>
      <c r="J139" s="75"/>
      <c r="K139" s="48">
        <f t="shared" ref="K139" si="25">ROUND(SUM(A139),0)</f>
        <v>0</v>
      </c>
      <c r="M139" s="140" t="str">
        <f t="shared" ref="M139" si="26">CONCATENATE(B139,C139)</f>
        <v>3000/280Amortisation of goodwill</v>
      </c>
      <c r="N139" s="70"/>
      <c r="P139" s="71"/>
      <c r="Q139" s="51"/>
      <c r="R139" s="31"/>
    </row>
    <row r="140" spans="1:18" x14ac:dyDescent="0.2">
      <c r="A140" s="238"/>
      <c r="B140" s="54" t="s">
        <v>309</v>
      </c>
      <c r="C140" s="239" t="s">
        <v>115</v>
      </c>
      <c r="D140" s="283"/>
      <c r="E140" s="281"/>
      <c r="F140" s="79"/>
      <c r="G140" s="47">
        <f>SUMIF(JournalsC!D$14:D$920,TrialBalanceC!M140,JournalsC!J$14:J$920)+SUMIF(JournalsC!E$14:E$920,TrialBalanceC!M140,JournalsC!J$14:J$920)</f>
        <v>0</v>
      </c>
      <c r="H140" s="288"/>
      <c r="I140" s="291">
        <f t="shared" si="18"/>
        <v>0</v>
      </c>
      <c r="J140" s="75"/>
      <c r="K140" s="48">
        <f t="shared" si="22"/>
        <v>0</v>
      </c>
      <c r="M140" s="140" t="str">
        <f t="shared" si="23"/>
        <v>4700/000FINANCE COSTS</v>
      </c>
      <c r="N140" s="70"/>
      <c r="P140" s="71"/>
      <c r="Q140" s="51"/>
      <c r="R140" s="31"/>
    </row>
    <row r="141" spans="1:18" x14ac:dyDescent="0.2">
      <c r="A141" s="238"/>
      <c r="B141" s="54" t="s">
        <v>310</v>
      </c>
      <c r="C141" s="239" t="s">
        <v>311</v>
      </c>
      <c r="D141" s="283"/>
      <c r="E141" s="281"/>
      <c r="F141" s="79"/>
      <c r="G141" s="47">
        <f>SUMIF(JournalsC!D$14:D$920,TrialBalanceC!M141,JournalsC!J$14:J$920)+SUMIF(JournalsC!E$14:E$920,TrialBalanceC!M141,JournalsC!J$14:J$920)</f>
        <v>0</v>
      </c>
      <c r="H141" s="288"/>
      <c r="I141" s="291">
        <f t="shared" si="18"/>
        <v>0</v>
      </c>
      <c r="J141" s="75"/>
      <c r="K141" s="48">
        <f t="shared" si="22"/>
        <v>0</v>
      </c>
      <c r="M141" s="140" t="str">
        <f t="shared" si="23"/>
        <v>4700/010Interest paid---------------------------</v>
      </c>
      <c r="N141" s="70"/>
      <c r="P141" s="71"/>
      <c r="Q141" s="51"/>
      <c r="R141" s="31"/>
    </row>
    <row r="142" spans="1:18" x14ac:dyDescent="0.2">
      <c r="A142" s="238"/>
      <c r="B142" s="54" t="s">
        <v>312</v>
      </c>
      <c r="C142" s="276"/>
      <c r="D142" s="281"/>
      <c r="E142" s="281"/>
      <c r="F142" s="79"/>
      <c r="G142" s="47">
        <f>SUMIF(JournalsC!D$14:D$920,TrialBalanceC!M142,JournalsC!J$14:J$920)+SUMIF(JournalsC!E$14:E$920,TrialBalanceC!M142,JournalsC!J$14:J$920)</f>
        <v>0</v>
      </c>
      <c r="H142" s="288"/>
      <c r="I142" s="291">
        <f t="shared" si="18"/>
        <v>0</v>
      </c>
      <c r="J142" s="75"/>
      <c r="K142" s="48">
        <f t="shared" si="22"/>
        <v>0</v>
      </c>
      <c r="M142" s="140" t="str">
        <f t="shared" si="23"/>
        <v>4700/011</v>
      </c>
      <c r="N142" s="70"/>
      <c r="P142" s="71"/>
      <c r="Q142" s="51"/>
      <c r="R142" s="31"/>
    </row>
    <row r="143" spans="1:18" x14ac:dyDescent="0.2">
      <c r="A143" s="238"/>
      <c r="B143" s="54" t="s">
        <v>313</v>
      </c>
      <c r="C143" s="277"/>
      <c r="D143" s="272"/>
      <c r="E143" s="281"/>
      <c r="F143" s="79"/>
      <c r="G143" s="47">
        <f>SUMIF(JournalsC!D$14:D$920,TrialBalanceC!M143,JournalsC!J$14:J$920)+SUMIF(JournalsC!E$14:E$920,TrialBalanceC!M143,JournalsC!J$14:J$920)</f>
        <v>0</v>
      </c>
      <c r="H143" s="288"/>
      <c r="I143" s="291">
        <f t="shared" si="18"/>
        <v>0</v>
      </c>
      <c r="J143" s="75"/>
      <c r="K143" s="48">
        <f t="shared" si="22"/>
        <v>0</v>
      </c>
      <c r="M143" s="140" t="str">
        <f t="shared" si="23"/>
        <v>4700/012</v>
      </c>
      <c r="N143" s="70"/>
      <c r="P143" s="71"/>
      <c r="Q143" s="51"/>
      <c r="R143" s="31"/>
    </row>
    <row r="144" spans="1:18" x14ac:dyDescent="0.2">
      <c r="A144" s="238"/>
      <c r="B144" s="54" t="s">
        <v>314</v>
      </c>
      <c r="C144" s="277"/>
      <c r="D144" s="272"/>
      <c r="E144" s="281"/>
      <c r="F144" s="79"/>
      <c r="G144" s="47">
        <f>SUMIF(JournalsC!D$14:D$920,TrialBalanceC!M144,JournalsC!J$14:J$920)+SUMIF(JournalsC!E$14:E$920,TrialBalanceC!M144,JournalsC!J$14:J$920)</f>
        <v>0</v>
      </c>
      <c r="H144" s="288"/>
      <c r="I144" s="291">
        <f t="shared" si="18"/>
        <v>0</v>
      </c>
      <c r="J144" s="75"/>
      <c r="K144" s="48">
        <f t="shared" si="22"/>
        <v>0</v>
      </c>
      <c r="M144" s="140" t="str">
        <f t="shared" si="23"/>
        <v>4700/013</v>
      </c>
      <c r="N144" s="70"/>
      <c r="P144" s="71"/>
      <c r="Q144" s="51"/>
      <c r="R144" s="31"/>
    </row>
    <row r="145" spans="1:18" x14ac:dyDescent="0.2">
      <c r="A145" s="238"/>
      <c r="B145" s="54" t="s">
        <v>315</v>
      </c>
      <c r="C145" s="277"/>
      <c r="D145" s="272"/>
      <c r="E145" s="281"/>
      <c r="F145" s="79"/>
      <c r="G145" s="47">
        <f>SUMIF(JournalsC!D$14:D$920,TrialBalanceC!M145,JournalsC!J$14:J$920)+SUMIF(JournalsC!E$14:E$920,TrialBalanceC!M145,JournalsC!J$14:J$920)</f>
        <v>0</v>
      </c>
      <c r="H145" s="288"/>
      <c r="I145" s="291">
        <f t="shared" si="18"/>
        <v>0</v>
      </c>
      <c r="J145" s="75"/>
      <c r="K145" s="48">
        <f t="shared" si="22"/>
        <v>0</v>
      </c>
      <c r="M145" s="140" t="str">
        <f t="shared" si="23"/>
        <v>4700/014</v>
      </c>
      <c r="N145" s="70"/>
      <c r="P145" s="71"/>
      <c r="Q145" s="51"/>
      <c r="R145" s="31"/>
    </row>
    <row r="146" spans="1:18" x14ac:dyDescent="0.2">
      <c r="A146" s="238"/>
      <c r="B146" s="54" t="s">
        <v>514</v>
      </c>
      <c r="C146" s="277"/>
      <c r="D146" s="272"/>
      <c r="E146" s="281"/>
      <c r="F146" s="79"/>
      <c r="G146" s="47">
        <f>SUMIF(JournalsC!D$14:D$920,TrialBalanceC!M146,JournalsC!J$14:J$920)+SUMIF(JournalsC!E$14:E$920,TrialBalanceC!M146,JournalsC!J$14:J$920)</f>
        <v>0</v>
      </c>
      <c r="H146" s="288"/>
      <c r="I146" s="291">
        <f t="shared" si="18"/>
        <v>0</v>
      </c>
      <c r="J146" s="75"/>
      <c r="K146" s="48">
        <f t="shared" si="22"/>
        <v>0</v>
      </c>
      <c r="M146" s="140" t="str">
        <f t="shared" si="23"/>
        <v>4700/015</v>
      </c>
      <c r="N146" s="70"/>
      <c r="P146" s="71"/>
      <c r="Q146" s="51"/>
      <c r="R146" s="31"/>
    </row>
    <row r="147" spans="1:18" x14ac:dyDescent="0.2">
      <c r="A147" s="238"/>
      <c r="B147" s="54" t="s">
        <v>522</v>
      </c>
      <c r="C147" s="277"/>
      <c r="D147" s="272"/>
      <c r="E147" s="281"/>
      <c r="F147" s="79"/>
      <c r="G147" s="47">
        <f>SUMIF(JournalsC!D$14:D$920,TrialBalanceC!M147,JournalsC!J$14:J$920)+SUMIF(JournalsC!E$14:E$920,TrialBalanceC!M147,JournalsC!J$14:J$920)</f>
        <v>0</v>
      </c>
      <c r="H147" s="288"/>
      <c r="I147" s="291">
        <f t="shared" si="18"/>
        <v>0</v>
      </c>
      <c r="J147" s="75"/>
      <c r="K147" s="48">
        <f t="shared" si="22"/>
        <v>0</v>
      </c>
      <c r="M147" s="140" t="str">
        <f t="shared" si="23"/>
        <v>4700/016</v>
      </c>
      <c r="N147" s="70"/>
      <c r="P147" s="71"/>
      <c r="Q147" s="51"/>
      <c r="R147" s="31"/>
    </row>
    <row r="148" spans="1:18" x14ac:dyDescent="0.2">
      <c r="A148" s="238"/>
      <c r="B148" s="90" t="s">
        <v>578</v>
      </c>
      <c r="C148" s="277"/>
      <c r="D148" s="272"/>
      <c r="E148" s="281"/>
      <c r="F148" s="79"/>
      <c r="G148" s="47">
        <f>SUMIF(JournalsC!D$14:D$920,TrialBalanceC!M148,JournalsC!J$14:J$920)+SUMIF(JournalsC!E$14:E$920,TrialBalanceC!M148,JournalsC!J$14:J$920)</f>
        <v>0</v>
      </c>
      <c r="H148" s="288"/>
      <c r="I148" s="291">
        <f t="shared" ref="I148:I150" si="27">ROUND(D148-E148+G148+F148,0)</f>
        <v>0</v>
      </c>
      <c r="J148" s="75"/>
      <c r="K148" s="48">
        <f t="shared" ref="K148:K150" si="28">ROUND(SUM(A148),0)</f>
        <v>0</v>
      </c>
      <c r="M148" s="140" t="str">
        <f t="shared" ref="M148:M150" si="29">CONCATENATE(B148,C148)</f>
        <v>4700/017</v>
      </c>
      <c r="N148" s="70"/>
      <c r="P148" s="71"/>
      <c r="Q148" s="51"/>
      <c r="R148" s="31"/>
    </row>
    <row r="149" spans="1:18" x14ac:dyDescent="0.2">
      <c r="A149" s="238"/>
      <c r="B149" s="90" t="s">
        <v>658</v>
      </c>
      <c r="C149" s="277"/>
      <c r="D149" s="272"/>
      <c r="E149" s="281"/>
      <c r="F149" s="79"/>
      <c r="G149" s="47">
        <f>SUMIF(JournalsC!D$14:D$920,TrialBalanceC!M149,JournalsC!J$14:J$920)+SUMIF(JournalsC!E$14:E$920,TrialBalanceC!M149,JournalsC!J$14:J$920)</f>
        <v>0</v>
      </c>
      <c r="H149" s="288"/>
      <c r="I149" s="291">
        <f t="shared" si="27"/>
        <v>0</v>
      </c>
      <c r="J149" s="75"/>
      <c r="K149" s="48">
        <f t="shared" si="28"/>
        <v>0</v>
      </c>
      <c r="M149" s="140" t="str">
        <f t="shared" si="29"/>
        <v>4700/018</v>
      </c>
      <c r="N149" s="70"/>
      <c r="P149" s="71"/>
      <c r="Q149" s="51"/>
      <c r="R149" s="31"/>
    </row>
    <row r="150" spans="1:18" x14ac:dyDescent="0.2">
      <c r="A150" s="238"/>
      <c r="B150" s="90" t="s">
        <v>659</v>
      </c>
      <c r="C150" s="277"/>
      <c r="D150" s="272"/>
      <c r="E150" s="281"/>
      <c r="F150" s="79"/>
      <c r="G150" s="47">
        <f>SUMIF(JournalsC!D$14:D$920,TrialBalanceC!M150,JournalsC!J$14:J$920)+SUMIF(JournalsC!E$14:E$920,TrialBalanceC!M150,JournalsC!J$14:J$920)</f>
        <v>0</v>
      </c>
      <c r="H150" s="288"/>
      <c r="I150" s="291">
        <f t="shared" si="27"/>
        <v>0</v>
      </c>
      <c r="J150" s="75"/>
      <c r="K150" s="48">
        <f t="shared" si="28"/>
        <v>0</v>
      </c>
      <c r="M150" s="140" t="str">
        <f t="shared" si="29"/>
        <v>4700/019</v>
      </c>
      <c r="N150" s="70"/>
      <c r="P150" s="71"/>
      <c r="Q150" s="51"/>
      <c r="R150" s="31"/>
    </row>
    <row r="151" spans="1:18" x14ac:dyDescent="0.2">
      <c r="A151" s="238"/>
      <c r="B151" s="90" t="s">
        <v>316</v>
      </c>
      <c r="C151" s="277"/>
      <c r="D151" s="272"/>
      <c r="E151" s="281"/>
      <c r="F151" s="79"/>
      <c r="G151" s="47">
        <f>SUMIF(JournalsC!D$14:D$920,TrialBalanceC!M151,JournalsC!J$14:J$920)+SUMIF(JournalsC!E$14:E$920,TrialBalanceC!M151,JournalsC!J$14:J$920)</f>
        <v>0</v>
      </c>
      <c r="H151" s="288"/>
      <c r="I151" s="291">
        <f t="shared" si="18"/>
        <v>0</v>
      </c>
      <c r="J151" s="75"/>
      <c r="K151" s="48">
        <f t="shared" si="22"/>
        <v>0</v>
      </c>
      <c r="M151" s="140" t="str">
        <f t="shared" si="23"/>
        <v>4700/020</v>
      </c>
      <c r="N151" s="70"/>
      <c r="P151" s="71"/>
      <c r="Q151" s="51"/>
      <c r="R151" s="31"/>
    </row>
    <row r="152" spans="1:18" x14ac:dyDescent="0.2">
      <c r="A152" s="238"/>
      <c r="B152" s="90" t="s">
        <v>660</v>
      </c>
      <c r="C152" s="240" t="str">
        <f>CONCATENATE("Interest on finance leases - ",Criteria!H16)</f>
        <v xml:space="preserve">Interest on finance leases - </v>
      </c>
      <c r="D152" s="282"/>
      <c r="E152" s="281"/>
      <c r="F152" s="79"/>
      <c r="G152" s="47">
        <f>SUMIF(JournalsC!D$14:D$920,TrialBalanceC!M152,JournalsC!J$14:J$920)+SUMIF(JournalsC!E$14:E$920,TrialBalanceC!M152,JournalsC!J$14:J$920)</f>
        <v>0</v>
      </c>
      <c r="H152" s="288"/>
      <c r="I152" s="291">
        <f t="shared" si="18"/>
        <v>0</v>
      </c>
      <c r="J152" s="75"/>
      <c r="K152" s="48">
        <f t="shared" si="22"/>
        <v>0</v>
      </c>
      <c r="M152" s="140" t="str">
        <f t="shared" si="23"/>
        <v xml:space="preserve">4700/021Interest on finance leases - </v>
      </c>
      <c r="N152" s="70"/>
      <c r="P152" s="71"/>
      <c r="Q152" s="51"/>
      <c r="R152" s="31"/>
    </row>
    <row r="153" spans="1:18" x14ac:dyDescent="0.2">
      <c r="A153" s="238"/>
      <c r="B153" s="54" t="s">
        <v>449</v>
      </c>
      <c r="C153" s="239" t="s">
        <v>351</v>
      </c>
      <c r="D153" s="283"/>
      <c r="E153" s="281"/>
      <c r="F153" s="79"/>
      <c r="G153" s="47">
        <f>SUMIF(JournalsC!D$14:D$920,TrialBalanceC!M153,JournalsC!J$14:J$920)+SUMIF(JournalsC!E$14:E$920,TrialBalanceC!M153,JournalsC!J$14:J$920)</f>
        <v>0</v>
      </c>
      <c r="H153" s="288"/>
      <c r="I153" s="291">
        <f t="shared" si="18"/>
        <v>0</v>
      </c>
      <c r="J153" s="75"/>
      <c r="K153" s="48">
        <f t="shared" si="22"/>
        <v>0</v>
      </c>
      <c r="M153" s="140" t="str">
        <f t="shared" si="23"/>
        <v>4750/000OTHER</v>
      </c>
      <c r="N153" s="70"/>
      <c r="P153" s="71"/>
      <c r="Q153" s="51"/>
      <c r="R153" s="31"/>
    </row>
    <row r="154" spans="1:18" x14ac:dyDescent="0.2">
      <c r="A154" s="238"/>
      <c r="B154" s="54" t="s">
        <v>450</v>
      </c>
      <c r="C154" s="241" t="s">
        <v>1062</v>
      </c>
      <c r="D154" s="272"/>
      <c r="E154" s="281"/>
      <c r="F154" s="79"/>
      <c r="G154" s="47">
        <f>SUMIF(JournalsC!D$14:D$920,TrialBalanceC!M154,JournalsC!J$14:J$920)+SUMIF(JournalsC!E$14:E$920,TrialBalanceC!M154,JournalsC!J$14:J$920)</f>
        <v>0</v>
      </c>
      <c r="H154" s="288"/>
      <c r="I154" s="291">
        <f t="shared" si="18"/>
        <v>0</v>
      </c>
      <c r="J154" s="75"/>
      <c r="K154" s="48">
        <f t="shared" si="22"/>
        <v>0</v>
      </c>
      <c r="M154" s="140" t="str">
        <f t="shared" si="23"/>
        <v>4750/010Impairment losses</v>
      </c>
      <c r="N154" s="70"/>
      <c r="P154" s="71"/>
      <c r="Q154" s="51"/>
      <c r="R154" s="31"/>
    </row>
    <row r="155" spans="1:18" x14ac:dyDescent="0.2">
      <c r="A155" s="238"/>
      <c r="B155" s="90" t="s">
        <v>1080</v>
      </c>
      <c r="C155" s="241" t="s">
        <v>1081</v>
      </c>
      <c r="D155" s="272"/>
      <c r="E155" s="281"/>
      <c r="F155" s="79"/>
      <c r="G155" s="47">
        <f>SUMIF(JournalsC!D$14:D$920,TrialBalanceC!M155,JournalsC!J$14:J$920)+SUMIF(JournalsC!E$14:E$920,TrialBalanceC!M155,JournalsC!J$14:J$920)</f>
        <v>0</v>
      </c>
      <c r="H155" s="288"/>
      <c r="I155" s="291">
        <f t="shared" ref="I155" si="30">ROUND(D155-E155+G155+F155,0)</f>
        <v>0</v>
      </c>
      <c r="J155" s="75"/>
      <c r="K155" s="48">
        <f t="shared" ref="K155" si="31">ROUND(SUM(A155),0)</f>
        <v>0</v>
      </c>
      <c r="M155" s="140" t="str">
        <f t="shared" ref="M155" si="32">CONCATENATE(B155,C155)</f>
        <v>4750/020Reversal - revaluation of investment property</v>
      </c>
      <c r="N155" s="70"/>
      <c r="P155" s="71"/>
      <c r="Q155" s="51"/>
      <c r="R155" s="31"/>
    </row>
    <row r="156" spans="1:18" x14ac:dyDescent="0.2">
      <c r="A156" s="238"/>
      <c r="B156" s="54" t="s">
        <v>317</v>
      </c>
      <c r="C156" s="239" t="s">
        <v>318</v>
      </c>
      <c r="D156" s="283"/>
      <c r="E156" s="281"/>
      <c r="F156" s="79"/>
      <c r="G156" s="47">
        <f>SUMIF(JournalsC!D$14:D$920,TrialBalanceC!M156,JournalsC!J$14:J$920)+SUMIF(JournalsC!E$14:E$920,TrialBalanceC!M156,JournalsC!J$14:J$920)</f>
        <v>0</v>
      </c>
      <c r="H156" s="288"/>
      <c r="I156" s="291">
        <f t="shared" si="18"/>
        <v>0</v>
      </c>
      <c r="J156" s="75"/>
      <c r="K156" s="48">
        <f t="shared" si="22"/>
        <v>0</v>
      </c>
      <c r="M156" s="140" t="str">
        <f t="shared" si="23"/>
        <v>4800/000NORMAL TAXATION</v>
      </c>
      <c r="N156" s="70"/>
      <c r="P156" s="71"/>
      <c r="Q156" s="51"/>
      <c r="R156" s="31"/>
    </row>
    <row r="157" spans="1:18" x14ac:dyDescent="0.2">
      <c r="A157" s="238"/>
      <c r="B157" s="54" t="s">
        <v>319</v>
      </c>
      <c r="C157" s="240" t="s">
        <v>320</v>
      </c>
      <c r="D157" s="282"/>
      <c r="E157" s="281"/>
      <c r="F157" s="79"/>
      <c r="G157" s="47">
        <f>SUMIF(JournalsC!D$14:D$920,TrialBalanceC!M157,JournalsC!J$14:J$920)+SUMIF(JournalsC!E$14:E$920,TrialBalanceC!M157,JournalsC!J$14:J$920)</f>
        <v>0</v>
      </c>
      <c r="H157" s="288"/>
      <c r="I157" s="291">
        <f t="shared" si="18"/>
        <v>0</v>
      </c>
      <c r="J157" s="75"/>
      <c r="K157" s="48">
        <f t="shared" si="22"/>
        <v>0</v>
      </c>
      <c r="M157" s="140" t="str">
        <f t="shared" si="23"/>
        <v>4800/001Tax provided this year</v>
      </c>
      <c r="N157" s="70"/>
      <c r="P157" s="71"/>
      <c r="Q157" s="51"/>
      <c r="R157" s="31"/>
    </row>
    <row r="158" spans="1:18" x14ac:dyDescent="0.2">
      <c r="A158" s="238"/>
      <c r="B158" s="54" t="s">
        <v>321</v>
      </c>
      <c r="C158" s="240" t="s">
        <v>322</v>
      </c>
      <c r="D158" s="282"/>
      <c r="E158" s="281"/>
      <c r="F158" s="79"/>
      <c r="G158" s="47">
        <f>SUMIF(JournalsC!D$14:D$920,TrialBalanceC!M158,JournalsC!J$14:J$920)+SUMIF(JournalsC!E$14:E$920,TrialBalanceC!M158,JournalsC!J$14:J$920)</f>
        <v>0</v>
      </c>
      <c r="H158" s="288"/>
      <c r="I158" s="291">
        <f t="shared" si="18"/>
        <v>0</v>
      </c>
      <c r="J158" s="75"/>
      <c r="K158" s="48">
        <f t="shared" si="22"/>
        <v>0</v>
      </c>
      <c r="M158" s="140" t="str">
        <f t="shared" si="23"/>
        <v>4800/002Tax adjustment previous year</v>
      </c>
      <c r="N158" s="70"/>
      <c r="P158" s="71"/>
      <c r="Q158" s="51"/>
      <c r="R158" s="31"/>
    </row>
    <row r="159" spans="1:18" x14ac:dyDescent="0.2">
      <c r="A159" s="238"/>
      <c r="B159" s="54" t="s">
        <v>193</v>
      </c>
      <c r="C159" s="239" t="s">
        <v>194</v>
      </c>
      <c r="D159" s="283"/>
      <c r="E159" s="281"/>
      <c r="F159" s="79"/>
      <c r="G159" s="47">
        <f>SUMIF(JournalsC!D$14:D$920,TrialBalanceC!M159,JournalsC!J$14:J$920)+SUMIF(JournalsC!E$14:E$920,TrialBalanceC!M159,JournalsC!J$14:J$920)</f>
        <v>0</v>
      </c>
      <c r="H159" s="288"/>
      <c r="I159" s="291">
        <f t="shared" si="18"/>
        <v>0</v>
      </c>
      <c r="J159" s="75"/>
      <c r="K159" s="48">
        <f t="shared" si="22"/>
        <v>0</v>
      </c>
      <c r="M159" s="140" t="str">
        <f t="shared" si="23"/>
        <v>4820/000DEFERRED TAX</v>
      </c>
      <c r="N159" s="70"/>
      <c r="P159" s="71"/>
      <c r="Q159" s="51"/>
      <c r="R159" s="31"/>
    </row>
    <row r="160" spans="1:18" x14ac:dyDescent="0.2">
      <c r="A160" s="238"/>
      <c r="B160" s="54" t="s">
        <v>195</v>
      </c>
      <c r="C160" s="240" t="s">
        <v>196</v>
      </c>
      <c r="D160" s="282"/>
      <c r="E160" s="281"/>
      <c r="F160" s="79"/>
      <c r="G160" s="47">
        <f>SUMIF(JournalsC!D$14:D$920,TrialBalanceC!M160,JournalsC!J$14:J$920)+SUMIF(JournalsC!E$14:E$920,TrialBalanceC!M160,JournalsC!J$14:J$920)</f>
        <v>0</v>
      </c>
      <c r="H160" s="288"/>
      <c r="I160" s="291">
        <f t="shared" si="18"/>
        <v>0</v>
      </c>
      <c r="J160" s="75"/>
      <c r="K160" s="48">
        <f t="shared" si="22"/>
        <v>0</v>
      </c>
      <c r="M160" s="140" t="str">
        <f t="shared" si="23"/>
        <v>4820/001Deferred tax this year</v>
      </c>
      <c r="N160" s="70"/>
      <c r="P160" s="71"/>
      <c r="Q160" s="51"/>
      <c r="R160" s="31"/>
    </row>
    <row r="161" spans="1:18" x14ac:dyDescent="0.2">
      <c r="A161" s="238"/>
      <c r="B161" s="90" t="s">
        <v>197</v>
      </c>
      <c r="C161" s="242" t="s">
        <v>1100</v>
      </c>
      <c r="D161" s="282"/>
      <c r="E161" s="281"/>
      <c r="F161" s="79"/>
      <c r="G161" s="47">
        <f>SUMIF(JournalsC!D$14:D$920,TrialBalanceC!M161,JournalsC!J$14:J$920)+SUMIF(JournalsC!E$14:E$920,TrialBalanceC!M161,JournalsC!J$14:J$920)</f>
        <v>0</v>
      </c>
      <c r="H161" s="288"/>
      <c r="I161" s="291">
        <f t="shared" ref="I161" si="33">ROUND(D161-E161+G161+F161,0)</f>
        <v>0</v>
      </c>
      <c r="J161" s="75"/>
      <c r="K161" s="48">
        <f t="shared" ref="K161" si="34">ROUND(SUM(A161),0)</f>
        <v>0</v>
      </c>
      <c r="M161" s="140" t="str">
        <f t="shared" ref="M161" si="35">CONCATENATE(B161,C161)</f>
        <v>4820/002Deferred tax adjustment on income tax rate change</v>
      </c>
      <c r="N161" s="70"/>
      <c r="P161" s="71"/>
      <c r="Q161" s="51"/>
      <c r="R161" s="31"/>
    </row>
    <row r="162" spans="1:18" x14ac:dyDescent="0.2">
      <c r="A162" s="238"/>
      <c r="B162" s="90" t="s">
        <v>1101</v>
      </c>
      <c r="C162" s="240" t="s">
        <v>198</v>
      </c>
      <c r="D162" s="282"/>
      <c r="E162" s="281"/>
      <c r="F162" s="79"/>
      <c r="G162" s="47">
        <f>SUMIF(JournalsC!D$14:D$920,TrialBalanceC!M162,JournalsC!J$14:J$920)+SUMIF(JournalsC!E$14:E$920,TrialBalanceC!M162,JournalsC!J$14:J$920)</f>
        <v>0</v>
      </c>
      <c r="H162" s="288"/>
      <c r="I162" s="291">
        <f t="shared" si="18"/>
        <v>0</v>
      </c>
      <c r="J162" s="75"/>
      <c r="K162" s="48">
        <f t="shared" si="22"/>
        <v>0</v>
      </c>
      <c r="M162" s="140" t="str">
        <f t="shared" si="23"/>
        <v>4820/003Deferred tax adjustment previous year</v>
      </c>
      <c r="N162" s="70"/>
      <c r="P162" s="71"/>
      <c r="Q162" s="51"/>
      <c r="R162" s="31"/>
    </row>
    <row r="163" spans="1:18" x14ac:dyDescent="0.2">
      <c r="A163" s="238"/>
      <c r="B163" s="54" t="s">
        <v>199</v>
      </c>
      <c r="C163" s="242" t="s">
        <v>487</v>
      </c>
      <c r="D163" s="282"/>
      <c r="E163" s="281"/>
      <c r="F163" s="79"/>
      <c r="G163" s="47">
        <f>SUMIF(JournalsC!D$14:D$920,TrialBalanceC!M163,JournalsC!J$14:J$920)+SUMIF(JournalsC!E$14:E$920,TrialBalanceC!M163,JournalsC!J$14:J$920)</f>
        <v>0</v>
      </c>
      <c r="H163" s="288"/>
      <c r="I163" s="291">
        <f t="shared" si="18"/>
        <v>0</v>
      </c>
      <c r="J163" s="75"/>
      <c r="K163" s="48">
        <f t="shared" si="22"/>
        <v>0</v>
      </c>
      <c r="M163" s="140" t="str">
        <f t="shared" si="23"/>
        <v>4850/000Dividends declared</v>
      </c>
      <c r="N163" s="70"/>
      <c r="P163" s="71"/>
      <c r="Q163" s="51"/>
      <c r="R163" s="31"/>
    </row>
    <row r="164" spans="1:18" x14ac:dyDescent="0.2">
      <c r="A164" s="238"/>
      <c r="B164" s="54" t="s">
        <v>200</v>
      </c>
      <c r="C164" s="240" t="s">
        <v>225</v>
      </c>
      <c r="D164" s="282"/>
      <c r="E164" s="281"/>
      <c r="F164" s="79"/>
      <c r="G164" s="47">
        <f>SUMIF(JournalsC!D$14:D$920,TrialBalanceC!M164,JournalsC!J$14:J$920)+SUMIF(JournalsC!E$14:E$920,TrialBalanceC!M164,JournalsC!J$14:J$920)</f>
        <v>0</v>
      </c>
      <c r="H164" s="288"/>
      <c r="I164" s="291">
        <f t="shared" si="18"/>
        <v>0</v>
      </c>
      <c r="J164" s="75"/>
      <c r="K164" s="48">
        <f t="shared" si="22"/>
        <v>0</v>
      </c>
      <c r="M164" s="140" t="str">
        <f t="shared" si="23"/>
        <v>4860/000Dividends paid</v>
      </c>
      <c r="N164" s="70"/>
      <c r="P164" s="71"/>
      <c r="Q164" s="51"/>
      <c r="R164" s="31"/>
    </row>
    <row r="165" spans="1:18" x14ac:dyDescent="0.2">
      <c r="A165" s="238"/>
      <c r="B165" s="54" t="s">
        <v>228</v>
      </c>
      <c r="C165" s="240"/>
      <c r="D165" s="282"/>
      <c r="E165" s="281"/>
      <c r="F165" s="79"/>
      <c r="G165" s="47"/>
      <c r="H165" s="288"/>
      <c r="I165" s="291">
        <f t="shared" si="18"/>
        <v>0</v>
      </c>
      <c r="J165" s="75"/>
      <c r="K165" s="48">
        <f t="shared" si="22"/>
        <v>0</v>
      </c>
      <c r="M165" s="140" t="str">
        <f t="shared" si="23"/>
        <v/>
      </c>
      <c r="N165" s="70"/>
      <c r="P165" s="71"/>
      <c r="Q165" s="51"/>
      <c r="R165" s="31"/>
    </row>
    <row r="166" spans="1:18" x14ac:dyDescent="0.2">
      <c r="A166" s="238"/>
      <c r="B166" s="54" t="s">
        <v>228</v>
      </c>
      <c r="C166" s="240" t="s">
        <v>228</v>
      </c>
      <c r="D166" s="282"/>
      <c r="E166" s="281"/>
      <c r="F166" s="79"/>
      <c r="G166" s="47"/>
      <c r="H166" s="288"/>
      <c r="I166" s="291">
        <f t="shared" si="18"/>
        <v>0</v>
      </c>
      <c r="J166" s="75"/>
      <c r="K166" s="48">
        <f t="shared" si="22"/>
        <v>0</v>
      </c>
      <c r="M166" s="140" t="str">
        <f t="shared" si="23"/>
        <v/>
      </c>
      <c r="N166" s="70"/>
      <c r="P166" s="71"/>
      <c r="Q166" s="51"/>
      <c r="R166" s="31"/>
    </row>
    <row r="167" spans="1:18" x14ac:dyDescent="0.2">
      <c r="A167" s="238"/>
      <c r="B167" s="54" t="s">
        <v>228</v>
      </c>
      <c r="C167" s="240"/>
      <c r="D167" s="282"/>
      <c r="E167" s="281"/>
      <c r="F167" s="79"/>
      <c r="G167" s="47"/>
      <c r="H167" s="288"/>
      <c r="I167" s="291">
        <f t="shared" si="18"/>
        <v>0</v>
      </c>
      <c r="J167" s="75"/>
      <c r="K167" s="48">
        <f t="shared" si="22"/>
        <v>0</v>
      </c>
      <c r="M167" s="140" t="str">
        <f t="shared" si="23"/>
        <v/>
      </c>
      <c r="N167" s="70"/>
      <c r="P167" s="71"/>
      <c r="Q167" s="51"/>
      <c r="R167" s="31"/>
    </row>
    <row r="168" spans="1:18" x14ac:dyDescent="0.2">
      <c r="A168" s="238"/>
      <c r="B168" s="54" t="s">
        <v>504</v>
      </c>
      <c r="C168" s="239" t="s">
        <v>493</v>
      </c>
      <c r="D168" s="283"/>
      <c r="E168" s="281"/>
      <c r="F168" s="79"/>
      <c r="G168" s="47">
        <f>SUMIF(JournalsC!D$14:D$920,TrialBalanceC!M168,JournalsC!J$14:J$920)+SUMIF(JournalsC!E$14:E$920,TrialBalanceC!M168,JournalsC!J$14:J$920)</f>
        <v>0</v>
      </c>
      <c r="H168" s="288"/>
      <c r="I168" s="291">
        <f t="shared" si="18"/>
        <v>0</v>
      </c>
      <c r="J168" s="75"/>
      <c r="K168" s="48">
        <f t="shared" si="22"/>
        <v>0</v>
      </c>
      <c r="M168" s="140" t="str">
        <f t="shared" si="23"/>
        <v>5100/000SHARE CAPITAL</v>
      </c>
      <c r="N168" s="70"/>
      <c r="P168" s="71"/>
      <c r="Q168" s="51"/>
      <c r="R168" s="31"/>
    </row>
    <row r="169" spans="1:18" x14ac:dyDescent="0.2">
      <c r="A169" s="238"/>
      <c r="B169" s="54" t="s">
        <v>505</v>
      </c>
      <c r="C169" s="242" t="s">
        <v>768</v>
      </c>
      <c r="D169" s="282"/>
      <c r="E169" s="281"/>
      <c r="F169" s="79">
        <f>SUM(K169:K170)</f>
        <v>0</v>
      </c>
      <c r="G169" s="47">
        <f>SUMIF(JournalsC!D$14:D$920,TrialBalanceC!M169,JournalsC!J$14:J$920)+SUMIF(JournalsC!E$14:E$920,TrialBalanceC!M169,JournalsC!J$14:J$920)</f>
        <v>0</v>
      </c>
      <c r="H169" s="288"/>
      <c r="I169" s="291">
        <f t="shared" si="18"/>
        <v>0</v>
      </c>
      <c r="J169" s="75"/>
      <c r="K169" s="48">
        <f t="shared" si="22"/>
        <v>0</v>
      </c>
      <c r="M169" s="140" t="str">
        <f t="shared" si="23"/>
        <v>5100/001Share capital - balance b/fwd</v>
      </c>
      <c r="N169" s="70"/>
      <c r="P169" s="71"/>
      <c r="Q169" s="51"/>
      <c r="R169" s="31"/>
    </row>
    <row r="170" spans="1:18" x14ac:dyDescent="0.2">
      <c r="A170" s="238"/>
      <c r="B170" s="54" t="s">
        <v>506</v>
      </c>
      <c r="C170" s="242" t="s">
        <v>769</v>
      </c>
      <c r="D170" s="282"/>
      <c r="E170" s="281"/>
      <c r="F170" s="79"/>
      <c r="G170" s="47">
        <f>SUMIF(JournalsC!D$14:D$920,TrialBalanceC!M170,JournalsC!J$14:J$920)+SUMIF(JournalsC!E$14:E$920,TrialBalanceC!M170,JournalsC!J$14:J$920)</f>
        <v>0</v>
      </c>
      <c r="H170" s="288"/>
      <c r="I170" s="291">
        <f t="shared" si="18"/>
        <v>0</v>
      </c>
      <c r="J170" s="75"/>
      <c r="K170" s="48">
        <f t="shared" si="22"/>
        <v>0</v>
      </c>
      <c r="M170" s="140" t="str">
        <f t="shared" si="23"/>
        <v>5100/002Share capital - additions</v>
      </c>
      <c r="N170" s="70"/>
      <c r="P170" s="71"/>
      <c r="Q170" s="51"/>
      <c r="R170" s="31"/>
    </row>
    <row r="171" spans="1:18" x14ac:dyDescent="0.2">
      <c r="A171" s="238"/>
      <c r="B171" s="86" t="s">
        <v>507</v>
      </c>
      <c r="C171" s="280" t="s">
        <v>498</v>
      </c>
      <c r="D171" s="289"/>
      <c r="E171" s="281"/>
      <c r="F171" s="79"/>
      <c r="G171" s="47">
        <f>SUMIF(JournalsC!D$14:D$920,TrialBalanceC!M171,JournalsC!J$14:J$920)+SUMIF(JournalsC!E$14:E$920,TrialBalanceC!M171,JournalsC!J$14:J$920)</f>
        <v>0</v>
      </c>
      <c r="H171" s="288"/>
      <c r="I171" s="291">
        <f t="shared" ref="I171:I252" si="36">ROUND(D171-E171+G171+F171,0)</f>
        <v>0</v>
      </c>
      <c r="J171" s="75"/>
      <c r="K171" s="48">
        <f t="shared" si="22"/>
        <v>0</v>
      </c>
      <c r="M171" s="140" t="str">
        <f t="shared" si="23"/>
        <v>5110/000SHARE PREMIUM</v>
      </c>
      <c r="N171" s="70"/>
      <c r="P171" s="71"/>
      <c r="Q171" s="51"/>
      <c r="R171" s="31"/>
    </row>
    <row r="172" spans="1:18" x14ac:dyDescent="0.2">
      <c r="A172" s="238"/>
      <c r="B172" s="86" t="s">
        <v>508</v>
      </c>
      <c r="C172" s="242" t="s">
        <v>770</v>
      </c>
      <c r="D172" s="286"/>
      <c r="E172" s="281"/>
      <c r="F172" s="79">
        <f>SUM(K172:K174)</f>
        <v>0</v>
      </c>
      <c r="G172" s="47">
        <f>SUMIF(JournalsC!D$14:D$920,TrialBalanceC!M172,JournalsC!J$14:J$920)+SUMIF(JournalsC!E$14:E$920,TrialBalanceC!M172,JournalsC!J$14:J$920)</f>
        <v>0</v>
      </c>
      <c r="H172" s="288"/>
      <c r="I172" s="291">
        <f t="shared" si="36"/>
        <v>0</v>
      </c>
      <c r="J172" s="75"/>
      <c r="K172" s="48">
        <f t="shared" si="22"/>
        <v>0</v>
      </c>
      <c r="M172" s="140" t="str">
        <f t="shared" si="23"/>
        <v>5110/001Share premium - balance b/fwd</v>
      </c>
      <c r="N172" s="70"/>
      <c r="P172" s="71"/>
      <c r="Q172" s="51"/>
      <c r="R172" s="31"/>
    </row>
    <row r="173" spans="1:18" x14ac:dyDescent="0.2">
      <c r="A173" s="238"/>
      <c r="B173" s="86" t="s">
        <v>509</v>
      </c>
      <c r="C173" s="242" t="s">
        <v>771</v>
      </c>
      <c r="D173" s="286"/>
      <c r="E173" s="281"/>
      <c r="F173" s="79"/>
      <c r="G173" s="47">
        <f>SUMIF(JournalsC!D$14:D$920,TrialBalanceC!M173,JournalsC!J$14:J$920)+SUMIF(JournalsC!E$14:E$920,TrialBalanceC!M173,JournalsC!J$14:J$920)</f>
        <v>0</v>
      </c>
      <c r="H173" s="288"/>
      <c r="I173" s="291">
        <f t="shared" si="36"/>
        <v>0</v>
      </c>
      <c r="J173" s="75"/>
      <c r="K173" s="48">
        <f t="shared" si="22"/>
        <v>0</v>
      </c>
      <c r="M173" s="140" t="str">
        <f t="shared" si="23"/>
        <v>5110/002Share premium - additions</v>
      </c>
      <c r="N173" s="70"/>
      <c r="P173" s="71"/>
      <c r="Q173" s="51"/>
      <c r="R173" s="31"/>
    </row>
    <row r="174" spans="1:18" x14ac:dyDescent="0.2">
      <c r="A174" s="238"/>
      <c r="B174" s="86" t="s">
        <v>510</v>
      </c>
      <c r="C174" s="248" t="s">
        <v>511</v>
      </c>
      <c r="D174" s="286"/>
      <c r="E174" s="281"/>
      <c r="F174" s="79"/>
      <c r="G174" s="47">
        <f>SUMIF(JournalsC!D$14:D$920,TrialBalanceC!M174,JournalsC!J$14:J$920)+SUMIF(JournalsC!E$14:E$920,TrialBalanceC!M174,JournalsC!J$14:J$920)</f>
        <v>0</v>
      </c>
      <c r="H174" s="288"/>
      <c r="I174" s="291">
        <f t="shared" si="36"/>
        <v>0</v>
      </c>
      <c r="J174" s="75"/>
      <c r="K174" s="48">
        <f t="shared" si="22"/>
        <v>0</v>
      </c>
      <c r="M174" s="140" t="str">
        <f t="shared" si="23"/>
        <v>5110/003Share premium - transfer</v>
      </c>
      <c r="N174" s="70"/>
      <c r="P174" s="71"/>
      <c r="Q174" s="51"/>
      <c r="R174" s="31"/>
    </row>
    <row r="175" spans="1:18" x14ac:dyDescent="0.2">
      <c r="A175" s="238"/>
      <c r="B175" s="54" t="s">
        <v>459</v>
      </c>
      <c r="C175" s="239" t="s">
        <v>923</v>
      </c>
      <c r="D175" s="283"/>
      <c r="E175" s="281"/>
      <c r="F175" s="79"/>
      <c r="G175" s="47">
        <f>SUMIF(JournalsC!D$14:D$920,TrialBalanceC!M175,JournalsC!J$14:J$920)+SUMIF(JournalsC!E$14:E$920,TrialBalanceC!M175,JournalsC!J$14:J$920)</f>
        <v>0</v>
      </c>
      <c r="H175" s="288"/>
      <c r="I175" s="291">
        <f t="shared" si="36"/>
        <v>0</v>
      </c>
      <c r="J175" s="75"/>
      <c r="K175" s="48">
        <f t="shared" si="22"/>
        <v>0</v>
      </c>
      <c r="M175" s="140" t="str">
        <f t="shared" si="23"/>
        <v>5120/000REVALUATION RESERVE</v>
      </c>
      <c r="N175" s="70"/>
      <c r="P175" s="71"/>
      <c r="Q175" s="51"/>
      <c r="R175" s="31"/>
    </row>
    <row r="176" spans="1:18" x14ac:dyDescent="0.2">
      <c r="A176" s="238"/>
      <c r="B176" s="54" t="s">
        <v>460</v>
      </c>
      <c r="C176" s="242" t="s">
        <v>924</v>
      </c>
      <c r="D176" s="282"/>
      <c r="E176" s="281"/>
      <c r="F176" s="79">
        <f>SUM(K176:K178)</f>
        <v>0</v>
      </c>
      <c r="G176" s="47">
        <f>SUMIF(JournalsC!D$14:D$920,TrialBalanceC!M176,JournalsC!J$14:J$920)+SUMIF(JournalsC!E$14:E$920,TrialBalanceC!M176,JournalsC!J$14:J$920)</f>
        <v>0</v>
      </c>
      <c r="H176" s="288"/>
      <c r="I176" s="291">
        <f t="shared" si="36"/>
        <v>0</v>
      </c>
      <c r="J176" s="75"/>
      <c r="K176" s="48">
        <f t="shared" si="22"/>
        <v>0</v>
      </c>
      <c r="M176" s="140" t="str">
        <f t="shared" si="23"/>
        <v>5120/001Revaluation reserve - balance b/fwd</v>
      </c>
      <c r="N176" s="70"/>
      <c r="P176" s="71"/>
      <c r="Q176" s="51"/>
      <c r="R176" s="31"/>
    </row>
    <row r="177" spans="1:18" x14ac:dyDescent="0.2">
      <c r="A177" s="238"/>
      <c r="B177" s="54" t="s">
        <v>461</v>
      </c>
      <c r="C177" s="242" t="s">
        <v>925</v>
      </c>
      <c r="D177" s="282"/>
      <c r="E177" s="281"/>
      <c r="F177" s="79"/>
      <c r="G177" s="47">
        <f>SUMIF(JournalsC!D$14:D$920,TrialBalanceC!M177,JournalsC!J$14:J$920)+SUMIF(JournalsC!E$14:E$920,TrialBalanceC!M177,JournalsC!J$14:J$920)</f>
        <v>0</v>
      </c>
      <c r="H177" s="288"/>
      <c r="I177" s="291">
        <f t="shared" si="36"/>
        <v>0</v>
      </c>
      <c r="J177" s="75"/>
      <c r="K177" s="48">
        <f t="shared" si="22"/>
        <v>0</v>
      </c>
      <c r="M177" s="140" t="str">
        <f t="shared" si="23"/>
        <v>5120/002Revaluation reserve - additions</v>
      </c>
      <c r="N177" s="70"/>
      <c r="P177" s="71"/>
      <c r="Q177" s="51"/>
      <c r="R177" s="31"/>
    </row>
    <row r="178" spans="1:18" x14ac:dyDescent="0.2">
      <c r="A178" s="238"/>
      <c r="B178" s="54" t="s">
        <v>462</v>
      </c>
      <c r="C178" s="242" t="s">
        <v>926</v>
      </c>
      <c r="D178" s="282"/>
      <c r="E178" s="281"/>
      <c r="F178" s="79"/>
      <c r="G178" s="47">
        <f>SUMIF(JournalsC!D$14:D$920,TrialBalanceC!M178,JournalsC!J$14:J$920)+SUMIF(JournalsC!E$14:E$920,TrialBalanceC!M178,JournalsC!J$14:J$920)</f>
        <v>0</v>
      </c>
      <c r="H178" s="288"/>
      <c r="I178" s="291">
        <f t="shared" si="36"/>
        <v>0</v>
      </c>
      <c r="J178" s="75"/>
      <c r="K178" s="48">
        <f t="shared" si="22"/>
        <v>0</v>
      </c>
      <c r="M178" s="140" t="str">
        <f t="shared" si="23"/>
        <v>5120/003Revaluation reserve - transfer</v>
      </c>
      <c r="N178" s="70"/>
      <c r="P178" s="71"/>
      <c r="Q178" s="51"/>
      <c r="R178" s="31"/>
    </row>
    <row r="179" spans="1:18" x14ac:dyDescent="0.2">
      <c r="A179" s="238"/>
      <c r="B179" s="54" t="s">
        <v>84</v>
      </c>
      <c r="C179" s="239" t="s">
        <v>248</v>
      </c>
      <c r="D179" s="283"/>
      <c r="E179" s="281"/>
      <c r="F179" s="79"/>
      <c r="G179" s="47">
        <f>SUMIF(JournalsC!D$14:D$920,TrialBalanceC!M179,JournalsC!J$14:J$920)+SUMIF(JournalsC!E$14:E$920,TrialBalanceC!M179,JournalsC!J$14:J$920)</f>
        <v>0</v>
      </c>
      <c r="H179" s="288"/>
      <c r="I179" s="291">
        <f t="shared" si="36"/>
        <v>0</v>
      </c>
      <c r="J179" s="75"/>
      <c r="K179" s="48">
        <f t="shared" si="22"/>
        <v>0</v>
      </c>
      <c r="M179" s="140" t="str">
        <f t="shared" si="23"/>
        <v>5130/000OTHER RESERVES</v>
      </c>
      <c r="N179" s="70"/>
      <c r="P179" s="71"/>
      <c r="Q179" s="51"/>
      <c r="R179" s="31"/>
    </row>
    <row r="180" spans="1:18" x14ac:dyDescent="0.2">
      <c r="A180" s="238"/>
      <c r="B180" s="54" t="s">
        <v>249</v>
      </c>
      <c r="C180" s="242" t="s">
        <v>807</v>
      </c>
      <c r="D180" s="282"/>
      <c r="E180" s="281"/>
      <c r="F180" s="79">
        <f>SUM(K180:K182)</f>
        <v>0</v>
      </c>
      <c r="G180" s="47">
        <f>SUMIF(JournalsC!D$14:D$920,TrialBalanceC!M180,JournalsC!J$14:J$920)+SUMIF(JournalsC!E$14:E$920,TrialBalanceC!M180,JournalsC!J$14:J$920)</f>
        <v>0</v>
      </c>
      <c r="H180" s="288"/>
      <c r="I180" s="291">
        <f t="shared" si="36"/>
        <v>0</v>
      </c>
      <c r="J180" s="75"/>
      <c r="K180" s="48">
        <f t="shared" si="22"/>
        <v>0</v>
      </c>
      <c r="M180" s="140" t="str">
        <f t="shared" si="23"/>
        <v>5130/001Other reserves - Balance b/fwd</v>
      </c>
      <c r="N180" s="70"/>
      <c r="P180" s="71"/>
      <c r="Q180" s="51"/>
      <c r="R180" s="31"/>
    </row>
    <row r="181" spans="1:18" x14ac:dyDescent="0.2">
      <c r="A181" s="238"/>
      <c r="B181" s="54" t="s">
        <v>250</v>
      </c>
      <c r="C181" s="242" t="s">
        <v>773</v>
      </c>
      <c r="D181" s="282"/>
      <c r="E181" s="281"/>
      <c r="F181" s="79"/>
      <c r="G181" s="47">
        <f>SUMIF(JournalsC!D$14:D$920,TrialBalanceC!M181,JournalsC!J$14:J$920)+SUMIF(JournalsC!E$14:E$920,TrialBalanceC!M181,JournalsC!J$14:J$920)</f>
        <v>0</v>
      </c>
      <c r="H181" s="288"/>
      <c r="I181" s="291">
        <f t="shared" si="36"/>
        <v>0</v>
      </c>
      <c r="J181" s="75"/>
      <c r="K181" s="48">
        <f t="shared" si="22"/>
        <v>0</v>
      </c>
      <c r="M181" s="140" t="str">
        <f t="shared" si="23"/>
        <v>5130/002Other reserves - additions</v>
      </c>
      <c r="N181" s="70"/>
      <c r="P181" s="71"/>
      <c r="Q181" s="51"/>
      <c r="R181" s="31"/>
    </row>
    <row r="182" spans="1:18" x14ac:dyDescent="0.2">
      <c r="A182" s="238"/>
      <c r="B182" s="54" t="s">
        <v>331</v>
      </c>
      <c r="C182" s="240" t="s">
        <v>385</v>
      </c>
      <c r="D182" s="282"/>
      <c r="E182" s="281"/>
      <c r="F182" s="79"/>
      <c r="G182" s="47">
        <f>SUMIF(JournalsC!D$14:D$920,TrialBalanceC!M182,JournalsC!J$14:J$920)+SUMIF(JournalsC!E$14:E$920,TrialBalanceC!M182,JournalsC!J$14:J$920)</f>
        <v>0</v>
      </c>
      <c r="H182" s="288"/>
      <c r="I182" s="291">
        <f t="shared" si="36"/>
        <v>0</v>
      </c>
      <c r="J182" s="75"/>
      <c r="K182" s="48">
        <f t="shared" si="22"/>
        <v>0</v>
      </c>
      <c r="M182" s="140" t="str">
        <f t="shared" si="23"/>
        <v>5130/003Other reserves - transfer</v>
      </c>
      <c r="N182" s="70"/>
      <c r="P182" s="71"/>
      <c r="Q182" s="51"/>
      <c r="R182" s="31"/>
    </row>
    <row r="183" spans="1:18" x14ac:dyDescent="0.2">
      <c r="A183" s="238"/>
      <c r="B183" s="54" t="s">
        <v>386</v>
      </c>
      <c r="C183" s="239" t="s">
        <v>774</v>
      </c>
      <c r="D183" s="283"/>
      <c r="E183" s="281"/>
      <c r="F183" s="79">
        <f>K183+SUM(K5:K164)</f>
        <v>0</v>
      </c>
      <c r="G183" s="47">
        <f>SUMIF(JournalsC!D$14:D$920,TrialBalanceC!M183,JournalsC!J$14:J$920)+SUMIF(JournalsC!E$14:E$920,TrialBalanceC!M183,JournalsC!J$14:J$920)</f>
        <v>0</v>
      </c>
      <c r="H183" s="288"/>
      <c r="I183" s="291">
        <f t="shared" si="36"/>
        <v>0</v>
      </c>
      <c r="J183" s="75"/>
      <c r="K183" s="48">
        <f t="shared" si="22"/>
        <v>0</v>
      </c>
      <c r="M183" s="140" t="str">
        <f t="shared" si="23"/>
        <v>5200/000(Retained income) / Accumulated loss</v>
      </c>
      <c r="N183" s="70"/>
      <c r="P183" s="71"/>
      <c r="Q183" s="51"/>
      <c r="R183" s="31"/>
    </row>
    <row r="184" spans="1:18" x14ac:dyDescent="0.2">
      <c r="A184" s="238"/>
      <c r="B184" s="54" t="s">
        <v>129</v>
      </c>
      <c r="C184" s="239" t="s">
        <v>130</v>
      </c>
      <c r="D184" s="283"/>
      <c r="E184" s="281"/>
      <c r="F184" s="79"/>
      <c r="G184" s="47">
        <f>SUMIF(JournalsC!D$14:D$920,TrialBalanceC!M184,JournalsC!J$14:J$920)+SUMIF(JournalsC!E$14:E$920,TrialBalanceC!M184,JournalsC!J$14:J$920)</f>
        <v>0</v>
      </c>
      <c r="H184" s="288"/>
      <c r="I184" s="291">
        <f t="shared" si="36"/>
        <v>0</v>
      </c>
      <c r="J184" s="75"/>
      <c r="K184" s="48">
        <f t="shared" si="22"/>
        <v>0</v>
      </c>
      <c r="M184" s="140" t="str">
        <f t="shared" si="23"/>
        <v>5500/000LONG TERM  INTEREST LIABILITIES</v>
      </c>
      <c r="N184" s="70"/>
      <c r="P184" s="71"/>
      <c r="Q184" s="51"/>
      <c r="R184" s="31"/>
    </row>
    <row r="185" spans="1:18" x14ac:dyDescent="0.2">
      <c r="A185" s="238"/>
      <c r="B185" s="54" t="s">
        <v>131</v>
      </c>
      <c r="C185" s="276">
        <f>TrialBalance!C185</f>
        <v>0</v>
      </c>
      <c r="D185" s="281"/>
      <c r="E185" s="281"/>
      <c r="F185" s="79">
        <f>K185</f>
        <v>0</v>
      </c>
      <c r="G185" s="47">
        <f>SUMIF(JournalsC!D$14:D$920,TrialBalanceC!M185,JournalsC!J$14:J$920)+SUMIF(JournalsC!E$14:E$920,TrialBalanceC!M185,JournalsC!J$14:J$920)</f>
        <v>0</v>
      </c>
      <c r="H185" s="288"/>
      <c r="I185" s="291">
        <f t="shared" si="36"/>
        <v>0</v>
      </c>
      <c r="J185" s="75"/>
      <c r="K185" s="48">
        <f t="shared" si="22"/>
        <v>0</v>
      </c>
      <c r="M185" s="140" t="str">
        <f t="shared" si="23"/>
        <v>5500/0010</v>
      </c>
      <c r="N185" s="70"/>
      <c r="P185" s="71"/>
      <c r="Q185" s="51"/>
      <c r="R185" s="31"/>
    </row>
    <row r="186" spans="1:18" x14ac:dyDescent="0.2">
      <c r="A186" s="238"/>
      <c r="B186" s="54" t="s">
        <v>132</v>
      </c>
      <c r="C186" s="276">
        <f>TrialBalance!C186</f>
        <v>0</v>
      </c>
      <c r="D186" s="281"/>
      <c r="E186" s="281"/>
      <c r="F186" s="79">
        <f>K186</f>
        <v>0</v>
      </c>
      <c r="G186" s="47">
        <f>SUMIF(JournalsC!D$14:D$920,TrialBalanceC!M186,JournalsC!J$14:J$920)+SUMIF(JournalsC!E$14:E$920,TrialBalanceC!M186,JournalsC!J$14:J$920)</f>
        <v>0</v>
      </c>
      <c r="H186" s="288"/>
      <c r="I186" s="291">
        <f t="shared" si="36"/>
        <v>0</v>
      </c>
      <c r="J186" s="75"/>
      <c r="K186" s="48">
        <f t="shared" si="22"/>
        <v>0</v>
      </c>
      <c r="M186" s="140" t="str">
        <f t="shared" si="23"/>
        <v>5500/0020</v>
      </c>
      <c r="N186" s="70"/>
      <c r="P186" s="71"/>
      <c r="Q186" s="51"/>
      <c r="R186" s="31"/>
    </row>
    <row r="187" spans="1:18" x14ac:dyDescent="0.2">
      <c r="A187" s="238"/>
      <c r="B187" s="54" t="s">
        <v>133</v>
      </c>
      <c r="C187" s="276">
        <f>TrialBalance!C187</f>
        <v>0</v>
      </c>
      <c r="D187" s="284"/>
      <c r="E187" s="281"/>
      <c r="F187" s="79">
        <f>K187</f>
        <v>0</v>
      </c>
      <c r="G187" s="47">
        <f>SUMIF(JournalsC!D$14:D$920,TrialBalanceC!M187,JournalsC!J$14:J$920)+SUMIF(JournalsC!E$14:E$920,TrialBalanceC!M187,JournalsC!J$14:J$920)</f>
        <v>0</v>
      </c>
      <c r="H187" s="288"/>
      <c r="I187" s="291">
        <f t="shared" si="36"/>
        <v>0</v>
      </c>
      <c r="J187" s="75"/>
      <c r="K187" s="48">
        <f t="shared" si="22"/>
        <v>0</v>
      </c>
      <c r="M187" s="140" t="str">
        <f t="shared" si="23"/>
        <v>5500/0030</v>
      </c>
      <c r="N187" s="70"/>
      <c r="P187" s="71"/>
      <c r="Q187" s="51"/>
      <c r="R187" s="31"/>
    </row>
    <row r="188" spans="1:18" x14ac:dyDescent="0.2">
      <c r="A188" s="238"/>
      <c r="B188" s="54" t="s">
        <v>134</v>
      </c>
      <c r="C188" s="276">
        <f>TrialBalance!C188</f>
        <v>0</v>
      </c>
      <c r="D188" s="282"/>
      <c r="E188" s="281"/>
      <c r="F188" s="79">
        <f>K188</f>
        <v>0</v>
      </c>
      <c r="G188" s="47">
        <f>SUMIF(JournalsC!D$14:D$920,TrialBalanceC!M188,JournalsC!J$14:J$920)+SUMIF(JournalsC!E$14:E$920,TrialBalanceC!M188,JournalsC!J$14:J$920)</f>
        <v>0</v>
      </c>
      <c r="H188" s="288"/>
      <c r="I188" s="291">
        <f t="shared" si="36"/>
        <v>0</v>
      </c>
      <c r="J188" s="75"/>
      <c r="K188" s="48">
        <f t="shared" si="22"/>
        <v>0</v>
      </c>
      <c r="M188" s="140" t="str">
        <f t="shared" si="23"/>
        <v>5500/0040</v>
      </c>
      <c r="N188" s="70"/>
      <c r="P188" s="71"/>
      <c r="Q188" s="51"/>
      <c r="R188" s="31"/>
    </row>
    <row r="189" spans="1:18" x14ac:dyDescent="0.2">
      <c r="A189" s="238"/>
      <c r="B189" s="54" t="s">
        <v>135</v>
      </c>
      <c r="C189" s="276">
        <f>TrialBalance!C189</f>
        <v>0</v>
      </c>
      <c r="D189" s="282"/>
      <c r="E189" s="281"/>
      <c r="F189" s="79">
        <f>K189</f>
        <v>0</v>
      </c>
      <c r="G189" s="47">
        <f>SUMIF(JournalsC!D$14:D$920,TrialBalanceC!M189,JournalsC!J$14:J$920)+SUMIF(JournalsC!E$14:E$920,TrialBalanceC!M189,JournalsC!J$14:J$920)</f>
        <v>0</v>
      </c>
      <c r="H189" s="288"/>
      <c r="I189" s="291">
        <f t="shared" si="36"/>
        <v>0</v>
      </c>
      <c r="J189" s="75"/>
      <c r="K189" s="48">
        <f t="shared" si="22"/>
        <v>0</v>
      </c>
      <c r="M189" s="140" t="str">
        <f t="shared" si="23"/>
        <v>5500/0050</v>
      </c>
      <c r="N189" s="70"/>
      <c r="P189" s="71"/>
      <c r="Q189" s="51"/>
      <c r="R189" s="31"/>
    </row>
    <row r="190" spans="1:18" x14ac:dyDescent="0.2">
      <c r="A190" s="238"/>
      <c r="B190" s="90" t="s">
        <v>604</v>
      </c>
      <c r="C190" s="276">
        <f>TrialBalance!C190</f>
        <v>0</v>
      </c>
      <c r="D190" s="282"/>
      <c r="E190" s="281"/>
      <c r="F190" s="79">
        <f t="shared" ref="F190:F215" si="37">K190</f>
        <v>0</v>
      </c>
      <c r="G190" s="47">
        <f>SUMIF(JournalsC!D$14:D$920,TrialBalanceC!M190,JournalsC!J$14:J$920)+SUMIF(JournalsC!E$14:E$920,TrialBalanceC!M190,JournalsC!J$14:J$920)</f>
        <v>0</v>
      </c>
      <c r="H190" s="288"/>
      <c r="I190" s="291">
        <f t="shared" si="36"/>
        <v>0</v>
      </c>
      <c r="J190" s="75"/>
      <c r="K190" s="48">
        <f t="shared" si="22"/>
        <v>0</v>
      </c>
      <c r="M190" s="140" t="str">
        <f t="shared" si="23"/>
        <v>5500/0060</v>
      </c>
      <c r="N190" s="70"/>
      <c r="P190" s="71"/>
      <c r="Q190" s="51"/>
      <c r="R190" s="31"/>
    </row>
    <row r="191" spans="1:18" x14ac:dyDescent="0.2">
      <c r="A191" s="238"/>
      <c r="B191" s="90" t="s">
        <v>605</v>
      </c>
      <c r="C191" s="276">
        <f>TrialBalance!C191</f>
        <v>0</v>
      </c>
      <c r="D191" s="282"/>
      <c r="E191" s="281"/>
      <c r="F191" s="79">
        <f t="shared" si="37"/>
        <v>0</v>
      </c>
      <c r="G191" s="47">
        <f>SUMIF(JournalsC!D$14:D$920,TrialBalanceC!M191,JournalsC!J$14:J$920)+SUMIF(JournalsC!E$14:E$920,TrialBalanceC!M191,JournalsC!J$14:J$920)</f>
        <v>0</v>
      </c>
      <c r="H191" s="288"/>
      <c r="I191" s="291">
        <f t="shared" si="36"/>
        <v>0</v>
      </c>
      <c r="J191" s="75"/>
      <c r="K191" s="48">
        <f t="shared" si="22"/>
        <v>0</v>
      </c>
      <c r="M191" s="140" t="str">
        <f t="shared" si="23"/>
        <v>5500/0070</v>
      </c>
      <c r="N191" s="70"/>
      <c r="P191" s="71"/>
      <c r="Q191" s="51"/>
      <c r="R191" s="31"/>
    </row>
    <row r="192" spans="1:18" x14ac:dyDescent="0.2">
      <c r="A192" s="238"/>
      <c r="B192" s="90" t="s">
        <v>606</v>
      </c>
      <c r="C192" s="276">
        <f>TrialBalance!C192</f>
        <v>0</v>
      </c>
      <c r="D192" s="282"/>
      <c r="E192" s="281"/>
      <c r="F192" s="79">
        <f t="shared" si="37"/>
        <v>0</v>
      </c>
      <c r="G192" s="47">
        <f>SUMIF(JournalsC!D$14:D$920,TrialBalanceC!M192,JournalsC!J$14:J$920)+SUMIF(JournalsC!E$14:E$920,TrialBalanceC!M192,JournalsC!J$14:J$920)</f>
        <v>0</v>
      </c>
      <c r="H192" s="288"/>
      <c r="I192" s="291">
        <f t="shared" si="36"/>
        <v>0</v>
      </c>
      <c r="J192" s="75"/>
      <c r="K192" s="48">
        <f t="shared" si="22"/>
        <v>0</v>
      </c>
      <c r="M192" s="140" t="str">
        <f t="shared" si="23"/>
        <v>5500/0080</v>
      </c>
      <c r="N192" s="70"/>
      <c r="P192" s="71"/>
      <c r="Q192" s="51"/>
      <c r="R192" s="31"/>
    </row>
    <row r="193" spans="1:18" x14ac:dyDescent="0.2">
      <c r="A193" s="238"/>
      <c r="B193" s="90" t="s">
        <v>607</v>
      </c>
      <c r="C193" s="276">
        <f>TrialBalance!C193</f>
        <v>0</v>
      </c>
      <c r="D193" s="282"/>
      <c r="E193" s="281"/>
      <c r="F193" s="79">
        <f t="shared" si="37"/>
        <v>0</v>
      </c>
      <c r="G193" s="47">
        <f>SUMIF(JournalsC!D$14:D$920,TrialBalanceC!M193,JournalsC!J$14:J$920)+SUMIF(JournalsC!E$14:E$920,TrialBalanceC!M193,JournalsC!J$14:J$920)</f>
        <v>0</v>
      </c>
      <c r="H193" s="288"/>
      <c r="I193" s="291">
        <f t="shared" si="36"/>
        <v>0</v>
      </c>
      <c r="J193" s="75"/>
      <c r="K193" s="48">
        <f t="shared" si="22"/>
        <v>0</v>
      </c>
      <c r="M193" s="140" t="str">
        <f t="shared" si="23"/>
        <v>5500/0090</v>
      </c>
      <c r="N193" s="70"/>
      <c r="P193" s="71"/>
      <c r="Q193" s="51"/>
      <c r="R193" s="31"/>
    </row>
    <row r="194" spans="1:18" x14ac:dyDescent="0.2">
      <c r="A194" s="238"/>
      <c r="B194" s="90" t="s">
        <v>608</v>
      </c>
      <c r="C194" s="276">
        <f>TrialBalance!C194</f>
        <v>0</v>
      </c>
      <c r="D194" s="282"/>
      <c r="E194" s="281"/>
      <c r="F194" s="79">
        <f t="shared" si="37"/>
        <v>0</v>
      </c>
      <c r="G194" s="47">
        <f>SUMIF(JournalsC!D$14:D$920,TrialBalanceC!M194,JournalsC!J$14:J$920)+SUMIF(JournalsC!E$14:E$920,TrialBalanceC!M194,JournalsC!J$14:J$920)</f>
        <v>0</v>
      </c>
      <c r="H194" s="288"/>
      <c r="I194" s="291">
        <f t="shared" si="36"/>
        <v>0</v>
      </c>
      <c r="J194" s="75"/>
      <c r="K194" s="48">
        <f t="shared" si="22"/>
        <v>0</v>
      </c>
      <c r="M194" s="140" t="str">
        <f t="shared" si="23"/>
        <v>5500/0100</v>
      </c>
      <c r="N194" s="70"/>
      <c r="P194" s="71"/>
      <c r="Q194" s="51"/>
      <c r="R194" s="31"/>
    </row>
    <row r="195" spans="1:18" x14ac:dyDescent="0.2">
      <c r="A195" s="238"/>
      <c r="B195" s="90" t="s">
        <v>609</v>
      </c>
      <c r="C195" s="276">
        <f>TrialBalance!C195</f>
        <v>0</v>
      </c>
      <c r="D195" s="282"/>
      <c r="E195" s="281"/>
      <c r="F195" s="79">
        <f t="shared" si="37"/>
        <v>0</v>
      </c>
      <c r="G195" s="47">
        <f>SUMIF(JournalsC!D$14:D$920,TrialBalanceC!M195,JournalsC!J$14:J$920)+SUMIF(JournalsC!E$14:E$920,TrialBalanceC!M195,JournalsC!J$14:J$920)</f>
        <v>0</v>
      </c>
      <c r="H195" s="288"/>
      <c r="I195" s="291">
        <f t="shared" si="36"/>
        <v>0</v>
      </c>
      <c r="J195" s="75"/>
      <c r="K195" s="48">
        <f t="shared" si="22"/>
        <v>0</v>
      </c>
      <c r="M195" s="140" t="str">
        <f t="shared" si="23"/>
        <v>5500/0110</v>
      </c>
      <c r="N195" s="70"/>
      <c r="P195" s="71"/>
      <c r="Q195" s="51"/>
      <c r="R195" s="31"/>
    </row>
    <row r="196" spans="1:18" x14ac:dyDescent="0.2">
      <c r="A196" s="238"/>
      <c r="B196" s="90" t="s">
        <v>610</v>
      </c>
      <c r="C196" s="276">
        <f>TrialBalance!C196</f>
        <v>0</v>
      </c>
      <c r="D196" s="282"/>
      <c r="E196" s="281"/>
      <c r="F196" s="79">
        <f t="shared" si="37"/>
        <v>0</v>
      </c>
      <c r="G196" s="47">
        <f>SUMIF(JournalsC!D$14:D$920,TrialBalanceC!M196,JournalsC!J$14:J$920)+SUMIF(JournalsC!E$14:E$920,TrialBalanceC!M196,JournalsC!J$14:J$920)</f>
        <v>0</v>
      </c>
      <c r="H196" s="288"/>
      <c r="I196" s="291">
        <f t="shared" si="36"/>
        <v>0</v>
      </c>
      <c r="J196" s="75"/>
      <c r="K196" s="48">
        <f t="shared" si="22"/>
        <v>0</v>
      </c>
      <c r="M196" s="140" t="str">
        <f t="shared" si="23"/>
        <v>5500/0120</v>
      </c>
      <c r="N196" s="70"/>
      <c r="P196" s="71"/>
      <c r="Q196" s="51"/>
      <c r="R196" s="31"/>
    </row>
    <row r="197" spans="1:18" x14ac:dyDescent="0.2">
      <c r="A197" s="238"/>
      <c r="B197" s="90" t="s">
        <v>611</v>
      </c>
      <c r="C197" s="276">
        <f>TrialBalance!C197</f>
        <v>0</v>
      </c>
      <c r="D197" s="282"/>
      <c r="E197" s="281"/>
      <c r="F197" s="79">
        <f t="shared" ref="F197:F198" si="38">K197</f>
        <v>0</v>
      </c>
      <c r="G197" s="47">
        <f>SUMIF(JournalsC!D$14:D$920,TrialBalanceC!M197,JournalsC!J$14:J$920)+SUMIF(JournalsC!E$14:E$920,TrialBalanceC!M197,JournalsC!J$14:J$920)</f>
        <v>0</v>
      </c>
      <c r="H197" s="288"/>
      <c r="I197" s="291">
        <f t="shared" ref="I197:I198" si="39">ROUND(D197-E197+G197+F197,0)</f>
        <v>0</v>
      </c>
      <c r="J197" s="75"/>
      <c r="K197" s="48">
        <f t="shared" ref="K197:K198" si="40">ROUND(SUM(A197),0)</f>
        <v>0</v>
      </c>
      <c r="M197" s="140" t="str">
        <f t="shared" ref="M197:M198" si="41">CONCATENATE(B197,C197)</f>
        <v>5500/0130</v>
      </c>
      <c r="N197" s="70"/>
      <c r="P197" s="71"/>
      <c r="Q197" s="51"/>
      <c r="R197" s="31"/>
    </row>
    <row r="198" spans="1:18" x14ac:dyDescent="0.2">
      <c r="A198" s="238"/>
      <c r="B198" s="90" t="s">
        <v>661</v>
      </c>
      <c r="C198" s="276">
        <f>TrialBalance!C198</f>
        <v>0</v>
      </c>
      <c r="D198" s="282"/>
      <c r="E198" s="281"/>
      <c r="F198" s="79">
        <f t="shared" si="38"/>
        <v>0</v>
      </c>
      <c r="G198" s="47">
        <f>SUMIF(JournalsC!D$14:D$920,TrialBalanceC!M198,JournalsC!J$14:J$920)+SUMIF(JournalsC!E$14:E$920,TrialBalanceC!M198,JournalsC!J$14:J$920)</f>
        <v>0</v>
      </c>
      <c r="H198" s="288"/>
      <c r="I198" s="291">
        <f t="shared" si="39"/>
        <v>0</v>
      </c>
      <c r="J198" s="75"/>
      <c r="K198" s="48">
        <f t="shared" si="40"/>
        <v>0</v>
      </c>
      <c r="M198" s="140" t="str">
        <f t="shared" si="41"/>
        <v>5500/0140</v>
      </c>
      <c r="N198" s="70"/>
      <c r="P198" s="71"/>
      <c r="Q198" s="51"/>
      <c r="R198" s="31"/>
    </row>
    <row r="199" spans="1:18" x14ac:dyDescent="0.2">
      <c r="A199" s="238"/>
      <c r="B199" s="90" t="s">
        <v>662</v>
      </c>
      <c r="C199" s="276">
        <f>TrialBalance!C199</f>
        <v>0</v>
      </c>
      <c r="D199" s="282"/>
      <c r="E199" s="281"/>
      <c r="F199" s="79">
        <f t="shared" si="37"/>
        <v>0</v>
      </c>
      <c r="G199" s="47">
        <f>SUMIF(JournalsC!D$14:D$920,TrialBalanceC!M199,JournalsC!J$14:J$920)+SUMIF(JournalsC!E$14:E$920,TrialBalanceC!M199,JournalsC!J$14:J$920)</f>
        <v>0</v>
      </c>
      <c r="H199" s="288"/>
      <c r="I199" s="291">
        <f t="shared" si="36"/>
        <v>0</v>
      </c>
      <c r="J199" s="75"/>
      <c r="K199" s="48">
        <f t="shared" si="22"/>
        <v>0</v>
      </c>
      <c r="M199" s="140" t="str">
        <f t="shared" si="23"/>
        <v>5500/0150</v>
      </c>
      <c r="N199" s="70"/>
      <c r="P199" s="71"/>
      <c r="Q199" s="51"/>
      <c r="R199" s="31"/>
    </row>
    <row r="200" spans="1:18" x14ac:dyDescent="0.2">
      <c r="A200" s="238"/>
      <c r="B200" s="54" t="s">
        <v>136</v>
      </c>
      <c r="C200" s="240" t="s">
        <v>255</v>
      </c>
      <c r="D200" s="282"/>
      <c r="E200" s="281"/>
      <c r="F200" s="79">
        <f t="shared" si="37"/>
        <v>0</v>
      </c>
      <c r="G200" s="47">
        <f>SUMIF(JournalsC!D$14:D$920,TrialBalanceC!M200,JournalsC!J$14:J$920)+SUMIF(JournalsC!E$14:E$920,TrialBalanceC!M200,JournalsC!J$14:J$920)</f>
        <v>0</v>
      </c>
      <c r="H200" s="288"/>
      <c r="I200" s="291">
        <f t="shared" si="36"/>
        <v>0</v>
      </c>
      <c r="J200" s="75"/>
      <c r="K200" s="48">
        <f t="shared" si="22"/>
        <v>0</v>
      </c>
      <c r="M200" s="140" t="str">
        <f t="shared" si="23"/>
        <v>5520/000Short term portion of long term loans</v>
      </c>
      <c r="N200" s="70"/>
      <c r="P200" s="71"/>
      <c r="Q200" s="51"/>
      <c r="R200" s="31"/>
    </row>
    <row r="201" spans="1:18" x14ac:dyDescent="0.2">
      <c r="A201" s="238"/>
      <c r="B201" s="54" t="s">
        <v>138</v>
      </c>
      <c r="C201" s="239" t="s">
        <v>139</v>
      </c>
      <c r="D201" s="283"/>
      <c r="E201" s="281"/>
      <c r="F201" s="79">
        <f t="shared" si="37"/>
        <v>0</v>
      </c>
      <c r="G201" s="47">
        <f>SUMIF(JournalsC!D$14:D$920,TrialBalanceC!M201,JournalsC!J$14:J$920)+SUMIF(JournalsC!E$14:E$920,TrialBalanceC!M201,JournalsC!J$14:J$920)</f>
        <v>0</v>
      </c>
      <c r="H201" s="288"/>
      <c r="I201" s="291">
        <f t="shared" si="36"/>
        <v>0</v>
      </c>
      <c r="J201" s="75"/>
      <c r="K201" s="48">
        <f t="shared" si="22"/>
        <v>0</v>
      </c>
      <c r="M201" s="140" t="str">
        <f t="shared" si="23"/>
        <v>5550/000LONG TERM INTEREST FREE LOANS</v>
      </c>
      <c r="N201" s="70"/>
      <c r="P201" s="71"/>
      <c r="Q201" s="51"/>
      <c r="R201" s="31"/>
    </row>
    <row r="202" spans="1:18" x14ac:dyDescent="0.2">
      <c r="A202" s="238"/>
      <c r="B202" s="54" t="s">
        <v>140</v>
      </c>
      <c r="C202" s="276">
        <f>TrialBalance!C202</f>
        <v>0</v>
      </c>
      <c r="D202" s="284"/>
      <c r="E202" s="281"/>
      <c r="F202" s="79">
        <f t="shared" si="37"/>
        <v>0</v>
      </c>
      <c r="G202" s="47">
        <f>SUMIF(JournalsC!D$14:D$920,TrialBalanceC!M202,JournalsC!J$14:J$920)+SUMIF(JournalsC!E$14:E$920,TrialBalanceC!M202,JournalsC!J$14:J$920)</f>
        <v>0</v>
      </c>
      <c r="H202" s="288"/>
      <c r="I202" s="256">
        <f t="shared" si="36"/>
        <v>0</v>
      </c>
      <c r="J202" s="91"/>
      <c r="K202" s="48">
        <f t="shared" si="22"/>
        <v>0</v>
      </c>
      <c r="M202" s="140" t="str">
        <f t="shared" si="23"/>
        <v>5550/0010</v>
      </c>
      <c r="N202" s="70"/>
      <c r="P202" s="71"/>
      <c r="Q202" s="51"/>
      <c r="R202" s="31"/>
    </row>
    <row r="203" spans="1:18" x14ac:dyDescent="0.2">
      <c r="A203" s="238"/>
      <c r="B203" s="54" t="s">
        <v>141</v>
      </c>
      <c r="C203" s="276">
        <f>TrialBalance!C203</f>
        <v>0</v>
      </c>
      <c r="D203" s="284"/>
      <c r="E203" s="281"/>
      <c r="F203" s="79">
        <f t="shared" si="37"/>
        <v>0</v>
      </c>
      <c r="G203" s="47">
        <f>SUMIF(JournalsC!D$14:D$920,TrialBalanceC!M203,JournalsC!J$14:J$920)+SUMIF(JournalsC!E$14:E$920,TrialBalanceC!M203,JournalsC!J$14:J$920)</f>
        <v>0</v>
      </c>
      <c r="H203" s="288"/>
      <c r="I203" s="291">
        <f t="shared" si="36"/>
        <v>0</v>
      </c>
      <c r="J203" s="75"/>
      <c r="K203" s="48">
        <f t="shared" si="22"/>
        <v>0</v>
      </c>
      <c r="M203" s="140" t="str">
        <f t="shared" si="23"/>
        <v>5550/0020</v>
      </c>
      <c r="N203" s="70"/>
      <c r="P203" s="71"/>
      <c r="Q203" s="51"/>
      <c r="R203" s="31"/>
    </row>
    <row r="204" spans="1:18" x14ac:dyDescent="0.2">
      <c r="A204" s="238"/>
      <c r="B204" s="54" t="s">
        <v>142</v>
      </c>
      <c r="C204" s="276">
        <f>TrialBalance!C204</f>
        <v>0</v>
      </c>
      <c r="D204" s="284"/>
      <c r="E204" s="281"/>
      <c r="F204" s="79">
        <f t="shared" si="37"/>
        <v>0</v>
      </c>
      <c r="G204" s="47">
        <f>SUMIF(JournalsC!D$14:D$920,TrialBalanceC!M204,JournalsC!J$14:J$920)+SUMIF(JournalsC!E$14:E$920,TrialBalanceC!M204,JournalsC!J$14:J$920)</f>
        <v>0</v>
      </c>
      <c r="H204" s="288"/>
      <c r="I204" s="256">
        <f t="shared" si="36"/>
        <v>0</v>
      </c>
      <c r="J204" s="91"/>
      <c r="K204" s="48">
        <f t="shared" si="22"/>
        <v>0</v>
      </c>
      <c r="M204" s="140" t="str">
        <f t="shared" si="23"/>
        <v>5550/0030</v>
      </c>
      <c r="N204" s="70"/>
      <c r="P204" s="71"/>
      <c r="Q204" s="51"/>
      <c r="R204" s="31"/>
    </row>
    <row r="205" spans="1:18" x14ac:dyDescent="0.2">
      <c r="A205" s="238"/>
      <c r="B205" s="54" t="s">
        <v>143</v>
      </c>
      <c r="C205" s="276">
        <f>TrialBalance!C205</f>
        <v>0</v>
      </c>
      <c r="D205" s="284"/>
      <c r="E205" s="281"/>
      <c r="F205" s="79">
        <f t="shared" si="37"/>
        <v>0</v>
      </c>
      <c r="G205" s="47">
        <f>SUMIF(JournalsC!D$14:D$920,TrialBalanceC!M205,JournalsC!J$14:J$920)+SUMIF(JournalsC!E$14:E$920,TrialBalanceC!M205,JournalsC!J$14:J$920)</f>
        <v>0</v>
      </c>
      <c r="H205" s="288"/>
      <c r="I205" s="256">
        <f t="shared" si="36"/>
        <v>0</v>
      </c>
      <c r="J205" s="91"/>
      <c r="K205" s="48">
        <f t="shared" si="22"/>
        <v>0</v>
      </c>
      <c r="M205" s="140" t="str">
        <f t="shared" si="23"/>
        <v>5550/0040</v>
      </c>
      <c r="N205" s="70"/>
      <c r="P205" s="71"/>
      <c r="Q205" s="51"/>
      <c r="R205" s="31"/>
    </row>
    <row r="206" spans="1:18" x14ac:dyDescent="0.2">
      <c r="A206" s="238"/>
      <c r="B206" s="54" t="s">
        <v>144</v>
      </c>
      <c r="C206" s="276">
        <f>TrialBalance!C206</f>
        <v>0</v>
      </c>
      <c r="D206" s="281"/>
      <c r="E206" s="281"/>
      <c r="F206" s="79">
        <f t="shared" si="37"/>
        <v>0</v>
      </c>
      <c r="G206" s="47">
        <f>SUMIF(JournalsC!D$14:D$920,TrialBalanceC!M206,JournalsC!J$14:J$920)+SUMIF(JournalsC!E$14:E$920,TrialBalanceC!M206,JournalsC!J$14:J$920)</f>
        <v>0</v>
      </c>
      <c r="H206" s="288"/>
      <c r="I206" s="291">
        <f t="shared" si="36"/>
        <v>0</v>
      </c>
      <c r="J206" s="75"/>
      <c r="K206" s="48">
        <f t="shared" si="22"/>
        <v>0</v>
      </c>
      <c r="M206" s="140" t="str">
        <f t="shared" si="23"/>
        <v>5550/0050</v>
      </c>
      <c r="N206" s="70"/>
      <c r="P206" s="71"/>
      <c r="Q206" s="51"/>
      <c r="R206" s="31"/>
    </row>
    <row r="207" spans="1:18" x14ac:dyDescent="0.2">
      <c r="A207" s="238"/>
      <c r="B207" s="90" t="s">
        <v>631</v>
      </c>
      <c r="C207" s="276">
        <f>TrialBalance!C207</f>
        <v>0</v>
      </c>
      <c r="D207" s="284"/>
      <c r="E207" s="281"/>
      <c r="F207" s="79">
        <f t="shared" si="37"/>
        <v>0</v>
      </c>
      <c r="G207" s="47">
        <f>SUMIF(JournalsC!D$14:D$920,TrialBalanceC!M207,JournalsC!J$14:J$920)+SUMIF(JournalsC!E$14:E$920,TrialBalanceC!M207,JournalsC!J$14:J$920)</f>
        <v>0</v>
      </c>
      <c r="H207" s="288"/>
      <c r="I207" s="256">
        <f t="shared" si="36"/>
        <v>0</v>
      </c>
      <c r="J207" s="91"/>
      <c r="K207" s="48">
        <f t="shared" ref="K207:K282" si="42">ROUND(SUM(A207),0)</f>
        <v>0</v>
      </c>
      <c r="M207" s="140" t="str">
        <f t="shared" ref="M207:M282" si="43">CONCATENATE(B207,C207)</f>
        <v>5550/0060</v>
      </c>
      <c r="N207" s="70"/>
      <c r="P207" s="71"/>
      <c r="Q207" s="51"/>
      <c r="R207" s="31"/>
    </row>
    <row r="208" spans="1:18" x14ac:dyDescent="0.2">
      <c r="A208" s="238"/>
      <c r="B208" s="90" t="s">
        <v>632</v>
      </c>
      <c r="C208" s="276">
        <f>TrialBalance!C208</f>
        <v>0</v>
      </c>
      <c r="D208" s="281"/>
      <c r="E208" s="281"/>
      <c r="F208" s="79">
        <f t="shared" si="37"/>
        <v>0</v>
      </c>
      <c r="G208" s="47">
        <f>SUMIF(JournalsC!D$14:D$920,TrialBalanceC!M208,JournalsC!J$14:J$920)+SUMIF(JournalsC!E$14:E$920,TrialBalanceC!M208,JournalsC!J$14:J$920)</f>
        <v>0</v>
      </c>
      <c r="H208" s="288"/>
      <c r="I208" s="256">
        <f t="shared" si="36"/>
        <v>0</v>
      </c>
      <c r="J208" s="91"/>
      <c r="K208" s="48">
        <f t="shared" si="42"/>
        <v>0</v>
      </c>
      <c r="M208" s="140" t="str">
        <f t="shared" si="43"/>
        <v>5550/0070</v>
      </c>
      <c r="N208" s="70"/>
      <c r="P208" s="71"/>
      <c r="Q208" s="51"/>
      <c r="R208" s="31"/>
    </row>
    <row r="209" spans="1:18" x14ac:dyDescent="0.2">
      <c r="A209" s="238"/>
      <c r="B209" s="90" t="s">
        <v>633</v>
      </c>
      <c r="C209" s="276">
        <f>TrialBalance!C209</f>
        <v>0</v>
      </c>
      <c r="D209" s="281"/>
      <c r="E209" s="281"/>
      <c r="F209" s="79">
        <f t="shared" si="37"/>
        <v>0</v>
      </c>
      <c r="G209" s="47">
        <f>SUMIF(JournalsC!D$14:D$920,TrialBalanceC!M209,JournalsC!J$14:J$920)+SUMIF(JournalsC!E$14:E$920,TrialBalanceC!M209,JournalsC!J$14:J$920)</f>
        <v>0</v>
      </c>
      <c r="H209" s="288"/>
      <c r="I209" s="291">
        <f t="shared" si="36"/>
        <v>0</v>
      </c>
      <c r="J209" s="75"/>
      <c r="K209" s="48">
        <f t="shared" si="42"/>
        <v>0</v>
      </c>
      <c r="M209" s="140" t="str">
        <f t="shared" si="43"/>
        <v>5550/0080</v>
      </c>
      <c r="N209" s="70"/>
      <c r="P209" s="71"/>
      <c r="Q209" s="51"/>
      <c r="R209" s="31"/>
    </row>
    <row r="210" spans="1:18" x14ac:dyDescent="0.2">
      <c r="A210" s="238"/>
      <c r="B210" s="90" t="s">
        <v>634</v>
      </c>
      <c r="C210" s="276">
        <f>TrialBalance!C210</f>
        <v>0</v>
      </c>
      <c r="D210" s="274"/>
      <c r="E210" s="281"/>
      <c r="F210" s="79">
        <f t="shared" si="37"/>
        <v>0</v>
      </c>
      <c r="G210" s="47">
        <f>SUMIF(JournalsC!D$14:D$920,TrialBalanceC!M210,JournalsC!J$14:J$920)+SUMIF(JournalsC!E$14:E$920,TrialBalanceC!M210,JournalsC!J$14:J$920)</f>
        <v>0</v>
      </c>
      <c r="H210" s="288"/>
      <c r="I210" s="256">
        <f t="shared" si="36"/>
        <v>0</v>
      </c>
      <c r="J210" s="91"/>
      <c r="K210" s="48">
        <f t="shared" si="42"/>
        <v>0</v>
      </c>
      <c r="M210" s="140" t="str">
        <f t="shared" si="43"/>
        <v>5550/0090</v>
      </c>
      <c r="N210" s="70"/>
      <c r="P210" s="71"/>
      <c r="Q210" s="51"/>
      <c r="R210" s="31"/>
    </row>
    <row r="211" spans="1:18" x14ac:dyDescent="0.2">
      <c r="A211" s="238"/>
      <c r="B211" s="90" t="s">
        <v>655</v>
      </c>
      <c r="C211" s="276">
        <f>TrialBalance!C211</f>
        <v>0</v>
      </c>
      <c r="D211" s="287"/>
      <c r="E211" s="281"/>
      <c r="F211" s="79">
        <f t="shared" si="37"/>
        <v>0</v>
      </c>
      <c r="G211" s="47">
        <f>SUMIF(JournalsC!D$14:D$920,TrialBalanceC!M211,JournalsC!J$14:J$920)+SUMIF(JournalsC!E$14:E$920,TrialBalanceC!M211,JournalsC!J$14:J$920)</f>
        <v>0</v>
      </c>
      <c r="H211" s="288"/>
      <c r="I211" s="291">
        <f t="shared" si="36"/>
        <v>0</v>
      </c>
      <c r="J211" s="75"/>
      <c r="K211" s="48">
        <f t="shared" si="42"/>
        <v>0</v>
      </c>
      <c r="M211" s="140" t="str">
        <f t="shared" si="43"/>
        <v>5550/0100</v>
      </c>
      <c r="N211" s="70"/>
      <c r="P211" s="71"/>
      <c r="Q211" s="51"/>
      <c r="R211" s="31"/>
    </row>
    <row r="212" spans="1:18" x14ac:dyDescent="0.2">
      <c r="A212" s="238"/>
      <c r="B212" s="90" t="s">
        <v>668</v>
      </c>
      <c r="C212" s="276">
        <f>TrialBalance!C212</f>
        <v>0</v>
      </c>
      <c r="D212" s="287"/>
      <c r="E212" s="281"/>
      <c r="F212" s="79">
        <f t="shared" si="37"/>
        <v>0</v>
      </c>
      <c r="G212" s="47">
        <f>SUMIF(JournalsC!D$14:D$920,TrialBalanceC!M212,JournalsC!J$14:J$920)+SUMIF(JournalsC!E$14:E$920,TrialBalanceC!M212,JournalsC!J$14:J$920)</f>
        <v>0</v>
      </c>
      <c r="H212" s="288"/>
      <c r="I212" s="291">
        <f t="shared" si="36"/>
        <v>0</v>
      </c>
      <c r="J212" s="75"/>
      <c r="K212" s="48">
        <f t="shared" si="42"/>
        <v>0</v>
      </c>
      <c r="M212" s="140" t="str">
        <f t="shared" si="43"/>
        <v>5550/0110</v>
      </c>
      <c r="N212" s="70"/>
      <c r="P212" s="71"/>
      <c r="Q212" s="51"/>
      <c r="R212" s="31"/>
    </row>
    <row r="213" spans="1:18" x14ac:dyDescent="0.2">
      <c r="A213" s="238"/>
      <c r="B213" s="90" t="s">
        <v>669</v>
      </c>
      <c r="C213" s="276">
        <f>TrialBalance!C213</f>
        <v>0</v>
      </c>
      <c r="D213" s="287"/>
      <c r="E213" s="281"/>
      <c r="F213" s="79">
        <f t="shared" si="37"/>
        <v>0</v>
      </c>
      <c r="G213" s="47">
        <f>SUMIF(JournalsC!D$14:D$920,TrialBalanceC!M213,JournalsC!J$14:J$920)+SUMIF(JournalsC!E$14:E$920,TrialBalanceC!M213,JournalsC!J$14:J$920)</f>
        <v>0</v>
      </c>
      <c r="H213" s="288"/>
      <c r="I213" s="291">
        <f t="shared" si="36"/>
        <v>0</v>
      </c>
      <c r="J213" s="75"/>
      <c r="K213" s="48">
        <f t="shared" si="42"/>
        <v>0</v>
      </c>
      <c r="M213" s="140" t="str">
        <f t="shared" si="43"/>
        <v>5550/0120</v>
      </c>
      <c r="N213" s="70"/>
      <c r="P213" s="71"/>
      <c r="Q213" s="51"/>
      <c r="R213" s="31"/>
    </row>
    <row r="214" spans="1:18" x14ac:dyDescent="0.2">
      <c r="A214" s="238"/>
      <c r="B214" s="90" t="s">
        <v>670</v>
      </c>
      <c r="C214" s="276">
        <f>TrialBalance!C214</f>
        <v>0</v>
      </c>
      <c r="D214" s="287"/>
      <c r="E214" s="281"/>
      <c r="F214" s="79">
        <f t="shared" si="37"/>
        <v>0</v>
      </c>
      <c r="G214" s="47">
        <f>SUMIF(JournalsC!D$14:D$920,TrialBalanceC!M214,JournalsC!J$14:J$920)+SUMIF(JournalsC!E$14:E$920,TrialBalanceC!M214,JournalsC!J$14:J$920)</f>
        <v>0</v>
      </c>
      <c r="H214" s="288"/>
      <c r="I214" s="291">
        <f t="shared" si="36"/>
        <v>0</v>
      </c>
      <c r="J214" s="75"/>
      <c r="K214" s="48">
        <f t="shared" si="42"/>
        <v>0</v>
      </c>
      <c r="M214" s="140" t="str">
        <f t="shared" si="43"/>
        <v>5550/0130</v>
      </c>
      <c r="N214" s="70"/>
      <c r="P214" s="71"/>
      <c r="Q214" s="51"/>
      <c r="R214" s="31"/>
    </row>
    <row r="215" spans="1:18" x14ac:dyDescent="0.2">
      <c r="A215" s="238"/>
      <c r="B215" s="90" t="s">
        <v>671</v>
      </c>
      <c r="C215" s="276">
        <f>TrialBalance!C215</f>
        <v>0</v>
      </c>
      <c r="D215" s="283"/>
      <c r="E215" s="281"/>
      <c r="F215" s="79">
        <f t="shared" si="37"/>
        <v>0</v>
      </c>
      <c r="G215" s="47">
        <f>SUMIF(JournalsC!D$14:D$920,TrialBalanceC!M215,JournalsC!J$14:J$920)+SUMIF(JournalsC!E$14:E$920,TrialBalanceC!M215,JournalsC!J$14:J$920)</f>
        <v>0</v>
      </c>
      <c r="H215" s="288"/>
      <c r="I215" s="291">
        <f t="shared" si="36"/>
        <v>0</v>
      </c>
      <c r="J215" s="75"/>
      <c r="K215" s="48">
        <f t="shared" si="42"/>
        <v>0</v>
      </c>
      <c r="M215" s="140" t="str">
        <f t="shared" si="43"/>
        <v>5550/0140</v>
      </c>
      <c r="N215" s="70"/>
      <c r="P215" s="71"/>
      <c r="Q215" s="51"/>
      <c r="R215" s="31"/>
    </row>
    <row r="216" spans="1:18" x14ac:dyDescent="0.2">
      <c r="A216" s="238"/>
      <c r="B216" s="90" t="s">
        <v>672</v>
      </c>
      <c r="C216" s="276">
        <f>TrialBalance!C216</f>
        <v>0</v>
      </c>
      <c r="D216" s="282"/>
      <c r="E216" s="281"/>
      <c r="F216" s="79">
        <f>K216</f>
        <v>0</v>
      </c>
      <c r="G216" s="47">
        <f>SUMIF(JournalsC!D$14:D$920,TrialBalanceC!M216,JournalsC!J$14:J$920)+SUMIF(JournalsC!E$14:E$920,TrialBalanceC!M216,JournalsC!J$14:J$920)</f>
        <v>0</v>
      </c>
      <c r="H216" s="288"/>
      <c r="I216" s="291">
        <f t="shared" si="36"/>
        <v>0</v>
      </c>
      <c r="J216" s="75"/>
      <c r="K216" s="48">
        <f t="shared" si="42"/>
        <v>0</v>
      </c>
      <c r="M216" s="140" t="str">
        <f t="shared" si="43"/>
        <v>5550/0150</v>
      </c>
      <c r="N216" s="70"/>
      <c r="P216" s="71"/>
      <c r="Q216" s="51"/>
      <c r="R216" s="31"/>
    </row>
    <row r="217" spans="1:18" x14ac:dyDescent="0.2">
      <c r="A217" s="238"/>
      <c r="B217" s="90" t="s">
        <v>673</v>
      </c>
      <c r="C217" s="276">
        <f>TrialBalance!C217</f>
        <v>0</v>
      </c>
      <c r="D217" s="272"/>
      <c r="E217" s="281"/>
      <c r="F217" s="79">
        <f>K217</f>
        <v>0</v>
      </c>
      <c r="G217" s="47">
        <f>SUMIF(JournalsC!D$14:D$920,TrialBalanceC!M217,JournalsC!J$14:J$920)+SUMIF(JournalsC!E$14:E$920,TrialBalanceC!M217,JournalsC!J$14:J$920)</f>
        <v>0</v>
      </c>
      <c r="H217" s="288"/>
      <c r="I217" s="291">
        <f t="shared" si="36"/>
        <v>0</v>
      </c>
      <c r="J217" s="75"/>
      <c r="K217" s="48">
        <f t="shared" si="42"/>
        <v>0</v>
      </c>
      <c r="M217" s="140" t="str">
        <f t="shared" si="43"/>
        <v>5550/0160</v>
      </c>
      <c r="N217" s="70"/>
      <c r="P217" s="71"/>
      <c r="Q217" s="51"/>
      <c r="R217" s="31"/>
    </row>
    <row r="218" spans="1:18" x14ac:dyDescent="0.2">
      <c r="A218" s="238"/>
      <c r="B218" s="90" t="s">
        <v>674</v>
      </c>
      <c r="C218" s="276">
        <f>TrialBalance!C218</f>
        <v>0</v>
      </c>
      <c r="D218" s="274"/>
      <c r="E218" s="281"/>
      <c r="F218" s="79">
        <f>K218</f>
        <v>0</v>
      </c>
      <c r="G218" s="47">
        <f>SUMIF(JournalsC!D$14:D$920,TrialBalanceC!M218,JournalsC!J$14:J$920)+SUMIF(JournalsC!E$14:E$920,TrialBalanceC!M218,JournalsC!J$14:J$920)</f>
        <v>0</v>
      </c>
      <c r="H218" s="288"/>
      <c r="I218" s="291">
        <f t="shared" si="36"/>
        <v>0</v>
      </c>
      <c r="J218" s="75"/>
      <c r="K218" s="48">
        <f t="shared" si="42"/>
        <v>0</v>
      </c>
      <c r="M218" s="140" t="str">
        <f t="shared" si="43"/>
        <v>5550/0170</v>
      </c>
      <c r="N218" s="70"/>
      <c r="P218" s="71"/>
      <c r="Q218" s="51"/>
      <c r="R218" s="31"/>
    </row>
    <row r="219" spans="1:18" x14ac:dyDescent="0.2">
      <c r="A219" s="238"/>
      <c r="B219" s="54" t="s">
        <v>145</v>
      </c>
      <c r="C219" s="240" t="s">
        <v>194</v>
      </c>
      <c r="D219" s="282"/>
      <c r="E219" s="281"/>
      <c r="F219" s="79"/>
      <c r="G219" s="47">
        <f>SUMIF(JournalsC!D$14:D$920,TrialBalanceC!M219,JournalsC!J$14:J$920)+SUMIF(JournalsC!E$14:E$920,TrialBalanceC!M219,JournalsC!J$14:J$920)</f>
        <v>0</v>
      </c>
      <c r="H219" s="288"/>
      <c r="I219" s="291">
        <f t="shared" si="36"/>
        <v>0</v>
      </c>
      <c r="J219" s="75"/>
      <c r="K219" s="48">
        <f t="shared" si="42"/>
        <v>0</v>
      </c>
      <c r="M219" s="140" t="str">
        <f t="shared" si="43"/>
        <v>5700/000DEFERRED TAX</v>
      </c>
      <c r="N219" s="70"/>
      <c r="P219" s="71"/>
      <c r="Q219" s="51"/>
      <c r="R219" s="31"/>
    </row>
    <row r="220" spans="1:18" x14ac:dyDescent="0.2">
      <c r="A220" s="238"/>
      <c r="B220" s="54" t="s">
        <v>146</v>
      </c>
      <c r="C220" s="242" t="s">
        <v>533</v>
      </c>
      <c r="D220" s="284"/>
      <c r="E220" s="281"/>
      <c r="F220" s="79">
        <f>K220+K222+K224+K226</f>
        <v>0</v>
      </c>
      <c r="G220" s="47">
        <f>SUMIF(JournalsC!D$14:D$920,TrialBalanceC!M220,JournalsC!J$14:J$920)+SUMIF(JournalsC!E$14:E$920,TrialBalanceC!M220,JournalsC!J$14:J$920)</f>
        <v>0</v>
      </c>
      <c r="H220" s="288"/>
      <c r="I220" s="291">
        <f t="shared" si="36"/>
        <v>0</v>
      </c>
      <c r="J220" s="75"/>
      <c r="K220" s="48">
        <f t="shared" si="42"/>
        <v>0</v>
      </c>
      <c r="M220" s="140" t="str">
        <f t="shared" si="43"/>
        <v>5700/010Deferred tax balance  depreciation b/fwd</v>
      </c>
      <c r="N220" s="70"/>
      <c r="P220" s="71"/>
      <c r="Q220" s="51"/>
      <c r="R220" s="31"/>
    </row>
    <row r="221" spans="1:18" x14ac:dyDescent="0.2">
      <c r="A221" s="238"/>
      <c r="B221" s="90" t="s">
        <v>635</v>
      </c>
      <c r="C221" s="242" t="s">
        <v>534</v>
      </c>
      <c r="D221" s="284"/>
      <c r="E221" s="281"/>
      <c r="F221" s="79">
        <f>K221+K223+K225+K227</f>
        <v>0</v>
      </c>
      <c r="G221" s="47">
        <f>SUMIF(JournalsC!D$14:D$920,TrialBalanceC!M221,JournalsC!J$14:J$920)+SUMIF(JournalsC!E$14:E$920,TrialBalanceC!M221,JournalsC!J$14:J$920)</f>
        <v>0</v>
      </c>
      <c r="H221" s="288"/>
      <c r="I221" s="291">
        <f t="shared" si="36"/>
        <v>0</v>
      </c>
      <c r="J221" s="75"/>
      <c r="K221" s="48">
        <f t="shared" si="42"/>
        <v>0</v>
      </c>
      <c r="M221" s="140" t="str">
        <f t="shared" si="43"/>
        <v>5700/020Deferred tax balance  tax loss b/fwd</v>
      </c>
      <c r="N221" s="70"/>
      <c r="P221" s="71"/>
      <c r="Q221" s="51"/>
      <c r="R221" s="31"/>
    </row>
    <row r="222" spans="1:18" x14ac:dyDescent="0.2">
      <c r="A222" s="238"/>
      <c r="B222" s="90" t="s">
        <v>1096</v>
      </c>
      <c r="C222" s="242" t="s">
        <v>1097</v>
      </c>
      <c r="D222" s="284"/>
      <c r="E222" s="281"/>
      <c r="F222" s="79"/>
      <c r="G222" s="47">
        <f>SUMIF(JournalsC!D$14:D$920,TrialBalanceC!M222,JournalsC!J$14:J$920)+SUMIF(JournalsC!E$14:E$920,TrialBalanceC!M222,JournalsC!J$14:J$920)</f>
        <v>0</v>
      </c>
      <c r="H222" s="288"/>
      <c r="I222" s="291">
        <f t="shared" ref="I222:I223" si="44">ROUND(D222-E222+G222+F222,0)</f>
        <v>0</v>
      </c>
      <c r="J222" s="75"/>
      <c r="K222" s="48">
        <f t="shared" ref="K222:K223" si="45">ROUND(SUM(A222),0)</f>
        <v>0</v>
      </c>
      <c r="M222" s="140" t="str">
        <f t="shared" ref="M222:M223" si="46">CONCATENATE(B222,C222)</f>
        <v>5700/021Opening balance depreciation tax rate change</v>
      </c>
      <c r="N222" s="70"/>
      <c r="P222" s="71"/>
      <c r="Q222" s="51"/>
      <c r="R222" s="31"/>
    </row>
    <row r="223" spans="1:18" x14ac:dyDescent="0.2">
      <c r="A223" s="238"/>
      <c r="B223" s="90" t="s">
        <v>1098</v>
      </c>
      <c r="C223" s="242" t="s">
        <v>1099</v>
      </c>
      <c r="D223" s="284"/>
      <c r="E223" s="281"/>
      <c r="F223" s="79"/>
      <c r="G223" s="47">
        <f>SUMIF(JournalsC!D$14:D$920,TrialBalanceC!M223,JournalsC!J$14:J$920)+SUMIF(JournalsC!E$14:E$920,TrialBalanceC!M223,JournalsC!J$14:J$920)</f>
        <v>0</v>
      </c>
      <c r="H223" s="288"/>
      <c r="I223" s="291">
        <f t="shared" si="44"/>
        <v>0</v>
      </c>
      <c r="J223" s="75"/>
      <c r="K223" s="48">
        <f t="shared" si="45"/>
        <v>0</v>
      </c>
      <c r="M223" s="140" t="str">
        <f t="shared" si="46"/>
        <v>5700/022Opening balance tax loss tax rate change</v>
      </c>
      <c r="N223" s="70"/>
      <c r="P223" s="71"/>
      <c r="Q223" s="51"/>
      <c r="R223" s="31"/>
    </row>
    <row r="224" spans="1:18" x14ac:dyDescent="0.2">
      <c r="A224" s="238"/>
      <c r="B224" s="90" t="s">
        <v>636</v>
      </c>
      <c r="C224" s="240" t="s">
        <v>147</v>
      </c>
      <c r="D224" s="282"/>
      <c r="E224" s="281"/>
      <c r="F224" s="79"/>
      <c r="G224" s="47">
        <f>SUMIF(JournalsC!D$14:D$920,TrialBalanceC!M224,JournalsC!J$14:J$920)+SUMIF(JournalsC!E$14:E$920,TrialBalanceC!M224,JournalsC!J$14:J$920)</f>
        <v>0</v>
      </c>
      <c r="H224" s="288"/>
      <c r="I224" s="291">
        <f t="shared" si="36"/>
        <v>0</v>
      </c>
      <c r="J224" s="75"/>
      <c r="K224" s="48">
        <f t="shared" si="42"/>
        <v>0</v>
      </c>
      <c r="M224" s="140" t="str">
        <f t="shared" si="43"/>
        <v>5700/030Deferred tax on depreciation for year</v>
      </c>
      <c r="N224" s="70"/>
      <c r="P224" s="71"/>
      <c r="Q224" s="51"/>
      <c r="R224" s="31"/>
    </row>
    <row r="225" spans="1:18" x14ac:dyDescent="0.2">
      <c r="A225" s="238"/>
      <c r="B225" s="90" t="s">
        <v>637</v>
      </c>
      <c r="C225" s="240" t="s">
        <v>148</v>
      </c>
      <c r="D225" s="282"/>
      <c r="E225" s="281"/>
      <c r="F225" s="79"/>
      <c r="G225" s="47">
        <f>SUMIF(JournalsC!D$14:D$920,TrialBalanceC!M225,JournalsC!J$14:J$920)+SUMIF(JournalsC!E$14:E$920,TrialBalanceC!M225,JournalsC!J$14:J$920)</f>
        <v>0</v>
      </c>
      <c r="H225" s="288"/>
      <c r="I225" s="291">
        <f t="shared" si="36"/>
        <v>0</v>
      </c>
      <c r="J225" s="75"/>
      <c r="K225" s="48">
        <f t="shared" si="42"/>
        <v>0</v>
      </c>
      <c r="M225" s="140" t="str">
        <f t="shared" si="43"/>
        <v>5700/040Deferred tax on tax loss for year</v>
      </c>
      <c r="N225" s="70"/>
      <c r="P225" s="71"/>
      <c r="Q225" s="51"/>
      <c r="R225" s="31"/>
    </row>
    <row r="226" spans="1:18" x14ac:dyDescent="0.2">
      <c r="A226" s="238"/>
      <c r="B226" s="90" t="s">
        <v>638</v>
      </c>
      <c r="C226" s="242" t="s">
        <v>617</v>
      </c>
      <c r="D226" s="284"/>
      <c r="E226" s="281"/>
      <c r="F226" s="79"/>
      <c r="G226" s="47">
        <f>SUMIF(JournalsC!D$14:D$920,TrialBalanceC!M226,JournalsC!J$14:J$920)+SUMIF(JournalsC!E$14:E$920,TrialBalanceC!M226,JournalsC!J$14:J$920)</f>
        <v>0</v>
      </c>
      <c r="H226" s="288"/>
      <c r="I226" s="291">
        <f t="shared" si="36"/>
        <v>0</v>
      </c>
      <c r="J226" s="75"/>
      <c r="K226" s="48">
        <f t="shared" si="42"/>
        <v>0</v>
      </c>
      <c r="M226" s="140" t="str">
        <f t="shared" si="43"/>
        <v>5700/050Def tax adj  depreciation previous year</v>
      </c>
      <c r="N226" s="70"/>
      <c r="P226" s="71"/>
      <c r="Q226" s="51"/>
      <c r="R226" s="31"/>
    </row>
    <row r="227" spans="1:18" x14ac:dyDescent="0.2">
      <c r="A227" s="238"/>
      <c r="B227" s="90" t="s">
        <v>639</v>
      </c>
      <c r="C227" s="242" t="s">
        <v>618</v>
      </c>
      <c r="D227" s="284"/>
      <c r="E227" s="281"/>
      <c r="F227" s="79"/>
      <c r="G227" s="47">
        <f>SUMIF(JournalsC!D$14:D$920,TrialBalanceC!M227,JournalsC!J$14:J$920)+SUMIF(JournalsC!E$14:E$920,TrialBalanceC!M227,JournalsC!J$14:J$920)</f>
        <v>0</v>
      </c>
      <c r="H227" s="288"/>
      <c r="I227" s="291">
        <f t="shared" si="36"/>
        <v>0</v>
      </c>
      <c r="J227" s="75"/>
      <c r="K227" s="48">
        <f t="shared" si="42"/>
        <v>0</v>
      </c>
      <c r="M227" s="140" t="str">
        <f t="shared" si="43"/>
        <v>5700/060Def tax adj tax loss previous year</v>
      </c>
      <c r="N227" s="70"/>
      <c r="P227" s="71"/>
      <c r="Q227" s="51"/>
      <c r="R227" s="31"/>
    </row>
    <row r="228" spans="1:18" x14ac:dyDescent="0.2">
      <c r="A228" s="238"/>
      <c r="B228" s="54" t="s">
        <v>149</v>
      </c>
      <c r="C228" s="239" t="s">
        <v>1129</v>
      </c>
      <c r="D228" s="283"/>
      <c r="E228" s="281"/>
      <c r="F228" s="79"/>
      <c r="G228" s="47">
        <f>SUMIF(JournalsC!D$14:D$920,TrialBalanceC!M228,JournalsC!J$14:J$920)+SUMIF(JournalsC!E$14:E$920,TrialBalanceC!M228,JournalsC!J$14:J$920)</f>
        <v>0</v>
      </c>
      <c r="H228" s="288"/>
      <c r="I228" s="291">
        <f t="shared" si="36"/>
        <v>0</v>
      </c>
      <c r="J228" s="75"/>
      <c r="K228" s="48">
        <f t="shared" si="42"/>
        <v>0</v>
      </c>
      <c r="M228" s="140" t="str">
        <f t="shared" si="43"/>
        <v>6100/000PROPERTY - COST</v>
      </c>
      <c r="N228" s="70"/>
      <c r="P228" s="71"/>
      <c r="Q228" s="51"/>
      <c r="R228" s="31"/>
    </row>
    <row r="229" spans="1:18" x14ac:dyDescent="0.2">
      <c r="A229" s="238"/>
      <c r="B229" s="54" t="s">
        <v>150</v>
      </c>
      <c r="C229" s="242" t="s">
        <v>1124</v>
      </c>
      <c r="D229" s="282"/>
      <c r="E229" s="281"/>
      <c r="F229" s="79">
        <f>SUM(K229:K233)</f>
        <v>0</v>
      </c>
      <c r="G229" s="47">
        <f>SUMIF(JournalsC!D$14:D$920,TrialBalanceC!M229,JournalsC!J$14:J$920)+SUMIF(JournalsC!E$14:E$920,TrialBalanceC!M229,JournalsC!J$14:J$920)</f>
        <v>0</v>
      </c>
      <c r="H229" s="288"/>
      <c r="I229" s="291">
        <f t="shared" si="36"/>
        <v>0</v>
      </c>
      <c r="J229" s="75"/>
      <c r="K229" s="48">
        <f t="shared" si="42"/>
        <v>0</v>
      </c>
      <c r="M229" s="140" t="str">
        <f t="shared" si="43"/>
        <v>6100/001Property - cost b/fwd</v>
      </c>
      <c r="N229" s="70"/>
      <c r="P229" s="71"/>
      <c r="Q229" s="51"/>
      <c r="R229" s="31"/>
    </row>
    <row r="230" spans="1:18" x14ac:dyDescent="0.2">
      <c r="A230" s="238"/>
      <c r="B230" s="54" t="s">
        <v>151</v>
      </c>
      <c r="C230" s="242" t="s">
        <v>1125</v>
      </c>
      <c r="D230" s="282"/>
      <c r="E230" s="281"/>
      <c r="F230" s="79"/>
      <c r="G230" s="47">
        <f>SUMIF(JournalsC!D$14:D$920,TrialBalanceC!M230,JournalsC!J$14:J$920)+SUMIF(JournalsC!E$14:E$920,TrialBalanceC!M230,JournalsC!J$14:J$920)</f>
        <v>0</v>
      </c>
      <c r="H230" s="288"/>
      <c r="I230" s="291">
        <f t="shared" si="36"/>
        <v>0</v>
      </c>
      <c r="J230" s="75"/>
      <c r="K230" s="48">
        <f t="shared" si="42"/>
        <v>0</v>
      </c>
      <c r="M230" s="140" t="str">
        <f t="shared" si="43"/>
        <v>6100/002Property - additions</v>
      </c>
      <c r="N230" s="70"/>
      <c r="P230" s="71"/>
      <c r="Q230" s="51"/>
      <c r="R230" s="31"/>
    </row>
    <row r="231" spans="1:18" x14ac:dyDescent="0.2">
      <c r="A231" s="238"/>
      <c r="B231" s="54" t="s">
        <v>152</v>
      </c>
      <c r="C231" s="242" t="s">
        <v>1126</v>
      </c>
      <c r="D231" s="282"/>
      <c r="E231" s="281"/>
      <c r="F231" s="79"/>
      <c r="G231" s="47">
        <f>SUMIF(JournalsC!D$14:D$920,TrialBalanceC!M231,JournalsC!J$14:J$920)+SUMIF(JournalsC!E$14:E$920,TrialBalanceC!M231,JournalsC!J$14:J$920)</f>
        <v>0</v>
      </c>
      <c r="H231" s="288"/>
      <c r="I231" s="291">
        <f t="shared" si="36"/>
        <v>0</v>
      </c>
      <c r="J231" s="75"/>
      <c r="K231" s="48">
        <f t="shared" si="42"/>
        <v>0</v>
      </c>
      <c r="M231" s="140" t="str">
        <f t="shared" si="43"/>
        <v>6100/003Property - cost of sales</v>
      </c>
      <c r="N231" s="70"/>
      <c r="P231" s="71"/>
      <c r="Q231" s="51"/>
      <c r="R231" s="31"/>
    </row>
    <row r="232" spans="1:18" x14ac:dyDescent="0.2">
      <c r="A232" s="238"/>
      <c r="B232" s="90" t="s">
        <v>994</v>
      </c>
      <c r="C232" s="242" t="s">
        <v>1127</v>
      </c>
      <c r="D232" s="282"/>
      <c r="E232" s="281"/>
      <c r="F232" s="79"/>
      <c r="G232" s="47">
        <f>SUMIF(JournalsC!D$14:D$920,TrialBalanceC!M232,JournalsC!J$14:J$920)+SUMIF(JournalsC!E$14:E$920,TrialBalanceC!M232,JournalsC!J$14:J$920)</f>
        <v>0</v>
      </c>
      <c r="H232" s="288"/>
      <c r="I232" s="291">
        <f t="shared" ref="I232" si="47">ROUND(D232-E232+G232+F232,0)</f>
        <v>0</v>
      </c>
      <c r="J232" s="75"/>
      <c r="K232" s="48">
        <f t="shared" ref="K232" si="48">ROUND(SUM(A232),0)</f>
        <v>0</v>
      </c>
      <c r="M232" s="140" t="str">
        <f t="shared" ref="M232" si="49">CONCATENATE(B232,C232)</f>
        <v>6100/004Property - transfer to investment property</v>
      </c>
      <c r="N232" s="70"/>
      <c r="P232" s="71"/>
      <c r="Q232" s="51"/>
      <c r="R232" s="31"/>
    </row>
    <row r="233" spans="1:18" x14ac:dyDescent="0.2">
      <c r="A233" s="238"/>
      <c r="B233" s="90" t="s">
        <v>1082</v>
      </c>
      <c r="C233" s="242" t="s">
        <v>1128</v>
      </c>
      <c r="D233" s="282"/>
      <c r="E233" s="281"/>
      <c r="F233" s="79"/>
      <c r="G233" s="47">
        <f>SUMIF(JournalsC!D$14:D$920,TrialBalanceC!M233,JournalsC!J$14:J$920)+SUMIF(JournalsC!E$14:E$920,TrialBalanceC!M233,JournalsC!J$14:J$920)</f>
        <v>0</v>
      </c>
      <c r="H233" s="288"/>
      <c r="I233" s="291">
        <f t="shared" ref="I233" si="50">ROUND(D233-E233+G233+F233,0)</f>
        <v>0</v>
      </c>
      <c r="J233" s="75"/>
      <c r="K233" s="48">
        <f t="shared" ref="K233" si="51">ROUND(SUM(A233),0)</f>
        <v>0</v>
      </c>
      <c r="M233" s="140" t="str">
        <f t="shared" ref="M233" si="52">CONCATENATE(B233,C233)</f>
        <v>6100/005Property - transfer from investment property</v>
      </c>
      <c r="N233" s="70"/>
      <c r="P233" s="71"/>
      <c r="Q233" s="51"/>
      <c r="R233" s="31"/>
    </row>
    <row r="234" spans="1:18" x14ac:dyDescent="0.2">
      <c r="A234" s="238"/>
      <c r="B234" s="54" t="s">
        <v>284</v>
      </c>
      <c r="C234" s="239" t="s">
        <v>1130</v>
      </c>
      <c r="D234" s="283"/>
      <c r="E234" s="281"/>
      <c r="F234" s="79"/>
      <c r="G234" s="47">
        <f>SUMIF(JournalsC!D$14:D$920,TrialBalanceC!M234,JournalsC!J$14:J$920)+SUMIF(JournalsC!E$14:E$920,TrialBalanceC!M234,JournalsC!J$14:J$920)</f>
        <v>0</v>
      </c>
      <c r="H234" s="288"/>
      <c r="I234" s="291">
        <f t="shared" si="36"/>
        <v>0</v>
      </c>
      <c r="J234" s="75"/>
      <c r="K234" s="48">
        <f t="shared" si="42"/>
        <v>0</v>
      </c>
      <c r="M234" s="140" t="str">
        <f t="shared" si="43"/>
        <v>6100/020PROPERTY - ACC DEPR</v>
      </c>
      <c r="N234" s="70"/>
      <c r="P234" s="71"/>
      <c r="Q234" s="51"/>
      <c r="R234" s="31"/>
    </row>
    <row r="235" spans="1:18" x14ac:dyDescent="0.2">
      <c r="A235" s="238"/>
      <c r="B235" s="54" t="s">
        <v>285</v>
      </c>
      <c r="C235" s="242" t="s">
        <v>1131</v>
      </c>
      <c r="D235" s="282"/>
      <c r="E235" s="281"/>
      <c r="F235" s="79">
        <f>SUM(K235:K238)</f>
        <v>0</v>
      </c>
      <c r="G235" s="47">
        <f>SUMIF(JournalsC!D$14:D$920,TrialBalanceC!M235,JournalsC!J$14:J$920)+SUMIF(JournalsC!E$14:E$920,TrialBalanceC!M235,JournalsC!J$14:J$920)</f>
        <v>0</v>
      </c>
      <c r="H235" s="288"/>
      <c r="I235" s="291">
        <f t="shared" si="36"/>
        <v>0</v>
      </c>
      <c r="J235" s="75"/>
      <c r="K235" s="48">
        <f t="shared" si="42"/>
        <v>0</v>
      </c>
      <c r="M235" s="140" t="str">
        <f t="shared" si="43"/>
        <v>6100/021Property - acc depr b/fwd</v>
      </c>
      <c r="N235" s="70"/>
      <c r="P235" s="71"/>
      <c r="Q235" s="51"/>
      <c r="R235" s="31"/>
    </row>
    <row r="236" spans="1:18" x14ac:dyDescent="0.2">
      <c r="A236" s="238"/>
      <c r="B236" s="54" t="s">
        <v>286</v>
      </c>
      <c r="C236" s="242" t="s">
        <v>1132</v>
      </c>
      <c r="D236" s="282"/>
      <c r="E236" s="281"/>
      <c r="F236" s="79"/>
      <c r="G236" s="47">
        <f>SUMIF(JournalsC!D$14:D$920,TrialBalanceC!M236,JournalsC!J$14:J$920)+SUMIF(JournalsC!E$14:E$920,TrialBalanceC!M236,JournalsC!J$14:J$920)</f>
        <v>0</v>
      </c>
      <c r="H236" s="288"/>
      <c r="I236" s="291">
        <f t="shared" si="36"/>
        <v>0</v>
      </c>
      <c r="J236" s="75"/>
      <c r="K236" s="48">
        <f t="shared" si="42"/>
        <v>0</v>
      </c>
      <c r="M236" s="140" t="str">
        <f t="shared" si="43"/>
        <v>6100/022Property - depr this year</v>
      </c>
      <c r="N236" s="70"/>
      <c r="P236" s="71"/>
      <c r="Q236" s="51"/>
      <c r="R236" s="31"/>
    </row>
    <row r="237" spans="1:18" x14ac:dyDescent="0.2">
      <c r="A237" s="238"/>
      <c r="B237" s="54" t="s">
        <v>288</v>
      </c>
      <c r="C237" s="242" t="s">
        <v>1133</v>
      </c>
      <c r="D237" s="282"/>
      <c r="E237" s="281"/>
      <c r="F237" s="79"/>
      <c r="G237" s="47">
        <f>SUMIF(JournalsC!D$14:D$920,TrialBalanceC!M237,JournalsC!J$14:J$920)+SUMIF(JournalsC!E$14:E$920,TrialBalanceC!M237,JournalsC!J$14:J$920)</f>
        <v>0</v>
      </c>
      <c r="H237" s="288"/>
      <c r="I237" s="291">
        <f t="shared" si="36"/>
        <v>0</v>
      </c>
      <c r="J237" s="75"/>
      <c r="K237" s="48">
        <f t="shared" si="42"/>
        <v>0</v>
      </c>
      <c r="M237" s="140" t="str">
        <f t="shared" si="43"/>
        <v>6100/023Property - acc depr on sales</v>
      </c>
      <c r="N237" s="70"/>
      <c r="P237" s="71"/>
      <c r="Q237" s="51"/>
      <c r="R237" s="31"/>
    </row>
    <row r="238" spans="1:18" x14ac:dyDescent="0.2">
      <c r="A238" s="238"/>
      <c r="B238" s="90" t="s">
        <v>1072</v>
      </c>
      <c r="C238" s="242" t="s">
        <v>1134</v>
      </c>
      <c r="D238" s="282"/>
      <c r="E238" s="281"/>
      <c r="F238" s="79"/>
      <c r="G238" s="47">
        <f>SUMIF(JournalsC!D$14:D$920,TrialBalanceC!M238,JournalsC!J$14:J$920)+SUMIF(JournalsC!E$14:E$920,TrialBalanceC!M238,JournalsC!J$14:J$920)</f>
        <v>0</v>
      </c>
      <c r="H238" s="288"/>
      <c r="I238" s="291">
        <f t="shared" ref="I238" si="53">ROUND(D238-E238+G238+F238,0)</f>
        <v>0</v>
      </c>
      <c r="J238" s="75"/>
      <c r="K238" s="48">
        <f t="shared" ref="K238" si="54">ROUND(SUM(A238),0)</f>
        <v>0</v>
      </c>
      <c r="M238" s="140" t="str">
        <f t="shared" ref="M238" si="55">CONCATENATE(B238,C238)</f>
        <v>6100/024Property - recoupment of depr</v>
      </c>
      <c r="N238" s="70"/>
      <c r="P238" s="71"/>
      <c r="Q238" s="51"/>
      <c r="R238" s="31"/>
    </row>
    <row r="239" spans="1:18" x14ac:dyDescent="0.2">
      <c r="A239" s="238"/>
      <c r="B239" s="90" t="s">
        <v>696</v>
      </c>
      <c r="C239" s="239" t="s">
        <v>989</v>
      </c>
      <c r="D239" s="282"/>
      <c r="E239" s="281"/>
      <c r="F239" s="79"/>
      <c r="G239" s="47">
        <f>SUMIF(JournalsC!D$14:D$920,TrialBalanceC!M239,JournalsC!J$14:J$920)+SUMIF(JournalsC!E$14:E$920,TrialBalanceC!M239,JournalsC!J$14:J$920)</f>
        <v>0</v>
      </c>
      <c r="H239" s="288"/>
      <c r="I239" s="291">
        <f t="shared" ref="I239:I243" si="56">ROUND(D239-E239+G239+F239,0)</f>
        <v>0</v>
      </c>
      <c r="J239" s="75"/>
      <c r="K239" s="48">
        <f t="shared" ref="K239:K243" si="57">ROUND(SUM(A239),0)</f>
        <v>0</v>
      </c>
      <c r="M239" s="140" t="str">
        <f t="shared" ref="M239:M243" si="58">CONCATENATE(B239,C239)</f>
        <v>6100/030INVESTMENT PROPERTY - COST</v>
      </c>
      <c r="N239" s="70"/>
      <c r="P239" s="71"/>
      <c r="Q239" s="51"/>
      <c r="R239" s="31"/>
    </row>
    <row r="240" spans="1:18" x14ac:dyDescent="0.2">
      <c r="A240" s="238"/>
      <c r="B240" s="90" t="s">
        <v>697</v>
      </c>
      <c r="C240" s="242" t="s">
        <v>990</v>
      </c>
      <c r="D240" s="282"/>
      <c r="E240" s="281"/>
      <c r="F240" s="79">
        <f>SUM(K240:K244)</f>
        <v>0</v>
      </c>
      <c r="G240" s="47">
        <f>SUMIF(JournalsC!D$14:D$920,TrialBalanceC!M240,JournalsC!J$14:J$920)+SUMIF(JournalsC!E$14:E$920,TrialBalanceC!M240,JournalsC!J$14:J$920)</f>
        <v>0</v>
      </c>
      <c r="H240" s="288"/>
      <c r="I240" s="291">
        <f t="shared" si="56"/>
        <v>0</v>
      </c>
      <c r="J240" s="75"/>
      <c r="K240" s="48">
        <f t="shared" si="57"/>
        <v>0</v>
      </c>
      <c r="M240" s="140" t="str">
        <f t="shared" si="58"/>
        <v>6100/031Investment property - cost b/fwd</v>
      </c>
      <c r="N240" s="70"/>
      <c r="P240" s="71"/>
      <c r="Q240" s="51"/>
      <c r="R240" s="31"/>
    </row>
    <row r="241" spans="1:18" x14ac:dyDescent="0.2">
      <c r="A241" s="238"/>
      <c r="B241" s="90" t="s">
        <v>698</v>
      </c>
      <c r="C241" s="242" t="s">
        <v>991</v>
      </c>
      <c r="D241" s="282"/>
      <c r="E241" s="281"/>
      <c r="F241" s="79"/>
      <c r="G241" s="47">
        <f>SUMIF(JournalsC!D$14:D$920,TrialBalanceC!M241,JournalsC!J$14:J$920)+SUMIF(JournalsC!E$14:E$920,TrialBalanceC!M241,JournalsC!J$14:J$920)</f>
        <v>0</v>
      </c>
      <c r="H241" s="288"/>
      <c r="I241" s="291">
        <f t="shared" si="56"/>
        <v>0</v>
      </c>
      <c r="J241" s="75"/>
      <c r="K241" s="48">
        <f t="shared" si="57"/>
        <v>0</v>
      </c>
      <c r="M241" s="140" t="str">
        <f t="shared" si="58"/>
        <v>6100/032Investment property - additions</v>
      </c>
      <c r="N241" s="70"/>
      <c r="P241" s="71"/>
      <c r="Q241" s="51"/>
      <c r="R241" s="31"/>
    </row>
    <row r="242" spans="1:18" x14ac:dyDescent="0.2">
      <c r="A242" s="238"/>
      <c r="B242" s="90" t="s">
        <v>699</v>
      </c>
      <c r="C242" s="242" t="s">
        <v>992</v>
      </c>
      <c r="D242" s="282"/>
      <c r="E242" s="281"/>
      <c r="F242" s="79"/>
      <c r="G242" s="47">
        <f>SUMIF(JournalsC!D$14:D$920,TrialBalanceC!M242,JournalsC!J$14:J$920)+SUMIF(JournalsC!E$14:E$920,TrialBalanceC!M242,JournalsC!J$14:J$920)</f>
        <v>0</v>
      </c>
      <c r="H242" s="288"/>
      <c r="I242" s="291">
        <f t="shared" si="56"/>
        <v>0</v>
      </c>
      <c r="J242" s="75"/>
      <c r="K242" s="48">
        <f t="shared" si="57"/>
        <v>0</v>
      </c>
      <c r="M242" s="140" t="str">
        <f t="shared" si="58"/>
        <v>6100/033Investment property - cost of sales</v>
      </c>
      <c r="N242" s="70"/>
      <c r="P242" s="71"/>
      <c r="Q242" s="51"/>
      <c r="R242" s="31"/>
    </row>
    <row r="243" spans="1:18" x14ac:dyDescent="0.2">
      <c r="A243" s="238"/>
      <c r="B243" s="90" t="s">
        <v>1064</v>
      </c>
      <c r="C243" s="242" t="s">
        <v>993</v>
      </c>
      <c r="D243" s="282"/>
      <c r="E243" s="281"/>
      <c r="F243" s="79"/>
      <c r="G243" s="47">
        <f>SUMIF(JournalsC!D$14:D$920,TrialBalanceC!M243,JournalsC!J$14:J$920)+SUMIF(JournalsC!E$14:E$920,TrialBalanceC!M243,JournalsC!J$14:J$920)</f>
        <v>0</v>
      </c>
      <c r="H243" s="288"/>
      <c r="I243" s="291">
        <f t="shared" si="56"/>
        <v>0</v>
      </c>
      <c r="J243" s="75"/>
      <c r="K243" s="48">
        <f t="shared" si="57"/>
        <v>0</v>
      </c>
      <c r="M243" s="140" t="str">
        <f t="shared" si="58"/>
        <v>6100/034Investment property - transfer from property</v>
      </c>
      <c r="N243" s="70"/>
      <c r="P243" s="71"/>
      <c r="Q243" s="51"/>
      <c r="R243" s="31"/>
    </row>
    <row r="244" spans="1:18" x14ac:dyDescent="0.2">
      <c r="A244" s="238"/>
      <c r="B244" s="90" t="s">
        <v>1083</v>
      </c>
      <c r="C244" s="242" t="s">
        <v>1084</v>
      </c>
      <c r="D244" s="282"/>
      <c r="E244" s="281"/>
      <c r="F244" s="79"/>
      <c r="G244" s="47">
        <f>SUMIF(JournalsC!D$14:D$920,TrialBalanceC!M244,JournalsC!J$14:J$920)+SUMIF(JournalsC!E$14:E$920,TrialBalanceC!M244,JournalsC!J$14:J$920)</f>
        <v>0</v>
      </c>
      <c r="H244" s="288"/>
      <c r="I244" s="291">
        <f t="shared" ref="I244" si="59">ROUND(D244-E244+G244+F244,0)</f>
        <v>0</v>
      </c>
      <c r="J244" s="75"/>
      <c r="K244" s="48">
        <f t="shared" ref="K244" si="60">ROUND(SUM(A244),0)</f>
        <v>0</v>
      </c>
      <c r="M244" s="140" t="str">
        <f t="shared" ref="M244" si="61">CONCATENATE(B244,C244)</f>
        <v>6100/035Investment property - transfer to property</v>
      </c>
      <c r="N244" s="70"/>
      <c r="P244" s="71"/>
      <c r="Q244" s="51"/>
      <c r="R244" s="31"/>
    </row>
    <row r="245" spans="1:18" x14ac:dyDescent="0.2">
      <c r="A245" s="238"/>
      <c r="B245" s="90" t="s">
        <v>1065</v>
      </c>
      <c r="C245" s="239" t="s">
        <v>1069</v>
      </c>
      <c r="D245" s="282"/>
      <c r="E245" s="281"/>
      <c r="F245" s="79"/>
      <c r="G245" s="47">
        <f>SUMIF(JournalsC!D$14:D$920,TrialBalanceC!M245,JournalsC!J$14:J$920)+SUMIF(JournalsC!E$14:E$920,TrialBalanceC!M245,JournalsC!J$14:J$920)</f>
        <v>0</v>
      </c>
      <c r="H245" s="288"/>
      <c r="I245" s="291">
        <f t="shared" ref="I245:I249" si="62">ROUND(D245-E245+G245+F245,0)</f>
        <v>0</v>
      </c>
      <c r="J245" s="75"/>
      <c r="K245" s="48">
        <f t="shared" ref="K245:K249" si="63">ROUND(SUM(A245),0)</f>
        <v>0</v>
      </c>
      <c r="M245" s="140" t="str">
        <f t="shared" ref="M245:M249" si="64">CONCATENATE(B245,C245)</f>
        <v>6100/040INVESTMENT PROPERTY - VALUATION</v>
      </c>
      <c r="N245" s="70"/>
      <c r="P245" s="71"/>
      <c r="Q245" s="51"/>
      <c r="R245" s="31"/>
    </row>
    <row r="246" spans="1:18" x14ac:dyDescent="0.2">
      <c r="A246" s="238"/>
      <c r="B246" s="90" t="s">
        <v>1066</v>
      </c>
      <c r="C246" s="242" t="s">
        <v>1070</v>
      </c>
      <c r="D246" s="282"/>
      <c r="E246" s="281"/>
      <c r="F246" s="79">
        <f>SUM(K246:K249)</f>
        <v>0</v>
      </c>
      <c r="G246" s="47">
        <f>SUMIF(JournalsC!D$14:D$920,TrialBalanceC!M246,JournalsC!J$14:J$920)+SUMIF(JournalsC!E$14:E$920,TrialBalanceC!M246,JournalsC!J$14:J$920)</f>
        <v>0</v>
      </c>
      <c r="H246" s="288"/>
      <c r="I246" s="291">
        <f t="shared" si="62"/>
        <v>0</v>
      </c>
      <c r="J246" s="75"/>
      <c r="K246" s="48">
        <f t="shared" si="63"/>
        <v>0</v>
      </c>
      <c r="M246" s="140" t="str">
        <f t="shared" si="64"/>
        <v>6100/041Investment property - valuation b/fwd</v>
      </c>
      <c r="N246" s="70"/>
      <c r="P246" s="71"/>
      <c r="Q246" s="51"/>
      <c r="R246" s="31"/>
    </row>
    <row r="247" spans="1:18" x14ac:dyDescent="0.2">
      <c r="A247" s="238"/>
      <c r="B247" s="90" t="s">
        <v>1067</v>
      </c>
      <c r="C247" s="242" t="s">
        <v>1071</v>
      </c>
      <c r="D247" s="282"/>
      <c r="E247" s="281"/>
      <c r="F247" s="79"/>
      <c r="G247" s="47">
        <f>SUMIF(JournalsC!D$14:D$920,TrialBalanceC!M247,JournalsC!J$14:J$920)+SUMIF(JournalsC!E$14:E$920,TrialBalanceC!M247,JournalsC!J$14:J$920)</f>
        <v>0</v>
      </c>
      <c r="H247" s="288"/>
      <c r="I247" s="291">
        <f t="shared" si="62"/>
        <v>0</v>
      </c>
      <c r="J247" s="75"/>
      <c r="K247" s="48">
        <f t="shared" si="63"/>
        <v>0</v>
      </c>
      <c r="M247" s="140" t="str">
        <f t="shared" si="64"/>
        <v>6100/042Investment property - valuation additions</v>
      </c>
      <c r="N247" s="70"/>
      <c r="P247" s="71"/>
      <c r="Q247" s="51"/>
      <c r="R247" s="31"/>
    </row>
    <row r="248" spans="1:18" x14ac:dyDescent="0.2">
      <c r="A248" s="238"/>
      <c r="B248" s="90" t="s">
        <v>1068</v>
      </c>
      <c r="C248" s="242" t="s">
        <v>1086</v>
      </c>
      <c r="D248" s="282"/>
      <c r="E248" s="281"/>
      <c r="F248" s="79"/>
      <c r="G248" s="47">
        <f>SUMIF(JournalsC!D$14:D$920,TrialBalanceC!M248,JournalsC!J$14:J$920)+SUMIF(JournalsC!E$14:E$920,TrialBalanceC!M248,JournalsC!J$14:J$920)</f>
        <v>0</v>
      </c>
      <c r="H248" s="288"/>
      <c r="I248" s="291">
        <f t="shared" ref="I248" si="65">ROUND(D248-E248+G248+F248,0)</f>
        <v>0</v>
      </c>
      <c r="J248" s="75"/>
      <c r="K248" s="48">
        <f t="shared" ref="K248" si="66">ROUND(SUM(A248),0)</f>
        <v>0</v>
      </c>
      <c r="M248" s="140" t="str">
        <f t="shared" ref="M248" si="67">CONCATENATE(B248,C248)</f>
        <v>6100/043Investment property - valuation reduction on sales</v>
      </c>
      <c r="N248" s="70"/>
      <c r="P248" s="71"/>
      <c r="Q248" s="51"/>
      <c r="R248" s="31"/>
    </row>
    <row r="249" spans="1:18" x14ac:dyDescent="0.2">
      <c r="A249" s="238"/>
      <c r="B249" s="90" t="s">
        <v>1087</v>
      </c>
      <c r="C249" s="242" t="s">
        <v>1088</v>
      </c>
      <c r="D249" s="282"/>
      <c r="E249" s="281"/>
      <c r="F249" s="79"/>
      <c r="G249" s="47">
        <f>SUMIF(JournalsC!D$14:D$920,TrialBalanceC!M249,JournalsC!J$14:J$920)+SUMIF(JournalsC!E$14:E$920,TrialBalanceC!M249,JournalsC!J$14:J$920)</f>
        <v>0</v>
      </c>
      <c r="H249" s="288"/>
      <c r="I249" s="291">
        <f t="shared" si="62"/>
        <v>0</v>
      </c>
      <c r="J249" s="75"/>
      <c r="K249" s="48">
        <f t="shared" si="63"/>
        <v>0</v>
      </c>
      <c r="M249" s="140" t="str">
        <f t="shared" si="64"/>
        <v>6100/044Investment property - valuation reduction on transfers</v>
      </c>
      <c r="N249" s="70"/>
      <c r="P249" s="71"/>
      <c r="Q249" s="51"/>
      <c r="R249" s="31"/>
    </row>
    <row r="250" spans="1:18" x14ac:dyDescent="0.2">
      <c r="A250" s="238"/>
      <c r="B250" s="54" t="s">
        <v>289</v>
      </c>
      <c r="C250" s="239" t="s">
        <v>775</v>
      </c>
      <c r="D250" s="283"/>
      <c r="E250" s="281"/>
      <c r="F250" s="79"/>
      <c r="G250" s="47">
        <f>SUMIF(JournalsC!D$14:D$920,TrialBalanceC!M250,JournalsC!J$14:J$920)+SUMIF(JournalsC!E$14:E$920,TrialBalanceC!M250,JournalsC!J$14:J$920)</f>
        <v>0</v>
      </c>
      <c r="H250" s="288"/>
      <c r="I250" s="291">
        <f t="shared" si="36"/>
        <v>0</v>
      </c>
      <c r="J250" s="75"/>
      <c r="K250" s="48">
        <f t="shared" si="42"/>
        <v>0</v>
      </c>
      <c r="M250" s="140" t="str">
        <f t="shared" si="43"/>
        <v>6150/000PLANT AND MACHINERY - COST</v>
      </c>
      <c r="N250" s="70"/>
      <c r="P250" s="71"/>
      <c r="Q250" s="51"/>
      <c r="R250" s="31"/>
    </row>
    <row r="251" spans="1:18" x14ac:dyDescent="0.2">
      <c r="A251" s="238"/>
      <c r="B251" s="54" t="s">
        <v>41</v>
      </c>
      <c r="C251" s="242" t="s">
        <v>776</v>
      </c>
      <c r="D251" s="282"/>
      <c r="E251" s="281"/>
      <c r="F251" s="79">
        <f>SUM(K251:K253)</f>
        <v>0</v>
      </c>
      <c r="G251" s="47">
        <f>SUMIF(JournalsC!D$14:D$920,TrialBalanceC!M251,JournalsC!J$14:J$920)+SUMIF(JournalsC!E$14:E$920,TrialBalanceC!M251,JournalsC!J$14:J$920)</f>
        <v>0</v>
      </c>
      <c r="H251" s="288"/>
      <c r="I251" s="291">
        <f t="shared" si="36"/>
        <v>0</v>
      </c>
      <c r="J251" s="75"/>
      <c r="K251" s="48">
        <f t="shared" si="42"/>
        <v>0</v>
      </c>
      <c r="M251" s="140" t="str">
        <f t="shared" si="43"/>
        <v>6150/001Plant and machinery - cost b/fwd</v>
      </c>
      <c r="N251" s="70"/>
      <c r="P251" s="71"/>
      <c r="Q251" s="51"/>
      <c r="R251" s="31"/>
    </row>
    <row r="252" spans="1:18" x14ac:dyDescent="0.2">
      <c r="A252" s="238"/>
      <c r="B252" s="54" t="s">
        <v>42</v>
      </c>
      <c r="C252" s="242" t="s">
        <v>777</v>
      </c>
      <c r="D252" s="282"/>
      <c r="E252" s="281"/>
      <c r="F252" s="79"/>
      <c r="G252" s="47">
        <f>SUMIF(JournalsC!D$14:D$920,TrialBalanceC!M252,JournalsC!J$14:J$920)+SUMIF(JournalsC!E$14:E$920,TrialBalanceC!M252,JournalsC!J$14:J$920)</f>
        <v>0</v>
      </c>
      <c r="H252" s="288"/>
      <c r="I252" s="291">
        <f t="shared" si="36"/>
        <v>0</v>
      </c>
      <c r="J252" s="75"/>
      <c r="K252" s="48">
        <f t="shared" si="42"/>
        <v>0</v>
      </c>
      <c r="M252" s="140" t="str">
        <f t="shared" si="43"/>
        <v>6150/002Plant and machinery - additions</v>
      </c>
      <c r="N252" s="70"/>
      <c r="P252" s="71"/>
      <c r="Q252" s="51"/>
      <c r="R252" s="31"/>
    </row>
    <row r="253" spans="1:18" x14ac:dyDescent="0.2">
      <c r="A253" s="238"/>
      <c r="B253" s="54" t="s">
        <v>43</v>
      </c>
      <c r="C253" s="242" t="s">
        <v>778</v>
      </c>
      <c r="D253" s="282"/>
      <c r="E253" s="281"/>
      <c r="F253" s="79"/>
      <c r="G253" s="47">
        <f>SUMIF(JournalsC!D$14:D$920,TrialBalanceC!M253,JournalsC!J$14:J$920)+SUMIF(JournalsC!E$14:E$920,TrialBalanceC!M253,JournalsC!J$14:J$920)</f>
        <v>0</v>
      </c>
      <c r="H253" s="288"/>
      <c r="I253" s="291">
        <f t="shared" ref="I253:I354" si="68">ROUND(D253-E253+G253+F253,0)</f>
        <v>0</v>
      </c>
      <c r="J253" s="75"/>
      <c r="K253" s="48">
        <f t="shared" si="42"/>
        <v>0</v>
      </c>
      <c r="M253" s="140" t="str">
        <f t="shared" si="43"/>
        <v>6150/003Plant and machinery - cost of sales</v>
      </c>
      <c r="N253" s="70"/>
      <c r="P253" s="71"/>
      <c r="Q253" s="51"/>
      <c r="R253" s="31"/>
    </row>
    <row r="254" spans="1:18" x14ac:dyDescent="0.2">
      <c r="A254" s="238"/>
      <c r="B254" s="54" t="s">
        <v>18</v>
      </c>
      <c r="C254" s="239" t="s">
        <v>779</v>
      </c>
      <c r="D254" s="283"/>
      <c r="E254" s="281"/>
      <c r="F254" s="79"/>
      <c r="G254" s="47">
        <f>SUMIF(JournalsC!D$14:D$920,TrialBalanceC!M254,JournalsC!J$14:J$920)+SUMIF(JournalsC!E$14:E$920,TrialBalanceC!M254,JournalsC!J$14:J$920)</f>
        <v>0</v>
      </c>
      <c r="H254" s="288"/>
      <c r="I254" s="291">
        <f t="shared" si="68"/>
        <v>0</v>
      </c>
      <c r="J254" s="75"/>
      <c r="K254" s="48">
        <f t="shared" si="42"/>
        <v>0</v>
      </c>
      <c r="M254" s="140" t="str">
        <f t="shared" si="43"/>
        <v>6150/020PLANT AND MACHINERY - ACC DEPR</v>
      </c>
      <c r="N254" s="70"/>
      <c r="P254" s="71"/>
      <c r="Q254" s="51"/>
      <c r="R254" s="31"/>
    </row>
    <row r="255" spans="1:18" x14ac:dyDescent="0.2">
      <c r="A255" s="238"/>
      <c r="B255" s="54" t="s">
        <v>19</v>
      </c>
      <c r="C255" s="242" t="s">
        <v>780</v>
      </c>
      <c r="D255" s="282"/>
      <c r="E255" s="281"/>
      <c r="F255" s="79">
        <f>SUM(K255:K257)</f>
        <v>0</v>
      </c>
      <c r="G255" s="47">
        <f>SUMIF(JournalsC!D$14:D$920,TrialBalanceC!M255,JournalsC!J$14:J$920)+SUMIF(JournalsC!E$14:E$920,TrialBalanceC!M255,JournalsC!J$14:J$920)</f>
        <v>0</v>
      </c>
      <c r="H255" s="288"/>
      <c r="I255" s="291">
        <f t="shared" si="68"/>
        <v>0</v>
      </c>
      <c r="J255" s="75"/>
      <c r="K255" s="48">
        <f t="shared" si="42"/>
        <v>0</v>
      </c>
      <c r="M255" s="140" t="str">
        <f t="shared" si="43"/>
        <v>6150/021Plant and machinery - acc depr b/fwd</v>
      </c>
      <c r="N255" s="70"/>
      <c r="P255" s="71"/>
      <c r="Q255" s="51"/>
      <c r="R255" s="31"/>
    </row>
    <row r="256" spans="1:18" x14ac:dyDescent="0.2">
      <c r="A256" s="238"/>
      <c r="B256" s="54" t="s">
        <v>35</v>
      </c>
      <c r="C256" s="242" t="s">
        <v>781</v>
      </c>
      <c r="D256" s="282"/>
      <c r="E256" s="281"/>
      <c r="F256" s="79"/>
      <c r="G256" s="47">
        <f>SUMIF(JournalsC!D$14:D$920,TrialBalanceC!M256,JournalsC!J$14:J$920)+SUMIF(JournalsC!E$14:E$920,TrialBalanceC!M256,JournalsC!J$14:J$920)</f>
        <v>0</v>
      </c>
      <c r="H256" s="288"/>
      <c r="I256" s="291">
        <f t="shared" si="68"/>
        <v>0</v>
      </c>
      <c r="J256" s="75"/>
      <c r="K256" s="48">
        <f t="shared" si="42"/>
        <v>0</v>
      </c>
      <c r="M256" s="140" t="str">
        <f t="shared" si="43"/>
        <v>6150/022Plant and machinery - depr this year</v>
      </c>
      <c r="N256" s="70"/>
      <c r="P256" s="71"/>
      <c r="Q256" s="51"/>
      <c r="R256" s="31"/>
    </row>
    <row r="257" spans="1:18" x14ac:dyDescent="0.2">
      <c r="A257" s="238"/>
      <c r="B257" s="54" t="s">
        <v>36</v>
      </c>
      <c r="C257" s="242" t="s">
        <v>782</v>
      </c>
      <c r="D257" s="282"/>
      <c r="E257" s="281"/>
      <c r="F257" s="79"/>
      <c r="G257" s="47">
        <f>SUMIF(JournalsC!D$14:D$920,TrialBalanceC!M257,JournalsC!J$14:J$920)+SUMIF(JournalsC!E$14:E$920,TrialBalanceC!M257,JournalsC!J$14:J$920)</f>
        <v>0</v>
      </c>
      <c r="H257" s="288"/>
      <c r="I257" s="291">
        <f t="shared" si="68"/>
        <v>0</v>
      </c>
      <c r="J257" s="75"/>
      <c r="K257" s="48">
        <f t="shared" si="42"/>
        <v>0</v>
      </c>
      <c r="M257" s="140" t="str">
        <f t="shared" si="43"/>
        <v>6150/023Plant and machinery - acc depr on sales</v>
      </c>
      <c r="N257" s="70"/>
      <c r="P257" s="71"/>
      <c r="Q257" s="51"/>
      <c r="R257" s="31"/>
    </row>
    <row r="258" spans="1:18" x14ac:dyDescent="0.2">
      <c r="A258" s="238"/>
      <c r="B258" s="54" t="s">
        <v>37</v>
      </c>
      <c r="C258" s="239" t="s">
        <v>38</v>
      </c>
      <c r="D258" s="283"/>
      <c r="E258" s="281"/>
      <c r="F258" s="79"/>
      <c r="G258" s="47">
        <f>SUMIF(JournalsC!D$14:D$920,TrialBalanceC!M258,JournalsC!J$14:J$920)+SUMIF(JournalsC!E$14:E$920,TrialBalanceC!M258,JournalsC!J$14:J$920)</f>
        <v>0</v>
      </c>
      <c r="H258" s="288"/>
      <c r="I258" s="291">
        <f t="shared" si="68"/>
        <v>0</v>
      </c>
      <c r="J258" s="75"/>
      <c r="K258" s="48">
        <f t="shared" si="42"/>
        <v>0</v>
      </c>
      <c r="M258" s="140" t="str">
        <f t="shared" si="43"/>
        <v>6200/000MOTOR VEHICLES - COST</v>
      </c>
      <c r="N258" s="70"/>
      <c r="P258" s="71"/>
      <c r="Q258" s="51"/>
      <c r="R258" s="31"/>
    </row>
    <row r="259" spans="1:18" x14ac:dyDescent="0.2">
      <c r="A259" s="238"/>
      <c r="B259" s="54" t="s">
        <v>39</v>
      </c>
      <c r="C259" s="242" t="s">
        <v>783</v>
      </c>
      <c r="D259" s="282"/>
      <c r="E259" s="281"/>
      <c r="F259" s="79">
        <f>SUM(K259:K261)</f>
        <v>0</v>
      </c>
      <c r="G259" s="47">
        <f>SUMIF(JournalsC!D$14:D$920,TrialBalanceC!M259,JournalsC!J$14:J$920)+SUMIF(JournalsC!E$14:E$920,TrialBalanceC!M259,JournalsC!J$14:J$920)</f>
        <v>0</v>
      </c>
      <c r="H259" s="288"/>
      <c r="I259" s="291">
        <f t="shared" si="68"/>
        <v>0</v>
      </c>
      <c r="J259" s="75"/>
      <c r="K259" s="48">
        <f t="shared" si="42"/>
        <v>0</v>
      </c>
      <c r="M259" s="140" t="str">
        <f t="shared" si="43"/>
        <v>6200/001Motor vehicles - cost b/fwd</v>
      </c>
      <c r="N259" s="70"/>
      <c r="P259" s="71"/>
      <c r="Q259" s="51"/>
      <c r="R259" s="31"/>
    </row>
    <row r="260" spans="1:18" x14ac:dyDescent="0.2">
      <c r="A260" s="238"/>
      <c r="B260" s="54" t="s">
        <v>40</v>
      </c>
      <c r="C260" s="242" t="s">
        <v>784</v>
      </c>
      <c r="D260" s="282"/>
      <c r="E260" s="281"/>
      <c r="F260" s="79"/>
      <c r="G260" s="47">
        <f>SUMIF(JournalsC!D$14:D$920,TrialBalanceC!M260,JournalsC!J$14:J$920)+SUMIF(JournalsC!E$14:E$920,TrialBalanceC!M260,JournalsC!J$14:J$920)</f>
        <v>0</v>
      </c>
      <c r="H260" s="288"/>
      <c r="I260" s="291">
        <f t="shared" si="68"/>
        <v>0</v>
      </c>
      <c r="J260" s="75"/>
      <c r="K260" s="48">
        <f t="shared" si="42"/>
        <v>0</v>
      </c>
      <c r="M260" s="140" t="str">
        <f t="shared" si="43"/>
        <v>6200/002Motor vehicles - additions</v>
      </c>
      <c r="N260" s="70"/>
      <c r="P260" s="71"/>
      <c r="Q260" s="51"/>
      <c r="R260" s="31"/>
    </row>
    <row r="261" spans="1:18" x14ac:dyDescent="0.2">
      <c r="A261" s="238"/>
      <c r="B261" s="54" t="s">
        <v>481</v>
      </c>
      <c r="C261" s="242" t="s">
        <v>785</v>
      </c>
      <c r="D261" s="282"/>
      <c r="E261" s="281"/>
      <c r="F261" s="79"/>
      <c r="G261" s="47">
        <f>SUMIF(JournalsC!D$14:D$920,TrialBalanceC!M261,JournalsC!J$14:J$920)+SUMIF(JournalsC!E$14:E$920,TrialBalanceC!M261,JournalsC!J$14:J$920)</f>
        <v>0</v>
      </c>
      <c r="H261" s="288"/>
      <c r="I261" s="291">
        <f t="shared" si="68"/>
        <v>0</v>
      </c>
      <c r="J261" s="75"/>
      <c r="K261" s="48">
        <f t="shared" si="42"/>
        <v>0</v>
      </c>
      <c r="M261" s="140" t="str">
        <f t="shared" si="43"/>
        <v>6200/003Motor vehicles - cost of sales</v>
      </c>
      <c r="N261" s="70"/>
      <c r="P261" s="71"/>
      <c r="Q261" s="51"/>
      <c r="R261" s="31"/>
    </row>
    <row r="262" spans="1:18" x14ac:dyDescent="0.2">
      <c r="A262" s="238"/>
      <c r="B262" s="54" t="s">
        <v>0</v>
      </c>
      <c r="C262" s="239" t="s">
        <v>1</v>
      </c>
      <c r="D262" s="283"/>
      <c r="E262" s="281"/>
      <c r="F262" s="79"/>
      <c r="G262" s="47">
        <f>SUMIF(JournalsC!D$14:D$920,TrialBalanceC!M262,JournalsC!J$14:J$920)+SUMIF(JournalsC!E$14:E$920,TrialBalanceC!M262,JournalsC!J$14:J$920)</f>
        <v>0</v>
      </c>
      <c r="H262" s="288"/>
      <c r="I262" s="291">
        <f t="shared" si="68"/>
        <v>0</v>
      </c>
      <c r="J262" s="75"/>
      <c r="K262" s="48">
        <f t="shared" si="42"/>
        <v>0</v>
      </c>
      <c r="M262" s="140" t="str">
        <f t="shared" si="43"/>
        <v>6200/020MOTOR VEHICLES - ACC DEPR</v>
      </c>
      <c r="N262" s="70"/>
      <c r="P262" s="71"/>
      <c r="Q262" s="51"/>
      <c r="R262" s="31"/>
    </row>
    <row r="263" spans="1:18" x14ac:dyDescent="0.2">
      <c r="A263" s="238"/>
      <c r="B263" s="54" t="s">
        <v>2</v>
      </c>
      <c r="C263" s="242" t="s">
        <v>786</v>
      </c>
      <c r="D263" s="282"/>
      <c r="E263" s="281"/>
      <c r="F263" s="79">
        <f>SUM(K263:K265)</f>
        <v>0</v>
      </c>
      <c r="G263" s="47">
        <f>SUMIF(JournalsC!D$14:D$920,TrialBalanceC!M263,JournalsC!J$14:J$920)+SUMIF(JournalsC!E$14:E$920,TrialBalanceC!M263,JournalsC!J$14:J$920)</f>
        <v>0</v>
      </c>
      <c r="H263" s="288"/>
      <c r="I263" s="291">
        <f t="shared" si="68"/>
        <v>0</v>
      </c>
      <c r="J263" s="75"/>
      <c r="K263" s="48">
        <f t="shared" si="42"/>
        <v>0</v>
      </c>
      <c r="M263" s="140" t="str">
        <f t="shared" si="43"/>
        <v>6200/021Motor vehicles - acc depr b/fwd</v>
      </c>
      <c r="N263" s="70"/>
      <c r="P263" s="71"/>
      <c r="Q263" s="51"/>
      <c r="R263" s="31"/>
    </row>
    <row r="264" spans="1:18" x14ac:dyDescent="0.2">
      <c r="A264" s="238"/>
      <c r="B264" s="54" t="s">
        <v>3</v>
      </c>
      <c r="C264" s="242" t="s">
        <v>787</v>
      </c>
      <c r="D264" s="282"/>
      <c r="E264" s="281"/>
      <c r="F264" s="79"/>
      <c r="G264" s="47">
        <f>SUMIF(JournalsC!D$14:D$920,TrialBalanceC!M264,JournalsC!J$14:J$920)+SUMIF(JournalsC!E$14:E$920,TrialBalanceC!M264,JournalsC!J$14:J$920)</f>
        <v>0</v>
      </c>
      <c r="H264" s="288"/>
      <c r="I264" s="291">
        <f t="shared" si="68"/>
        <v>0</v>
      </c>
      <c r="J264" s="75"/>
      <c r="K264" s="48">
        <f t="shared" si="42"/>
        <v>0</v>
      </c>
      <c r="M264" s="140" t="str">
        <f t="shared" si="43"/>
        <v>6200/022Motor vehicles - depr this year</v>
      </c>
      <c r="N264" s="70"/>
      <c r="P264" s="71"/>
      <c r="Q264" s="51"/>
      <c r="R264" s="31"/>
    </row>
    <row r="265" spans="1:18" x14ac:dyDescent="0.2">
      <c r="A265" s="238"/>
      <c r="B265" s="54" t="s">
        <v>4</v>
      </c>
      <c r="C265" s="242" t="s">
        <v>788</v>
      </c>
      <c r="D265" s="282"/>
      <c r="E265" s="281"/>
      <c r="F265" s="79"/>
      <c r="G265" s="47">
        <f>SUMIF(JournalsC!D$14:D$920,TrialBalanceC!M265,JournalsC!J$14:J$920)+SUMIF(JournalsC!E$14:E$920,TrialBalanceC!M265,JournalsC!J$14:J$920)</f>
        <v>0</v>
      </c>
      <c r="H265" s="288"/>
      <c r="I265" s="291">
        <f t="shared" si="68"/>
        <v>0</v>
      </c>
      <c r="J265" s="75"/>
      <c r="K265" s="48">
        <f t="shared" si="42"/>
        <v>0</v>
      </c>
      <c r="M265" s="140" t="str">
        <f t="shared" si="43"/>
        <v>6200/023Motor vehicles - acc depr on sales</v>
      </c>
      <c r="N265" s="70"/>
      <c r="P265" s="71"/>
      <c r="Q265" s="51"/>
      <c r="R265" s="31"/>
    </row>
    <row r="266" spans="1:18" x14ac:dyDescent="0.2">
      <c r="A266" s="238"/>
      <c r="B266" s="54" t="s">
        <v>5</v>
      </c>
      <c r="C266" s="239" t="s">
        <v>121</v>
      </c>
      <c r="D266" s="283"/>
      <c r="E266" s="281"/>
      <c r="F266" s="79"/>
      <c r="G266" s="47">
        <f>SUMIF(JournalsC!D$14:D$920,TrialBalanceC!M266,JournalsC!J$14:J$920)+SUMIF(JournalsC!E$14:E$920,TrialBalanceC!M266,JournalsC!J$14:J$920)</f>
        <v>0</v>
      </c>
      <c r="H266" s="288"/>
      <c r="I266" s="291">
        <f t="shared" si="68"/>
        <v>0</v>
      </c>
      <c r="J266" s="75"/>
      <c r="K266" s="48">
        <f t="shared" si="42"/>
        <v>0</v>
      </c>
      <c r="M266" s="140" t="str">
        <f t="shared" si="43"/>
        <v>6250/000ELECTRONIC EQUIPMENT - COST</v>
      </c>
      <c r="N266" s="70"/>
      <c r="P266" s="71"/>
      <c r="Q266" s="51"/>
      <c r="R266" s="31"/>
    </row>
    <row r="267" spans="1:18" x14ac:dyDescent="0.2">
      <c r="A267" s="238"/>
      <c r="B267" s="54" t="s">
        <v>6</v>
      </c>
      <c r="C267" s="242" t="s">
        <v>789</v>
      </c>
      <c r="D267" s="282"/>
      <c r="E267" s="281"/>
      <c r="F267" s="79">
        <f>SUM(K267:K269)</f>
        <v>0</v>
      </c>
      <c r="G267" s="47">
        <f>SUMIF(JournalsC!D$14:D$920,TrialBalanceC!M267,JournalsC!J$14:J$920)+SUMIF(JournalsC!E$14:E$920,TrialBalanceC!M267,JournalsC!J$14:J$920)</f>
        <v>0</v>
      </c>
      <c r="H267" s="288"/>
      <c r="I267" s="291">
        <f t="shared" si="68"/>
        <v>0</v>
      </c>
      <c r="J267" s="75"/>
      <c r="K267" s="48">
        <f t="shared" si="42"/>
        <v>0</v>
      </c>
      <c r="M267" s="140" t="str">
        <f t="shared" si="43"/>
        <v>6250/001Electronic equipment - cost b/fwd</v>
      </c>
      <c r="N267" s="70"/>
      <c r="P267" s="71"/>
      <c r="Q267" s="51"/>
      <c r="R267" s="31"/>
    </row>
    <row r="268" spans="1:18" x14ac:dyDescent="0.2">
      <c r="A268" s="238"/>
      <c r="B268" s="54" t="s">
        <v>7</v>
      </c>
      <c r="C268" s="242" t="s">
        <v>790</v>
      </c>
      <c r="D268" s="282"/>
      <c r="E268" s="281"/>
      <c r="F268" s="79"/>
      <c r="G268" s="47">
        <f>SUMIF(JournalsC!D$14:D$920,TrialBalanceC!M268,JournalsC!J$14:J$920)+SUMIF(JournalsC!E$14:E$920,TrialBalanceC!M268,JournalsC!J$14:J$920)</f>
        <v>0</v>
      </c>
      <c r="H268" s="288"/>
      <c r="I268" s="291">
        <f t="shared" si="68"/>
        <v>0</v>
      </c>
      <c r="J268" s="75"/>
      <c r="K268" s="48">
        <f t="shared" si="42"/>
        <v>0</v>
      </c>
      <c r="M268" s="140" t="str">
        <f t="shared" si="43"/>
        <v>6250/002Electronic equipment - additions</v>
      </c>
      <c r="N268" s="70"/>
      <c r="P268" s="71"/>
      <c r="Q268" s="51"/>
      <c r="R268" s="31"/>
    </row>
    <row r="269" spans="1:18" x14ac:dyDescent="0.2">
      <c r="A269" s="238"/>
      <c r="B269" s="54" t="s">
        <v>8</v>
      </c>
      <c r="C269" s="242" t="s">
        <v>791</v>
      </c>
      <c r="D269" s="282"/>
      <c r="E269" s="281"/>
      <c r="F269" s="79"/>
      <c r="G269" s="47">
        <f>SUMIF(JournalsC!D$14:D$920,TrialBalanceC!M269,JournalsC!J$14:J$920)+SUMIF(JournalsC!E$14:E$920,TrialBalanceC!M269,JournalsC!J$14:J$920)</f>
        <v>0</v>
      </c>
      <c r="H269" s="288"/>
      <c r="I269" s="291">
        <f t="shared" si="68"/>
        <v>0</v>
      </c>
      <c r="J269" s="75"/>
      <c r="K269" s="48">
        <f t="shared" si="42"/>
        <v>0</v>
      </c>
      <c r="M269" s="140" t="str">
        <f t="shared" si="43"/>
        <v>6250/003Electronic equipment - cost of sales</v>
      </c>
      <c r="N269" s="70"/>
      <c r="P269" s="71"/>
      <c r="Q269" s="51"/>
      <c r="R269" s="31"/>
    </row>
    <row r="270" spans="1:18" x14ac:dyDescent="0.2">
      <c r="A270" s="238"/>
      <c r="B270" s="54" t="s">
        <v>9</v>
      </c>
      <c r="C270" s="239" t="s">
        <v>122</v>
      </c>
      <c r="D270" s="283"/>
      <c r="E270" s="281"/>
      <c r="F270" s="79"/>
      <c r="G270" s="47">
        <f>SUMIF(JournalsC!D$14:D$920,TrialBalanceC!M270,JournalsC!J$14:J$920)+SUMIF(JournalsC!E$14:E$920,TrialBalanceC!M270,JournalsC!J$14:J$920)</f>
        <v>0</v>
      </c>
      <c r="H270" s="288"/>
      <c r="I270" s="291">
        <f t="shared" si="68"/>
        <v>0</v>
      </c>
      <c r="J270" s="75"/>
      <c r="K270" s="48">
        <f t="shared" si="42"/>
        <v>0</v>
      </c>
      <c r="M270" s="140" t="str">
        <f t="shared" si="43"/>
        <v>6250/020ELECTRONIC EQUIPMENT - ACC DEPR</v>
      </c>
      <c r="N270" s="70"/>
      <c r="P270" s="71"/>
      <c r="Q270" s="51"/>
      <c r="R270" s="31"/>
    </row>
    <row r="271" spans="1:18" x14ac:dyDescent="0.2">
      <c r="A271" s="238"/>
      <c r="B271" s="54" t="s">
        <v>10</v>
      </c>
      <c r="C271" s="242" t="s">
        <v>792</v>
      </c>
      <c r="D271" s="282"/>
      <c r="E271" s="281"/>
      <c r="F271" s="79">
        <f>SUM(K271:K273)</f>
        <v>0</v>
      </c>
      <c r="G271" s="47">
        <f>SUMIF(JournalsC!D$14:D$920,TrialBalanceC!M271,JournalsC!J$14:J$920)+SUMIF(JournalsC!E$14:E$920,TrialBalanceC!M271,JournalsC!J$14:J$920)</f>
        <v>0</v>
      </c>
      <c r="H271" s="288"/>
      <c r="I271" s="291">
        <f t="shared" si="68"/>
        <v>0</v>
      </c>
      <c r="J271" s="75"/>
      <c r="K271" s="48">
        <f t="shared" si="42"/>
        <v>0</v>
      </c>
      <c r="M271" s="140" t="str">
        <f t="shared" si="43"/>
        <v>6250/021Electronic equipment - acc depr b/fwd</v>
      </c>
      <c r="N271" s="70"/>
      <c r="P271" s="71"/>
      <c r="Q271" s="51"/>
      <c r="R271" s="31"/>
    </row>
    <row r="272" spans="1:18" x14ac:dyDescent="0.2">
      <c r="A272" s="238"/>
      <c r="B272" s="54" t="s">
        <v>11</v>
      </c>
      <c r="C272" s="242" t="s">
        <v>793</v>
      </c>
      <c r="D272" s="282"/>
      <c r="E272" s="281"/>
      <c r="F272" s="79"/>
      <c r="G272" s="47">
        <f>SUMIF(JournalsC!D$14:D$920,TrialBalanceC!M272,JournalsC!J$14:J$920)+SUMIF(JournalsC!E$14:E$920,TrialBalanceC!M272,JournalsC!J$14:J$920)</f>
        <v>0</v>
      </c>
      <c r="H272" s="288"/>
      <c r="I272" s="291">
        <f t="shared" si="68"/>
        <v>0</v>
      </c>
      <c r="J272" s="75"/>
      <c r="K272" s="48">
        <f t="shared" si="42"/>
        <v>0</v>
      </c>
      <c r="M272" s="140" t="str">
        <f t="shared" si="43"/>
        <v>6250/022Electronic equipment - depr this year</v>
      </c>
      <c r="N272" s="70"/>
      <c r="P272" s="71"/>
      <c r="Q272" s="51"/>
      <c r="R272" s="31"/>
    </row>
    <row r="273" spans="1:18" x14ac:dyDescent="0.2">
      <c r="A273" s="238"/>
      <c r="B273" s="54" t="s">
        <v>12</v>
      </c>
      <c r="C273" s="242" t="s">
        <v>794</v>
      </c>
      <c r="D273" s="282"/>
      <c r="E273" s="281"/>
      <c r="F273" s="79"/>
      <c r="G273" s="47">
        <f>SUMIF(JournalsC!D$14:D$920,TrialBalanceC!M273,JournalsC!J$14:J$920)+SUMIF(JournalsC!E$14:E$920,TrialBalanceC!M273,JournalsC!J$14:J$920)</f>
        <v>0</v>
      </c>
      <c r="H273" s="288"/>
      <c r="I273" s="291">
        <f t="shared" si="68"/>
        <v>0</v>
      </c>
      <c r="J273" s="75"/>
      <c r="K273" s="48">
        <f t="shared" si="42"/>
        <v>0</v>
      </c>
      <c r="M273" s="140" t="str">
        <f t="shared" si="43"/>
        <v>6250/023Electronic equipment - acc depr on sales</v>
      </c>
      <c r="N273" s="70"/>
      <c r="P273" s="71"/>
      <c r="Q273" s="51"/>
      <c r="R273" s="31"/>
    </row>
    <row r="274" spans="1:18" x14ac:dyDescent="0.2">
      <c r="A274" s="238"/>
      <c r="B274" s="54" t="s">
        <v>16</v>
      </c>
      <c r="C274" s="239" t="s">
        <v>795</v>
      </c>
      <c r="D274" s="283"/>
      <c r="E274" s="281"/>
      <c r="F274" s="79"/>
      <c r="G274" s="47">
        <f>SUMIF(JournalsC!D$14:D$920,TrialBalanceC!M274,JournalsC!J$14:J$920)+SUMIF(JournalsC!E$14:E$920,TrialBalanceC!M274,JournalsC!J$14:J$920)</f>
        <v>0</v>
      </c>
      <c r="H274" s="288"/>
      <c r="I274" s="291">
        <f t="shared" si="68"/>
        <v>0</v>
      </c>
      <c r="J274" s="75"/>
      <c r="K274" s="48">
        <f t="shared" si="42"/>
        <v>0</v>
      </c>
      <c r="M274" s="140" t="str">
        <f t="shared" si="43"/>
        <v>6350/000FURNITURE AND FITTINGS - COST</v>
      </c>
      <c r="N274" s="70"/>
      <c r="P274" s="71"/>
      <c r="Q274" s="51"/>
      <c r="R274" s="31"/>
    </row>
    <row r="275" spans="1:18" x14ac:dyDescent="0.2">
      <c r="A275" s="238"/>
      <c r="B275" s="54" t="s">
        <v>17</v>
      </c>
      <c r="C275" s="242" t="s">
        <v>796</v>
      </c>
      <c r="D275" s="282"/>
      <c r="E275" s="281"/>
      <c r="F275" s="79">
        <f>SUM(K275:K277)</f>
        <v>0</v>
      </c>
      <c r="G275" s="47">
        <f>SUMIF(JournalsC!D$14:D$920,TrialBalanceC!M275,JournalsC!J$14:J$920)+SUMIF(JournalsC!E$14:E$920,TrialBalanceC!M275,JournalsC!J$14:J$920)</f>
        <v>0</v>
      </c>
      <c r="H275" s="288"/>
      <c r="I275" s="291">
        <f t="shared" si="68"/>
        <v>0</v>
      </c>
      <c r="J275" s="75"/>
      <c r="K275" s="48">
        <f t="shared" si="42"/>
        <v>0</v>
      </c>
      <c r="M275" s="140" t="str">
        <f t="shared" si="43"/>
        <v>6350/001Furniture and fittings - cost b/fwd</v>
      </c>
      <c r="N275" s="70"/>
      <c r="P275" s="71"/>
      <c r="Q275" s="51"/>
      <c r="R275" s="31"/>
    </row>
    <row r="276" spans="1:18" x14ac:dyDescent="0.2">
      <c r="A276" s="238"/>
      <c r="B276" s="54" t="s">
        <v>425</v>
      </c>
      <c r="C276" s="242" t="s">
        <v>797</v>
      </c>
      <c r="D276" s="282"/>
      <c r="E276" s="281"/>
      <c r="F276" s="79"/>
      <c r="G276" s="47">
        <f>SUMIF(JournalsC!D$14:D$920,TrialBalanceC!M276,JournalsC!J$14:J$920)+SUMIF(JournalsC!E$14:E$920,TrialBalanceC!M276,JournalsC!J$14:J$920)</f>
        <v>0</v>
      </c>
      <c r="H276" s="288"/>
      <c r="I276" s="291">
        <f t="shared" si="68"/>
        <v>0</v>
      </c>
      <c r="J276" s="75"/>
      <c r="K276" s="48">
        <f t="shared" si="42"/>
        <v>0</v>
      </c>
      <c r="M276" s="140" t="str">
        <f t="shared" si="43"/>
        <v>6350/002Furniture and fittings - additions</v>
      </c>
      <c r="N276" s="70"/>
      <c r="P276" s="71"/>
      <c r="Q276" s="51"/>
      <c r="R276" s="31"/>
    </row>
    <row r="277" spans="1:18" x14ac:dyDescent="0.2">
      <c r="A277" s="238"/>
      <c r="B277" s="54" t="s">
        <v>441</v>
      </c>
      <c r="C277" s="242" t="s">
        <v>798</v>
      </c>
      <c r="D277" s="282"/>
      <c r="E277" s="281"/>
      <c r="F277" s="79"/>
      <c r="G277" s="47">
        <f>SUMIF(JournalsC!D$14:D$920,TrialBalanceC!M277,JournalsC!J$14:J$920)+SUMIF(JournalsC!E$14:E$920,TrialBalanceC!M277,JournalsC!J$14:J$920)</f>
        <v>0</v>
      </c>
      <c r="H277" s="288"/>
      <c r="I277" s="291">
        <f t="shared" si="68"/>
        <v>0</v>
      </c>
      <c r="J277" s="75"/>
      <c r="K277" s="48">
        <f t="shared" si="42"/>
        <v>0</v>
      </c>
      <c r="M277" s="140" t="str">
        <f t="shared" si="43"/>
        <v>6350/003Furniture and fittings - cost of sales</v>
      </c>
      <c r="N277" s="70"/>
      <c r="P277" s="71"/>
      <c r="Q277" s="51"/>
      <c r="R277" s="31"/>
    </row>
    <row r="278" spans="1:18" x14ac:dyDescent="0.2">
      <c r="A278" s="238"/>
      <c r="B278" s="54" t="s">
        <v>272</v>
      </c>
      <c r="C278" s="239" t="s">
        <v>799</v>
      </c>
      <c r="D278" s="283"/>
      <c r="E278" s="281"/>
      <c r="F278" s="79"/>
      <c r="G278" s="47">
        <f>SUMIF(JournalsC!D$14:D$920,TrialBalanceC!M278,JournalsC!J$14:J$920)+SUMIF(JournalsC!E$14:E$920,TrialBalanceC!M278,JournalsC!J$14:J$920)</f>
        <v>0</v>
      </c>
      <c r="H278" s="288"/>
      <c r="I278" s="291">
        <f t="shared" si="68"/>
        <v>0</v>
      </c>
      <c r="J278" s="75"/>
      <c r="K278" s="48">
        <f t="shared" si="42"/>
        <v>0</v>
      </c>
      <c r="M278" s="140" t="str">
        <f t="shared" si="43"/>
        <v>6350/020FURNITURE AND FITTINGS - ACC DEPR</v>
      </c>
      <c r="N278" s="70"/>
      <c r="P278" s="71"/>
      <c r="Q278" s="51"/>
      <c r="R278" s="31"/>
    </row>
    <row r="279" spans="1:18" x14ac:dyDescent="0.2">
      <c r="A279" s="238"/>
      <c r="B279" s="54" t="s">
        <v>153</v>
      </c>
      <c r="C279" s="242" t="s">
        <v>800</v>
      </c>
      <c r="D279" s="282"/>
      <c r="E279" s="281"/>
      <c r="F279" s="79">
        <f>SUM(K279:K281)</f>
        <v>0</v>
      </c>
      <c r="G279" s="47">
        <f>SUMIF(JournalsC!D$14:D$920,TrialBalanceC!M279,JournalsC!J$14:J$920)+SUMIF(JournalsC!E$14:E$920,TrialBalanceC!M279,JournalsC!J$14:J$920)</f>
        <v>0</v>
      </c>
      <c r="H279" s="288"/>
      <c r="I279" s="291">
        <f t="shared" si="68"/>
        <v>0</v>
      </c>
      <c r="J279" s="75"/>
      <c r="K279" s="48">
        <f t="shared" si="42"/>
        <v>0</v>
      </c>
      <c r="M279" s="140" t="str">
        <f t="shared" si="43"/>
        <v>6350/021Furniture and fittings - acc depr b/fwd</v>
      </c>
      <c r="N279" s="70"/>
      <c r="P279" s="71"/>
      <c r="Q279" s="51"/>
      <c r="R279" s="31"/>
    </row>
    <row r="280" spans="1:18" x14ac:dyDescent="0.2">
      <c r="A280" s="238"/>
      <c r="B280" s="54" t="s">
        <v>154</v>
      </c>
      <c r="C280" s="242" t="s">
        <v>801</v>
      </c>
      <c r="D280" s="282"/>
      <c r="E280" s="281"/>
      <c r="F280" s="79"/>
      <c r="G280" s="47">
        <f>SUMIF(JournalsC!D$14:D$920,TrialBalanceC!M280,JournalsC!J$14:J$920)+SUMIF(JournalsC!E$14:E$920,TrialBalanceC!M280,JournalsC!J$14:J$920)</f>
        <v>0</v>
      </c>
      <c r="H280" s="288"/>
      <c r="I280" s="291">
        <f t="shared" si="68"/>
        <v>0</v>
      </c>
      <c r="J280" s="75"/>
      <c r="K280" s="48">
        <f t="shared" si="42"/>
        <v>0</v>
      </c>
      <c r="M280" s="140" t="str">
        <f t="shared" si="43"/>
        <v>6350/022Furniture and fittings - depr this year</v>
      </c>
      <c r="N280" s="70"/>
      <c r="P280" s="71"/>
      <c r="Q280" s="51"/>
      <c r="R280" s="31"/>
    </row>
    <row r="281" spans="1:18" x14ac:dyDescent="0.2">
      <c r="A281" s="238"/>
      <c r="B281" s="54" t="s">
        <v>244</v>
      </c>
      <c r="C281" s="242" t="s">
        <v>802</v>
      </c>
      <c r="D281" s="282"/>
      <c r="E281" s="281"/>
      <c r="F281" s="79"/>
      <c r="G281" s="47">
        <f>SUMIF(JournalsC!D$14:D$920,TrialBalanceC!M281,JournalsC!J$14:J$920)+SUMIF(JournalsC!E$14:E$920,TrialBalanceC!M281,JournalsC!J$14:J$920)</f>
        <v>0</v>
      </c>
      <c r="H281" s="288"/>
      <c r="I281" s="291">
        <f t="shared" si="68"/>
        <v>0</v>
      </c>
      <c r="J281" s="75"/>
      <c r="K281" s="48">
        <f t="shared" si="42"/>
        <v>0</v>
      </c>
      <c r="M281" s="140" t="str">
        <f t="shared" si="43"/>
        <v>6350/023Furniture and fittings - acc depr on sales</v>
      </c>
      <c r="N281" s="70"/>
      <c r="P281" s="71"/>
      <c r="Q281" s="51"/>
      <c r="R281" s="31"/>
    </row>
    <row r="282" spans="1:18" x14ac:dyDescent="0.2">
      <c r="A282" s="238"/>
      <c r="B282" s="54" t="s">
        <v>463</v>
      </c>
      <c r="C282" s="239" t="s">
        <v>45</v>
      </c>
      <c r="D282" s="283"/>
      <c r="E282" s="281"/>
      <c r="F282" s="79"/>
      <c r="G282" s="47">
        <f>SUMIF(JournalsC!D$14:D$920,TrialBalanceC!M282,JournalsC!J$14:J$920)+SUMIF(JournalsC!E$14:E$920,TrialBalanceC!M282,JournalsC!J$14:J$920)</f>
        <v>0</v>
      </c>
      <c r="H282" s="288"/>
      <c r="I282" s="291">
        <f t="shared" si="68"/>
        <v>0</v>
      </c>
      <c r="J282" s="75"/>
      <c r="K282" s="48">
        <f t="shared" si="42"/>
        <v>0</v>
      </c>
      <c r="M282" s="140" t="str">
        <f t="shared" si="43"/>
        <v>7000/000INTANGIBLE ASSETS</v>
      </c>
      <c r="N282" s="70"/>
      <c r="P282" s="71"/>
      <c r="Q282" s="51"/>
      <c r="R282" s="31"/>
    </row>
    <row r="283" spans="1:18" x14ac:dyDescent="0.2">
      <c r="A283" s="238"/>
      <c r="B283" s="90" t="s">
        <v>1021</v>
      </c>
      <c r="C283" s="239" t="s">
        <v>1022</v>
      </c>
      <c r="D283" s="283"/>
      <c r="E283" s="281"/>
      <c r="F283" s="79"/>
      <c r="G283" s="47">
        <f>SUMIF(JournalsC!D$14:D$920,TrialBalanceC!M283,JournalsC!J$14:J$920)+SUMIF(JournalsC!E$14:E$920,TrialBalanceC!M283,JournalsC!J$14:J$920)</f>
        <v>0</v>
      </c>
      <c r="H283" s="288"/>
      <c r="I283" s="291">
        <f t="shared" ref="I283:I300" si="69">ROUND(D283-E283+G283+F283,0)</f>
        <v>0</v>
      </c>
      <c r="J283" s="75"/>
      <c r="K283" s="48">
        <f t="shared" ref="K283:K300" si="70">ROUND(SUM(A283),0)</f>
        <v>0</v>
      </c>
      <c r="M283" s="140" t="str">
        <f t="shared" ref="M283:M300" si="71">CONCATENATE(B283,C283)</f>
        <v>7000/001GOODWILL - COST</v>
      </c>
      <c r="N283" s="70"/>
      <c r="P283" s="71"/>
      <c r="Q283" s="51"/>
      <c r="R283" s="31"/>
    </row>
    <row r="284" spans="1:18" x14ac:dyDescent="0.2">
      <c r="A284" s="238"/>
      <c r="B284" s="90" t="s">
        <v>1023</v>
      </c>
      <c r="C284" s="242" t="s">
        <v>1024</v>
      </c>
      <c r="D284" s="283"/>
      <c r="E284" s="281"/>
      <c r="F284" s="79">
        <f>SUM(K284:K285)</f>
        <v>0</v>
      </c>
      <c r="G284" s="47">
        <f>SUMIF(JournalsC!D$14:D$920,TrialBalanceC!M284,JournalsC!J$14:J$920)+SUMIF(JournalsC!E$14:E$920,TrialBalanceC!M284,JournalsC!J$14:J$920)</f>
        <v>0</v>
      </c>
      <c r="H284" s="288"/>
      <c r="I284" s="291">
        <f t="shared" si="69"/>
        <v>0</v>
      </c>
      <c r="J284" s="75"/>
      <c r="K284" s="48">
        <f t="shared" si="70"/>
        <v>0</v>
      </c>
      <c r="M284" s="140" t="str">
        <f t="shared" si="71"/>
        <v>7000/002Goodwill - cost b/fwd</v>
      </c>
      <c r="N284" s="70"/>
      <c r="P284" s="71"/>
      <c r="Q284" s="51"/>
      <c r="R284" s="31"/>
    </row>
    <row r="285" spans="1:18" x14ac:dyDescent="0.2">
      <c r="A285" s="238"/>
      <c r="B285" s="90" t="s">
        <v>1025</v>
      </c>
      <c r="C285" s="242" t="s">
        <v>1026</v>
      </c>
      <c r="D285" s="283"/>
      <c r="E285" s="281"/>
      <c r="F285" s="79"/>
      <c r="G285" s="47">
        <f>SUMIF(JournalsC!D$14:D$920,TrialBalanceC!M285,JournalsC!J$14:J$920)+SUMIF(JournalsC!E$14:E$920,TrialBalanceC!M285,JournalsC!J$14:J$920)</f>
        <v>0</v>
      </c>
      <c r="H285" s="288"/>
      <c r="I285" s="291">
        <f t="shared" si="69"/>
        <v>0</v>
      </c>
      <c r="J285" s="75"/>
      <c r="K285" s="48">
        <f t="shared" si="70"/>
        <v>0</v>
      </c>
      <c r="M285" s="140" t="str">
        <f t="shared" si="71"/>
        <v>7000/003Goodwill - additions</v>
      </c>
      <c r="N285" s="70"/>
      <c r="P285" s="71"/>
      <c r="Q285" s="51"/>
      <c r="R285" s="31"/>
    </row>
    <row r="286" spans="1:18" x14ac:dyDescent="0.2">
      <c r="A286" s="238"/>
      <c r="B286" s="90" t="s">
        <v>1027</v>
      </c>
      <c r="C286" s="239" t="s">
        <v>1028</v>
      </c>
      <c r="D286" s="283"/>
      <c r="E286" s="281"/>
      <c r="F286" s="79"/>
      <c r="G286" s="47">
        <f>SUMIF(JournalsC!D$14:D$920,TrialBalanceC!M286,JournalsC!J$14:J$920)+SUMIF(JournalsC!E$14:E$920,TrialBalanceC!M286,JournalsC!J$14:J$920)</f>
        <v>0</v>
      </c>
      <c r="H286" s="288"/>
      <c r="I286" s="291">
        <f t="shared" si="69"/>
        <v>0</v>
      </c>
      <c r="J286" s="75"/>
      <c r="K286" s="48">
        <f t="shared" si="70"/>
        <v>0</v>
      </c>
      <c r="M286" s="140" t="str">
        <f t="shared" si="71"/>
        <v>7000/005GOODWILL - ACC AMORTISATION</v>
      </c>
      <c r="N286" s="70"/>
      <c r="P286" s="71"/>
      <c r="Q286" s="51"/>
      <c r="R286" s="31"/>
    </row>
    <row r="287" spans="1:18" x14ac:dyDescent="0.2">
      <c r="A287" s="238"/>
      <c r="B287" s="90" t="s">
        <v>1029</v>
      </c>
      <c r="C287" s="242" t="s">
        <v>1030</v>
      </c>
      <c r="D287" s="283"/>
      <c r="E287" s="281"/>
      <c r="F287" s="79">
        <f>SUM(K287:K288)</f>
        <v>0</v>
      </c>
      <c r="G287" s="47">
        <f>SUMIF(JournalsC!D$14:D$920,TrialBalanceC!M287,JournalsC!J$14:J$920)+SUMIF(JournalsC!E$14:E$920,TrialBalanceC!M287,JournalsC!J$14:J$920)</f>
        <v>0</v>
      </c>
      <c r="H287" s="288"/>
      <c r="I287" s="291">
        <f t="shared" si="69"/>
        <v>0</v>
      </c>
      <c r="J287" s="75"/>
      <c r="K287" s="48">
        <f t="shared" si="70"/>
        <v>0</v>
      </c>
      <c r="M287" s="140" t="str">
        <f t="shared" si="71"/>
        <v>7000/006Goodwill - acc amortisation b/fwd</v>
      </c>
      <c r="N287" s="70"/>
      <c r="P287" s="71"/>
      <c r="Q287" s="51"/>
      <c r="R287" s="31"/>
    </row>
    <row r="288" spans="1:18" x14ac:dyDescent="0.2">
      <c r="A288" s="238"/>
      <c r="B288" s="90" t="s">
        <v>1031</v>
      </c>
      <c r="C288" s="242" t="s">
        <v>1032</v>
      </c>
      <c r="D288" s="283"/>
      <c r="E288" s="281"/>
      <c r="F288" s="79"/>
      <c r="G288" s="47">
        <f>SUMIF(JournalsC!D$14:D$920,TrialBalanceC!M288,JournalsC!J$14:J$920)+SUMIF(JournalsC!E$14:E$920,TrialBalanceC!M288,JournalsC!J$14:J$920)</f>
        <v>0</v>
      </c>
      <c r="H288" s="288"/>
      <c r="I288" s="291">
        <f t="shared" si="69"/>
        <v>0</v>
      </c>
      <c r="J288" s="75"/>
      <c r="K288" s="48">
        <f t="shared" si="70"/>
        <v>0</v>
      </c>
      <c r="M288" s="140" t="str">
        <f t="shared" si="71"/>
        <v>7000/007Goodwill - amortisation this year</v>
      </c>
      <c r="N288" s="70"/>
      <c r="P288" s="71"/>
      <c r="Q288" s="51"/>
      <c r="R288" s="31"/>
    </row>
    <row r="289" spans="1:18" x14ac:dyDescent="0.2">
      <c r="A289" s="238"/>
      <c r="B289" s="90" t="s">
        <v>464</v>
      </c>
      <c r="C289" s="239" t="s">
        <v>1033</v>
      </c>
      <c r="D289" s="283"/>
      <c r="E289" s="281"/>
      <c r="F289" s="79"/>
      <c r="G289" s="47">
        <f>SUMIF(JournalsC!D$14:D$920,TrialBalanceC!M289,JournalsC!J$14:J$920)+SUMIF(JournalsC!E$14:E$920,TrialBalanceC!M289,JournalsC!J$14:J$920)</f>
        <v>0</v>
      </c>
      <c r="H289" s="288"/>
      <c r="I289" s="291">
        <f t="shared" si="69"/>
        <v>0</v>
      </c>
      <c r="J289" s="75"/>
      <c r="K289" s="48">
        <f t="shared" si="70"/>
        <v>0</v>
      </c>
      <c r="M289" s="140" t="str">
        <f t="shared" si="71"/>
        <v>7000/010GOODWILL - IMPAIRMENT</v>
      </c>
      <c r="N289" s="70"/>
      <c r="P289" s="71"/>
      <c r="Q289" s="51"/>
      <c r="R289" s="31"/>
    </row>
    <row r="290" spans="1:18" x14ac:dyDescent="0.2">
      <c r="A290" s="238"/>
      <c r="B290" s="90" t="s">
        <v>653</v>
      </c>
      <c r="C290" s="242" t="s">
        <v>1034</v>
      </c>
      <c r="D290" s="283"/>
      <c r="E290" s="281"/>
      <c r="F290" s="79">
        <f>SUM(K290:K291)</f>
        <v>0</v>
      </c>
      <c r="G290" s="47">
        <f>SUMIF(JournalsC!D$14:D$920,TrialBalanceC!M290,JournalsC!J$14:J$920)+SUMIF(JournalsC!E$14:E$920,TrialBalanceC!M290,JournalsC!J$14:J$920)</f>
        <v>0</v>
      </c>
      <c r="H290" s="288"/>
      <c r="I290" s="291">
        <f t="shared" si="69"/>
        <v>0</v>
      </c>
      <c r="J290" s="75"/>
      <c r="K290" s="48">
        <f t="shared" si="70"/>
        <v>0</v>
      </c>
      <c r="M290" s="140" t="str">
        <f t="shared" si="71"/>
        <v>7000/011Goodwill - impairment loss b/fwd</v>
      </c>
      <c r="N290" s="70"/>
      <c r="P290" s="71"/>
      <c r="Q290" s="51"/>
      <c r="R290" s="31"/>
    </row>
    <row r="291" spans="1:18" x14ac:dyDescent="0.2">
      <c r="A291" s="238"/>
      <c r="B291" s="90" t="s">
        <v>1035</v>
      </c>
      <c r="C291" s="242" t="s">
        <v>1036</v>
      </c>
      <c r="D291" s="283"/>
      <c r="E291" s="281"/>
      <c r="F291" s="79"/>
      <c r="G291" s="47">
        <f>SUMIF(JournalsC!D$14:D$920,TrialBalanceC!M291,JournalsC!J$14:J$920)+SUMIF(JournalsC!E$14:E$920,TrialBalanceC!M291,JournalsC!J$14:J$920)</f>
        <v>0</v>
      </c>
      <c r="H291" s="288"/>
      <c r="I291" s="291">
        <f t="shared" si="69"/>
        <v>0</v>
      </c>
      <c r="J291" s="75"/>
      <c r="K291" s="48">
        <f t="shared" si="70"/>
        <v>0</v>
      </c>
      <c r="M291" s="140" t="str">
        <f t="shared" si="71"/>
        <v>7000/012Goodwill - impairment loss this year</v>
      </c>
      <c r="N291" s="70"/>
      <c r="P291" s="71"/>
      <c r="Q291" s="51"/>
      <c r="R291" s="31"/>
    </row>
    <row r="292" spans="1:18" x14ac:dyDescent="0.2">
      <c r="A292" s="238"/>
      <c r="B292" s="90" t="s">
        <v>1037</v>
      </c>
      <c r="C292" s="239" t="s">
        <v>1038</v>
      </c>
      <c r="D292" s="283"/>
      <c r="E292" s="281"/>
      <c r="F292" s="79"/>
      <c r="G292" s="47">
        <f>SUMIF(JournalsC!D$14:D$920,TrialBalanceC!M292,JournalsC!J$14:J$920)+SUMIF(JournalsC!E$14:E$920,TrialBalanceC!M292,JournalsC!J$14:J$920)</f>
        <v>0</v>
      </c>
      <c r="H292" s="288"/>
      <c r="I292" s="291">
        <f t="shared" si="69"/>
        <v>0</v>
      </c>
      <c r="J292" s="75"/>
      <c r="K292" s="48">
        <f t="shared" si="70"/>
        <v>0</v>
      </c>
      <c r="M292" s="140" t="str">
        <f t="shared" si="71"/>
        <v>7000/021PREPAID LEASE AGREEMENT - COST</v>
      </c>
      <c r="N292" s="70"/>
      <c r="P292" s="71"/>
      <c r="Q292" s="51"/>
      <c r="R292" s="31"/>
    </row>
    <row r="293" spans="1:18" x14ac:dyDescent="0.2">
      <c r="A293" s="238"/>
      <c r="B293" s="90" t="s">
        <v>1039</v>
      </c>
      <c r="C293" s="242" t="s">
        <v>1040</v>
      </c>
      <c r="D293" s="283"/>
      <c r="E293" s="281"/>
      <c r="F293" s="79">
        <f>SUM(K293:K294)</f>
        <v>0</v>
      </c>
      <c r="G293" s="47">
        <f>SUMIF(JournalsC!D$14:D$920,TrialBalanceC!M293,JournalsC!J$14:J$920)+SUMIF(JournalsC!E$14:E$920,TrialBalanceC!M293,JournalsC!J$14:J$920)</f>
        <v>0</v>
      </c>
      <c r="H293" s="288"/>
      <c r="I293" s="291">
        <f t="shared" si="69"/>
        <v>0</v>
      </c>
      <c r="J293" s="75"/>
      <c r="K293" s="48">
        <f t="shared" si="70"/>
        <v>0</v>
      </c>
      <c r="M293" s="140" t="str">
        <f t="shared" si="71"/>
        <v>7000/022Prepaid lease agreement - cost b/fwd</v>
      </c>
      <c r="N293" s="70"/>
      <c r="P293" s="71"/>
      <c r="Q293" s="51"/>
      <c r="R293" s="31"/>
    </row>
    <row r="294" spans="1:18" x14ac:dyDescent="0.2">
      <c r="A294" s="238"/>
      <c r="B294" s="90" t="s">
        <v>1041</v>
      </c>
      <c r="C294" s="242" t="s">
        <v>1042</v>
      </c>
      <c r="D294" s="283"/>
      <c r="E294" s="281"/>
      <c r="F294" s="79"/>
      <c r="G294" s="47">
        <f>SUMIF(JournalsC!D$14:D$920,TrialBalanceC!M294,JournalsC!J$14:J$920)+SUMIF(JournalsC!E$14:E$920,TrialBalanceC!M294,JournalsC!J$14:J$920)</f>
        <v>0</v>
      </c>
      <c r="H294" s="288"/>
      <c r="I294" s="291">
        <f t="shared" si="69"/>
        <v>0</v>
      </c>
      <c r="J294" s="75"/>
      <c r="K294" s="48">
        <f t="shared" si="70"/>
        <v>0</v>
      </c>
      <c r="M294" s="140" t="str">
        <f t="shared" si="71"/>
        <v>7000/023Prepaid lease agreement - additions</v>
      </c>
      <c r="N294" s="70"/>
      <c r="P294" s="71"/>
      <c r="Q294" s="51"/>
      <c r="R294" s="31"/>
    </row>
    <row r="295" spans="1:18" x14ac:dyDescent="0.2">
      <c r="A295" s="238"/>
      <c r="B295" s="90" t="s">
        <v>465</v>
      </c>
      <c r="C295" s="239" t="s">
        <v>1043</v>
      </c>
      <c r="D295" s="283"/>
      <c r="E295" s="281"/>
      <c r="F295" s="79"/>
      <c r="G295" s="47">
        <f>SUMIF(JournalsC!D$14:D$920,TrialBalanceC!M295,JournalsC!J$14:J$920)+SUMIF(JournalsC!E$14:E$920,TrialBalanceC!M295,JournalsC!J$14:J$920)</f>
        <v>0</v>
      </c>
      <c r="H295" s="288"/>
      <c r="I295" s="291">
        <f t="shared" si="69"/>
        <v>0</v>
      </c>
      <c r="J295" s="75"/>
      <c r="K295" s="48">
        <f t="shared" si="70"/>
        <v>0</v>
      </c>
      <c r="M295" s="140" t="str">
        <f t="shared" si="71"/>
        <v>7000/025PREPAID LEASE AGREEMENT - ACC AMORTISATION</v>
      </c>
      <c r="N295" s="70"/>
      <c r="P295" s="71"/>
      <c r="Q295" s="51"/>
      <c r="R295" s="31"/>
    </row>
    <row r="296" spans="1:18" x14ac:dyDescent="0.2">
      <c r="A296" s="238"/>
      <c r="B296" s="90" t="s">
        <v>1044</v>
      </c>
      <c r="C296" s="242" t="s">
        <v>1045</v>
      </c>
      <c r="D296" s="283"/>
      <c r="E296" s="281"/>
      <c r="F296" s="79">
        <f>SUM(K296:K297)</f>
        <v>0</v>
      </c>
      <c r="G296" s="47">
        <f>SUMIF(JournalsC!D$14:D$920,TrialBalanceC!M296,JournalsC!J$14:J$920)+SUMIF(JournalsC!E$14:E$920,TrialBalanceC!M296,JournalsC!J$14:J$920)</f>
        <v>0</v>
      </c>
      <c r="H296" s="288"/>
      <c r="I296" s="291">
        <f t="shared" si="69"/>
        <v>0</v>
      </c>
      <c r="J296" s="75"/>
      <c r="K296" s="48">
        <f t="shared" si="70"/>
        <v>0</v>
      </c>
      <c r="M296" s="140" t="str">
        <f t="shared" si="71"/>
        <v>7000/026Prepaid lease agreement - acc amortisation b/fwd</v>
      </c>
      <c r="N296" s="70"/>
      <c r="P296" s="71"/>
      <c r="Q296" s="51"/>
      <c r="R296" s="31"/>
    </row>
    <row r="297" spans="1:18" x14ac:dyDescent="0.2">
      <c r="A297" s="238"/>
      <c r="B297" s="90" t="s">
        <v>1046</v>
      </c>
      <c r="C297" s="242" t="s">
        <v>1047</v>
      </c>
      <c r="D297" s="283"/>
      <c r="E297" s="281"/>
      <c r="F297" s="79"/>
      <c r="G297" s="47">
        <f>SUMIF(JournalsC!D$14:D$920,TrialBalanceC!M297,JournalsC!J$14:J$920)+SUMIF(JournalsC!E$14:E$920,TrialBalanceC!M297,JournalsC!J$14:J$920)</f>
        <v>0</v>
      </c>
      <c r="H297" s="288"/>
      <c r="I297" s="291">
        <f>ROUND(D297-E297+G297+F297,0)</f>
        <v>0</v>
      </c>
      <c r="J297" s="75"/>
      <c r="K297" s="48">
        <f t="shared" si="70"/>
        <v>0</v>
      </c>
      <c r="M297" s="140" t="str">
        <f t="shared" si="71"/>
        <v>7000/027Prepaid lease agreement - amortisation this year</v>
      </c>
      <c r="N297" s="70"/>
      <c r="P297" s="71"/>
      <c r="Q297" s="51"/>
      <c r="R297" s="31"/>
    </row>
    <row r="298" spans="1:18" x14ac:dyDescent="0.2">
      <c r="A298" s="238"/>
      <c r="B298" s="90" t="s">
        <v>1048</v>
      </c>
      <c r="C298" s="239" t="s">
        <v>1049</v>
      </c>
      <c r="D298" s="283"/>
      <c r="E298" s="281"/>
      <c r="F298" s="79"/>
      <c r="G298" s="47">
        <f>SUMIF(JournalsC!D$14:D$920,TrialBalanceC!M298,JournalsC!J$14:J$920)+SUMIF(JournalsC!E$14:E$920,TrialBalanceC!M298,JournalsC!J$14:J$920)</f>
        <v>0</v>
      </c>
      <c r="H298" s="288"/>
      <c r="I298" s="291">
        <f t="shared" si="69"/>
        <v>0</v>
      </c>
      <c r="J298" s="75"/>
      <c r="K298" s="48">
        <f t="shared" si="70"/>
        <v>0</v>
      </c>
      <c r="M298" s="140" t="str">
        <f t="shared" si="71"/>
        <v>7000/030PREPAID LEASE AGREEMENT - IMPAIRMENT</v>
      </c>
      <c r="N298" s="70"/>
      <c r="P298" s="71"/>
      <c r="Q298" s="51"/>
      <c r="R298" s="31"/>
    </row>
    <row r="299" spans="1:18" x14ac:dyDescent="0.2">
      <c r="A299" s="238"/>
      <c r="B299" s="90" t="s">
        <v>1050</v>
      </c>
      <c r="C299" s="242" t="s">
        <v>1051</v>
      </c>
      <c r="D299" s="283"/>
      <c r="E299" s="281"/>
      <c r="F299" s="79">
        <f>SUM(K299:K300)</f>
        <v>0</v>
      </c>
      <c r="G299" s="47">
        <f>SUMIF(JournalsC!D$14:D$920,TrialBalanceC!M299,JournalsC!J$14:J$920)+SUMIF(JournalsC!E$14:E$920,TrialBalanceC!M299,JournalsC!J$14:J$920)</f>
        <v>0</v>
      </c>
      <c r="H299" s="288"/>
      <c r="I299" s="291">
        <f t="shared" si="69"/>
        <v>0</v>
      </c>
      <c r="J299" s="75"/>
      <c r="K299" s="48">
        <f t="shared" si="70"/>
        <v>0</v>
      </c>
      <c r="M299" s="140" t="str">
        <f t="shared" si="71"/>
        <v>7000/031Prepaid lease agreement - impairment loss b/fwd</v>
      </c>
      <c r="N299" s="70"/>
      <c r="P299" s="71"/>
      <c r="Q299" s="51"/>
      <c r="R299" s="31"/>
    </row>
    <row r="300" spans="1:18" x14ac:dyDescent="0.2">
      <c r="A300" s="238"/>
      <c r="B300" s="90" t="s">
        <v>1052</v>
      </c>
      <c r="C300" s="242" t="s">
        <v>1053</v>
      </c>
      <c r="D300" s="283"/>
      <c r="E300" s="281"/>
      <c r="F300" s="79"/>
      <c r="G300" s="47">
        <f>SUMIF(JournalsC!D$14:D$920,TrialBalanceC!M300,JournalsC!J$14:J$920)+SUMIF(JournalsC!E$14:E$920,TrialBalanceC!M300,JournalsC!J$14:J$920)</f>
        <v>0</v>
      </c>
      <c r="H300" s="288"/>
      <c r="I300" s="291">
        <f t="shared" si="69"/>
        <v>0</v>
      </c>
      <c r="J300" s="75"/>
      <c r="K300" s="48">
        <f t="shared" si="70"/>
        <v>0</v>
      </c>
      <c r="M300" s="140" t="str">
        <f t="shared" si="71"/>
        <v>7000/032Prepaid lease agreement - impairment loss this year</v>
      </c>
      <c r="N300" s="70"/>
      <c r="P300" s="71"/>
      <c r="Q300" s="51"/>
      <c r="R300" s="31"/>
    </row>
    <row r="301" spans="1:18" x14ac:dyDescent="0.2">
      <c r="A301" s="238"/>
      <c r="B301" s="54" t="s">
        <v>466</v>
      </c>
      <c r="C301" s="239" t="s">
        <v>171</v>
      </c>
      <c r="D301" s="283"/>
      <c r="E301" s="281"/>
      <c r="F301" s="79"/>
      <c r="G301" s="47">
        <f>SUMIF(JournalsC!D$14:D$920,TrialBalanceC!M301,JournalsC!J$14:J$920)+SUMIF(JournalsC!E$14:E$920,TrialBalanceC!M301,JournalsC!J$14:J$920)</f>
        <v>0</v>
      </c>
      <c r="H301" s="288"/>
      <c r="I301" s="291">
        <f t="shared" si="68"/>
        <v>0</v>
      </c>
      <c r="J301" s="75"/>
      <c r="K301" s="48">
        <f t="shared" ref="K301:K388" si="72">ROUND(SUM(A301),0)</f>
        <v>0</v>
      </c>
      <c r="M301" s="140" t="str">
        <f t="shared" ref="M301:M388" si="73">CONCATENATE(B301,C301)</f>
        <v>7100/000INVESTMENTS</v>
      </c>
      <c r="N301" s="70"/>
      <c r="P301" s="71"/>
      <c r="Q301" s="51"/>
      <c r="R301" s="31"/>
    </row>
    <row r="302" spans="1:18" x14ac:dyDescent="0.2">
      <c r="A302" s="238"/>
      <c r="B302" s="90" t="s">
        <v>917</v>
      </c>
      <c r="C302" s="242" t="s">
        <v>918</v>
      </c>
      <c r="D302" s="283"/>
      <c r="E302" s="281"/>
      <c r="F302" s="79"/>
      <c r="G302" s="47">
        <f>SUMIF(JournalsC!D$14:D$920,TrialBalanceC!M302,JournalsC!J$14:J$920)+SUMIF(JournalsC!E$14:E$920,TrialBalanceC!M302,JournalsC!J$14:J$920)</f>
        <v>0</v>
      </c>
      <c r="H302" s="288"/>
      <c r="I302" s="291">
        <f t="shared" ref="I302:I305" si="74">ROUND(D302-E302+G302+F302,0)</f>
        <v>0</v>
      </c>
      <c r="J302" s="75"/>
      <c r="K302" s="48">
        <f t="shared" ref="K302:K305" si="75">ROUND(SUM(A302),0)</f>
        <v>0</v>
      </c>
      <c r="M302" s="140" t="str">
        <f t="shared" ref="M302:M305" si="76">CONCATENATE(B302,C302)</f>
        <v>7100/050INVESTMENTS IN ASSOCIATES</v>
      </c>
      <c r="N302" s="70"/>
      <c r="P302" s="71"/>
      <c r="Q302" s="51"/>
      <c r="R302" s="31"/>
    </row>
    <row r="303" spans="1:18" x14ac:dyDescent="0.2">
      <c r="A303" s="238"/>
      <c r="B303" s="90" t="s">
        <v>919</v>
      </c>
      <c r="C303" s="276" t="str">
        <f>TrialBalance!C303</f>
        <v>100 Shares in ABC Company (Pty) Ltd - 100% interest</v>
      </c>
      <c r="D303" s="250"/>
      <c r="E303" s="251"/>
      <c r="F303" s="79">
        <f>K303</f>
        <v>0</v>
      </c>
      <c r="G303" s="47">
        <f>SUMIF(JournalsC!D$14:D$920,TrialBalanceC!M303,JournalsC!J$14:J$920)+SUMIF(JournalsC!E$14:E$920,TrialBalanceC!M303,JournalsC!J$14:J$920)</f>
        <v>0</v>
      </c>
      <c r="H303" s="288"/>
      <c r="I303" s="291">
        <f t="shared" si="74"/>
        <v>0</v>
      </c>
      <c r="J303" s="75"/>
      <c r="K303" s="48">
        <f t="shared" si="75"/>
        <v>0</v>
      </c>
      <c r="M303" s="140" t="str">
        <f t="shared" si="76"/>
        <v>7100/051100 Shares in ABC Company (Pty) Ltd - 100% interest</v>
      </c>
      <c r="N303" s="70"/>
      <c r="P303" s="71"/>
      <c r="Q303" s="51"/>
      <c r="R303" s="31"/>
    </row>
    <row r="304" spans="1:18" x14ac:dyDescent="0.2">
      <c r="A304" s="238"/>
      <c r="B304" s="90" t="s">
        <v>921</v>
      </c>
      <c r="C304" s="276">
        <f>TrialBalance!C304</f>
        <v>0</v>
      </c>
      <c r="D304" s="250"/>
      <c r="E304" s="251"/>
      <c r="F304" s="79">
        <f>K304</f>
        <v>0</v>
      </c>
      <c r="G304" s="47">
        <f>SUMIF(JournalsC!D$14:D$920,TrialBalanceC!M304,JournalsC!J$14:J$920)+SUMIF(JournalsC!E$14:E$920,TrialBalanceC!M304,JournalsC!J$14:J$920)</f>
        <v>0</v>
      </c>
      <c r="H304" s="288"/>
      <c r="I304" s="291">
        <f t="shared" si="74"/>
        <v>0</v>
      </c>
      <c r="J304" s="75"/>
      <c r="K304" s="48">
        <f t="shared" si="75"/>
        <v>0</v>
      </c>
      <c r="M304" s="140" t="str">
        <f t="shared" si="76"/>
        <v>7100/0520</v>
      </c>
      <c r="N304" s="70"/>
      <c r="P304" s="71"/>
      <c r="Q304" s="51"/>
      <c r="R304" s="31"/>
    </row>
    <row r="305" spans="1:18" x14ac:dyDescent="0.2">
      <c r="A305" s="238"/>
      <c r="B305" s="90" t="s">
        <v>922</v>
      </c>
      <c r="C305" s="276">
        <f>TrialBalance!C305</f>
        <v>0</v>
      </c>
      <c r="D305" s="250"/>
      <c r="E305" s="251"/>
      <c r="F305" s="79">
        <f>K305</f>
        <v>0</v>
      </c>
      <c r="G305" s="47">
        <f>SUMIF(JournalsC!D$14:D$920,TrialBalanceC!M305,JournalsC!J$14:J$920)+SUMIF(JournalsC!E$14:E$920,TrialBalanceC!M305,JournalsC!J$14:J$920)</f>
        <v>0</v>
      </c>
      <c r="H305" s="288"/>
      <c r="I305" s="291">
        <f t="shared" si="74"/>
        <v>0</v>
      </c>
      <c r="J305" s="75"/>
      <c r="K305" s="48">
        <f t="shared" si="75"/>
        <v>0</v>
      </c>
      <c r="M305" s="140" t="str">
        <f t="shared" si="76"/>
        <v>7100/0530</v>
      </c>
      <c r="N305" s="70"/>
      <c r="P305" s="71"/>
      <c r="Q305" s="51"/>
      <c r="R305" s="31"/>
    </row>
    <row r="306" spans="1:18" x14ac:dyDescent="0.2">
      <c r="A306" s="238"/>
      <c r="B306" s="54" t="s">
        <v>467</v>
      </c>
      <c r="C306" s="240" t="s">
        <v>468</v>
      </c>
      <c r="D306" s="282"/>
      <c r="E306" s="281"/>
      <c r="F306" s="79"/>
      <c r="G306" s="47">
        <f>SUMIF(JournalsC!D$14:D$920,TrialBalanceC!M306,JournalsC!J$14:J$920)+SUMIF(JournalsC!E$14:E$920,TrialBalanceC!M306,JournalsC!J$14:J$920)</f>
        <v>0</v>
      </c>
      <c r="H306" s="288"/>
      <c r="I306" s="291">
        <f t="shared" si="68"/>
        <v>0</v>
      </c>
      <c r="J306" s="75"/>
      <c r="K306" s="48">
        <f t="shared" si="72"/>
        <v>0</v>
      </c>
      <c r="M306" s="140" t="str">
        <f t="shared" si="73"/>
        <v>7100/100LISTED INVESTMENTS</v>
      </c>
      <c r="N306" s="70"/>
      <c r="P306" s="71"/>
      <c r="Q306" s="51"/>
      <c r="R306" s="31"/>
    </row>
    <row r="307" spans="1:18" x14ac:dyDescent="0.2">
      <c r="A307" s="238"/>
      <c r="B307" s="54" t="s">
        <v>469</v>
      </c>
      <c r="C307" s="276">
        <f>TrialBalance!C307</f>
        <v>0</v>
      </c>
      <c r="D307" s="282"/>
      <c r="E307" s="281"/>
      <c r="F307" s="79">
        <f>K307</f>
        <v>0</v>
      </c>
      <c r="G307" s="47">
        <f>SUMIF(JournalsC!D$14:D$920,TrialBalanceC!M307,JournalsC!J$14:J$920)+SUMIF(JournalsC!E$14:E$920,TrialBalanceC!M307,JournalsC!J$14:J$920)</f>
        <v>0</v>
      </c>
      <c r="H307" s="288"/>
      <c r="I307" s="291">
        <f t="shared" si="68"/>
        <v>0</v>
      </c>
      <c r="J307" s="75"/>
      <c r="K307" s="48">
        <f t="shared" si="72"/>
        <v>0</v>
      </c>
      <c r="M307" s="140" t="str">
        <f t="shared" si="73"/>
        <v>7100/1010</v>
      </c>
      <c r="N307" s="70"/>
      <c r="P307" s="71"/>
      <c r="Q307" s="51"/>
      <c r="R307" s="31"/>
    </row>
    <row r="308" spans="1:18" x14ac:dyDescent="0.2">
      <c r="A308" s="238"/>
      <c r="B308" s="54" t="s">
        <v>470</v>
      </c>
      <c r="C308" s="276">
        <f>TrialBalance!C308</f>
        <v>0</v>
      </c>
      <c r="D308" s="282"/>
      <c r="E308" s="281"/>
      <c r="F308" s="79">
        <f t="shared" ref="F308:F376" si="77">K308</f>
        <v>0</v>
      </c>
      <c r="G308" s="47">
        <f>SUMIF(JournalsC!D$14:D$920,TrialBalanceC!M308,JournalsC!J$14:J$920)+SUMIF(JournalsC!E$14:E$920,TrialBalanceC!M308,JournalsC!J$14:J$920)</f>
        <v>0</v>
      </c>
      <c r="H308" s="288"/>
      <c r="I308" s="291">
        <f t="shared" si="68"/>
        <v>0</v>
      </c>
      <c r="J308" s="75"/>
      <c r="K308" s="48">
        <f t="shared" si="72"/>
        <v>0</v>
      </c>
      <c r="M308" s="140" t="str">
        <f t="shared" si="73"/>
        <v>7100/1020</v>
      </c>
      <c r="N308" s="70"/>
      <c r="P308" s="71"/>
      <c r="Q308" s="51"/>
      <c r="R308" s="31"/>
    </row>
    <row r="309" spans="1:18" x14ac:dyDescent="0.2">
      <c r="A309" s="238"/>
      <c r="B309" s="54" t="s">
        <v>471</v>
      </c>
      <c r="C309" s="276">
        <f>TrialBalance!C309</f>
        <v>0</v>
      </c>
      <c r="D309" s="282"/>
      <c r="E309" s="281"/>
      <c r="F309" s="79">
        <f t="shared" si="77"/>
        <v>0</v>
      </c>
      <c r="G309" s="47">
        <f>SUMIF(JournalsC!D$14:D$920,TrialBalanceC!M309,JournalsC!J$14:J$920)+SUMIF(JournalsC!E$14:E$920,TrialBalanceC!M309,JournalsC!J$14:J$920)</f>
        <v>0</v>
      </c>
      <c r="H309" s="288"/>
      <c r="I309" s="291">
        <f t="shared" si="68"/>
        <v>0</v>
      </c>
      <c r="J309" s="75"/>
      <c r="K309" s="48">
        <f t="shared" si="72"/>
        <v>0</v>
      </c>
      <c r="M309" s="140" t="str">
        <f t="shared" si="73"/>
        <v>7100/1030</v>
      </c>
      <c r="N309" s="70"/>
      <c r="P309" s="71"/>
      <c r="Q309" s="51"/>
      <c r="R309" s="31"/>
    </row>
    <row r="310" spans="1:18" x14ac:dyDescent="0.2">
      <c r="A310" s="238"/>
      <c r="B310" s="54" t="s">
        <v>472</v>
      </c>
      <c r="C310" s="276">
        <f>TrialBalance!C310</f>
        <v>0</v>
      </c>
      <c r="D310" s="282"/>
      <c r="E310" s="281"/>
      <c r="F310" s="79">
        <f t="shared" si="77"/>
        <v>0</v>
      </c>
      <c r="G310" s="47">
        <f>SUMIF(JournalsC!D$14:D$920,TrialBalanceC!M310,JournalsC!J$14:J$920)+SUMIF(JournalsC!E$14:E$920,TrialBalanceC!M310,JournalsC!J$14:J$920)</f>
        <v>0</v>
      </c>
      <c r="H310" s="288"/>
      <c r="I310" s="291">
        <f t="shared" si="68"/>
        <v>0</v>
      </c>
      <c r="J310" s="75"/>
      <c r="K310" s="48">
        <f t="shared" si="72"/>
        <v>0</v>
      </c>
      <c r="M310" s="140" t="str">
        <f t="shared" si="73"/>
        <v>7100/1040</v>
      </c>
      <c r="N310" s="70"/>
      <c r="P310" s="71"/>
      <c r="Q310" s="51"/>
      <c r="R310" s="31"/>
    </row>
    <row r="311" spans="1:18" x14ac:dyDescent="0.2">
      <c r="A311" s="238"/>
      <c r="B311" s="54" t="s">
        <v>473</v>
      </c>
      <c r="C311" s="276">
        <f>TrialBalance!C311</f>
        <v>0</v>
      </c>
      <c r="D311" s="282"/>
      <c r="E311" s="281"/>
      <c r="F311" s="79">
        <f t="shared" si="77"/>
        <v>0</v>
      </c>
      <c r="G311" s="47">
        <f>SUMIF(JournalsC!D$14:D$920,TrialBalanceC!M311,JournalsC!J$14:J$920)+SUMIF(JournalsC!E$14:E$920,TrialBalanceC!M311,JournalsC!J$14:J$920)</f>
        <v>0</v>
      </c>
      <c r="H311" s="288"/>
      <c r="I311" s="291">
        <f t="shared" si="68"/>
        <v>0</v>
      </c>
      <c r="J311" s="75"/>
      <c r="K311" s="48">
        <f t="shared" si="72"/>
        <v>0</v>
      </c>
      <c r="M311" s="140" t="str">
        <f t="shared" si="73"/>
        <v>7100/1050</v>
      </c>
      <c r="N311" s="70"/>
      <c r="P311" s="71"/>
      <c r="Q311" s="51"/>
      <c r="R311" s="31"/>
    </row>
    <row r="312" spans="1:18" x14ac:dyDescent="0.2">
      <c r="A312" s="238"/>
      <c r="B312" s="54" t="s">
        <v>474</v>
      </c>
      <c r="C312" s="239" t="s">
        <v>373</v>
      </c>
      <c r="D312" s="283"/>
      <c r="E312" s="281"/>
      <c r="F312" s="79"/>
      <c r="G312" s="47">
        <f>SUMIF(JournalsC!D$14:D$920,TrialBalanceC!M312,JournalsC!J$14:J$920)+SUMIF(JournalsC!E$14:E$920,TrialBalanceC!M312,JournalsC!J$14:J$920)</f>
        <v>0</v>
      </c>
      <c r="H312" s="288"/>
      <c r="I312" s="291">
        <f t="shared" si="68"/>
        <v>0</v>
      </c>
      <c r="J312" s="75"/>
      <c r="K312" s="48">
        <f t="shared" si="72"/>
        <v>0</v>
      </c>
      <c r="M312" s="140" t="str">
        <f t="shared" si="73"/>
        <v>7100/200OTHER INVESTMENTS</v>
      </c>
      <c r="N312" s="70"/>
      <c r="P312" s="71"/>
      <c r="Q312" s="51"/>
      <c r="R312" s="31"/>
    </row>
    <row r="313" spans="1:18" x14ac:dyDescent="0.2">
      <c r="A313" s="238"/>
      <c r="B313" s="54" t="s">
        <v>475</v>
      </c>
      <c r="C313" s="276">
        <f>TrialBalance!C313</f>
        <v>0</v>
      </c>
      <c r="D313" s="284"/>
      <c r="E313" s="281"/>
      <c r="F313" s="79">
        <f t="shared" si="77"/>
        <v>0</v>
      </c>
      <c r="G313" s="47">
        <f>SUMIF(JournalsC!D$14:D$920,TrialBalanceC!M313,JournalsC!J$14:J$920)+SUMIF(JournalsC!E$14:E$920,TrialBalanceC!M313,JournalsC!J$14:J$920)</f>
        <v>0</v>
      </c>
      <c r="H313" s="288"/>
      <c r="I313" s="291">
        <f t="shared" si="68"/>
        <v>0</v>
      </c>
      <c r="J313" s="75"/>
      <c r="K313" s="48">
        <f t="shared" si="72"/>
        <v>0</v>
      </c>
      <c r="M313" s="140" t="str">
        <f t="shared" si="73"/>
        <v>7100/2010</v>
      </c>
      <c r="N313" s="70"/>
      <c r="P313" s="71"/>
      <c r="Q313" s="51"/>
      <c r="R313" s="31"/>
    </row>
    <row r="314" spans="1:18" x14ac:dyDescent="0.2">
      <c r="A314" s="238"/>
      <c r="B314" s="54" t="s">
        <v>476</v>
      </c>
      <c r="C314" s="276">
        <f>TrialBalance!C314</f>
        <v>0</v>
      </c>
      <c r="D314" s="284"/>
      <c r="E314" s="281"/>
      <c r="F314" s="79">
        <f t="shared" si="77"/>
        <v>0</v>
      </c>
      <c r="G314" s="47">
        <f>SUMIF(JournalsC!D$14:D$920,TrialBalanceC!M314,JournalsC!J$14:J$920)+SUMIF(JournalsC!E$14:E$920,TrialBalanceC!M314,JournalsC!J$14:J$920)</f>
        <v>0</v>
      </c>
      <c r="H314" s="288"/>
      <c r="I314" s="291">
        <f t="shared" si="68"/>
        <v>0</v>
      </c>
      <c r="J314" s="75"/>
      <c r="K314" s="48">
        <f t="shared" si="72"/>
        <v>0</v>
      </c>
      <c r="M314" s="140" t="str">
        <f t="shared" si="73"/>
        <v>7100/2020</v>
      </c>
      <c r="N314" s="70"/>
      <c r="P314" s="71"/>
      <c r="Q314" s="51"/>
      <c r="R314" s="31"/>
    </row>
    <row r="315" spans="1:18" x14ac:dyDescent="0.2">
      <c r="A315" s="238"/>
      <c r="B315" s="54" t="s">
        <v>477</v>
      </c>
      <c r="C315" s="276">
        <f>TrialBalance!C315</f>
        <v>0</v>
      </c>
      <c r="D315" s="282"/>
      <c r="E315" s="281"/>
      <c r="F315" s="79">
        <f t="shared" si="77"/>
        <v>0</v>
      </c>
      <c r="G315" s="47">
        <f>SUMIF(JournalsC!D$14:D$920,TrialBalanceC!M315,JournalsC!J$14:J$920)+SUMIF(JournalsC!E$14:E$920,TrialBalanceC!M315,JournalsC!J$14:J$920)</f>
        <v>0</v>
      </c>
      <c r="H315" s="288"/>
      <c r="I315" s="291">
        <f t="shared" si="68"/>
        <v>0</v>
      </c>
      <c r="J315" s="75"/>
      <c r="K315" s="48">
        <f t="shared" si="72"/>
        <v>0</v>
      </c>
      <c r="M315" s="140" t="str">
        <f t="shared" si="73"/>
        <v>7100/2030</v>
      </c>
      <c r="N315" s="70"/>
      <c r="P315" s="71"/>
      <c r="Q315" s="51"/>
      <c r="R315" s="31"/>
    </row>
    <row r="316" spans="1:18" x14ac:dyDescent="0.2">
      <c r="A316" s="238"/>
      <c r="B316" s="54" t="s">
        <v>478</v>
      </c>
      <c r="C316" s="276">
        <f>TrialBalance!C316</f>
        <v>0</v>
      </c>
      <c r="D316" s="282"/>
      <c r="E316" s="281"/>
      <c r="F316" s="79">
        <f t="shared" si="77"/>
        <v>0</v>
      </c>
      <c r="G316" s="47">
        <f>SUMIF(JournalsC!D$14:D$920,TrialBalanceC!M316,JournalsC!J$14:J$920)+SUMIF(JournalsC!E$14:E$920,TrialBalanceC!M316,JournalsC!J$14:J$920)</f>
        <v>0</v>
      </c>
      <c r="H316" s="288"/>
      <c r="I316" s="291">
        <f t="shared" si="68"/>
        <v>0</v>
      </c>
      <c r="J316" s="75"/>
      <c r="K316" s="48">
        <f t="shared" si="72"/>
        <v>0</v>
      </c>
      <c r="M316" s="140" t="str">
        <f t="shared" si="73"/>
        <v>7100/2040</v>
      </c>
      <c r="N316" s="70"/>
      <c r="P316" s="71"/>
      <c r="Q316" s="51"/>
      <c r="R316" s="31"/>
    </row>
    <row r="317" spans="1:18" x14ac:dyDescent="0.2">
      <c r="A317" s="238"/>
      <c r="B317" s="54" t="s">
        <v>155</v>
      </c>
      <c r="C317" s="276">
        <f>TrialBalance!C317</f>
        <v>0</v>
      </c>
      <c r="D317" s="282"/>
      <c r="E317" s="281"/>
      <c r="F317" s="79">
        <f t="shared" si="77"/>
        <v>0</v>
      </c>
      <c r="G317" s="47">
        <f>SUMIF(JournalsC!D$14:D$920,TrialBalanceC!M317,JournalsC!J$14:J$920)+SUMIF(JournalsC!E$14:E$920,TrialBalanceC!M317,JournalsC!J$14:J$920)</f>
        <v>0</v>
      </c>
      <c r="H317" s="288"/>
      <c r="I317" s="291">
        <f t="shared" si="68"/>
        <v>0</v>
      </c>
      <c r="J317" s="75"/>
      <c r="K317" s="48">
        <f t="shared" si="72"/>
        <v>0</v>
      </c>
      <c r="M317" s="140" t="str">
        <f t="shared" si="73"/>
        <v>7100/2050</v>
      </c>
      <c r="N317" s="70"/>
      <c r="P317" s="71"/>
      <c r="Q317" s="51"/>
      <c r="R317" s="31"/>
    </row>
    <row r="318" spans="1:18" x14ac:dyDescent="0.2">
      <c r="A318" s="238"/>
      <c r="B318" s="54" t="s">
        <v>156</v>
      </c>
      <c r="C318" s="242" t="s">
        <v>734</v>
      </c>
      <c r="D318" s="282"/>
      <c r="E318" s="281"/>
      <c r="F318" s="79"/>
      <c r="G318" s="47">
        <f>SUMIF(JournalsC!D$14:D$920,TrialBalanceC!M318,JournalsC!J$14:J$920)+SUMIF(JournalsC!E$14:E$920,TrialBalanceC!M318,JournalsC!J$14:J$920)</f>
        <v>0</v>
      </c>
      <c r="H318" s="288"/>
      <c r="I318" s="291">
        <f t="shared" si="68"/>
        <v>0</v>
      </c>
      <c r="J318" s="75"/>
      <c r="K318" s="48">
        <f t="shared" si="72"/>
        <v>0</v>
      </c>
      <c r="M318" s="140" t="str">
        <f t="shared" si="73"/>
        <v>7450/000CONNECTED ENTITIES LOANS</v>
      </c>
      <c r="N318" s="70"/>
      <c r="P318" s="71"/>
      <c r="Q318" s="51"/>
      <c r="R318" s="31"/>
    </row>
    <row r="319" spans="1:18" x14ac:dyDescent="0.2">
      <c r="A319" s="238"/>
      <c r="B319" s="54" t="s">
        <v>156</v>
      </c>
      <c r="C319" s="242" t="s">
        <v>679</v>
      </c>
      <c r="D319" s="282"/>
      <c r="E319" s="281"/>
      <c r="F319" s="79"/>
      <c r="G319" s="47">
        <f>SUMIF(JournalsC!D$14:D$920,TrialBalanceC!M319,JournalsC!J$14:J$920)+SUMIF(JournalsC!E$14:E$920,TrialBalanceC!M319,JournalsC!J$14:J$920)</f>
        <v>0</v>
      </c>
      <c r="H319" s="288"/>
      <c r="I319" s="291">
        <f t="shared" ref="I319" si="78">ROUND(D319-E319+G319+F319,0)</f>
        <v>0</v>
      </c>
      <c r="J319" s="75"/>
      <c r="K319" s="48">
        <f t="shared" ref="K319" si="79">ROUND(SUM(A319),0)</f>
        <v>0</v>
      </c>
      <c r="M319" s="140" t="str">
        <f t="shared" ref="M319" si="80">CONCATENATE(B319,C319)</f>
        <v>7450/000Interest bearing</v>
      </c>
      <c r="N319" s="70"/>
      <c r="P319" s="71"/>
      <c r="Q319" s="51"/>
      <c r="R319" s="31"/>
    </row>
    <row r="320" spans="1:18" x14ac:dyDescent="0.2">
      <c r="A320" s="238"/>
      <c r="B320" s="54" t="s">
        <v>157</v>
      </c>
      <c r="C320" s="276">
        <f>TrialBalance!C320</f>
        <v>0</v>
      </c>
      <c r="D320" s="284"/>
      <c r="E320" s="281"/>
      <c r="F320" s="79">
        <f t="shared" si="77"/>
        <v>0</v>
      </c>
      <c r="G320" s="47">
        <f>SUMIF(JournalsC!D$14:D$920,TrialBalanceC!M320,JournalsC!J$14:J$920)+SUMIF(JournalsC!E$14:E$920,TrialBalanceC!M320,JournalsC!J$14:J$920)</f>
        <v>0</v>
      </c>
      <c r="H320" s="288"/>
      <c r="I320" s="291">
        <f t="shared" si="68"/>
        <v>0</v>
      </c>
      <c r="J320" s="75"/>
      <c r="K320" s="48">
        <f t="shared" si="72"/>
        <v>0</v>
      </c>
      <c r="M320" s="140" t="str">
        <f t="shared" si="73"/>
        <v>7450/0010</v>
      </c>
      <c r="N320" s="70"/>
      <c r="P320" s="71"/>
      <c r="Q320" s="51"/>
      <c r="R320" s="31"/>
    </row>
    <row r="321" spans="1:18" x14ac:dyDescent="0.2">
      <c r="A321" s="238"/>
      <c r="B321" s="54" t="s">
        <v>158</v>
      </c>
      <c r="C321" s="276">
        <f>TrialBalance!C321</f>
        <v>0</v>
      </c>
      <c r="D321" s="284"/>
      <c r="E321" s="281"/>
      <c r="F321" s="79">
        <f t="shared" ref="F321:F322" si="81">K321</f>
        <v>0</v>
      </c>
      <c r="G321" s="47">
        <f>SUMIF(JournalsC!D$14:D$920,TrialBalanceC!M321,JournalsC!J$14:J$920)+SUMIF(JournalsC!E$14:E$920,TrialBalanceC!M321,JournalsC!J$14:J$920)</f>
        <v>0</v>
      </c>
      <c r="H321" s="288"/>
      <c r="I321" s="291">
        <f t="shared" ref="I321:I322" si="82">ROUND(D321-E321+G321+F321,0)</f>
        <v>0</v>
      </c>
      <c r="J321" s="75"/>
      <c r="K321" s="48">
        <f t="shared" ref="K321:K322" si="83">ROUND(SUM(A321),0)</f>
        <v>0</v>
      </c>
      <c r="M321" s="140" t="str">
        <f t="shared" ref="M321:M322" si="84">CONCATENATE(B321,C321)</f>
        <v>7450/0020</v>
      </c>
      <c r="N321" s="70"/>
      <c r="P321" s="71"/>
      <c r="Q321" s="51"/>
      <c r="R321" s="31"/>
    </row>
    <row r="322" spans="1:18" x14ac:dyDescent="0.2">
      <c r="A322" s="238"/>
      <c r="B322" s="90" t="s">
        <v>159</v>
      </c>
      <c r="C322" s="276">
        <f>TrialBalance!C322</f>
        <v>0</v>
      </c>
      <c r="D322" s="284"/>
      <c r="E322" s="281"/>
      <c r="F322" s="79">
        <f t="shared" si="81"/>
        <v>0</v>
      </c>
      <c r="G322" s="47">
        <f>SUMIF(JournalsC!D$14:D$920,TrialBalanceC!M322,JournalsC!J$14:J$920)+SUMIF(JournalsC!E$14:E$920,TrialBalanceC!M322,JournalsC!J$14:J$920)</f>
        <v>0</v>
      </c>
      <c r="H322" s="288"/>
      <c r="I322" s="291">
        <f t="shared" si="82"/>
        <v>0</v>
      </c>
      <c r="J322" s="75"/>
      <c r="K322" s="48">
        <f t="shared" si="83"/>
        <v>0</v>
      </c>
      <c r="M322" s="140" t="str">
        <f t="shared" si="84"/>
        <v>7450/0030</v>
      </c>
      <c r="N322" s="70"/>
      <c r="P322" s="71"/>
      <c r="Q322" s="51"/>
      <c r="R322" s="31"/>
    </row>
    <row r="323" spans="1:18" x14ac:dyDescent="0.2">
      <c r="A323" s="238"/>
      <c r="B323" s="90" t="s">
        <v>424</v>
      </c>
      <c r="C323" s="276">
        <f>TrialBalance!C323</f>
        <v>0</v>
      </c>
      <c r="D323" s="284"/>
      <c r="E323" s="281"/>
      <c r="F323" s="79">
        <f t="shared" ref="F323:F328" si="85">K323</f>
        <v>0</v>
      </c>
      <c r="G323" s="47">
        <f>SUMIF(JournalsC!D$14:D$920,TrialBalanceC!M323,JournalsC!J$14:J$920)+SUMIF(JournalsC!E$14:E$920,TrialBalanceC!M323,JournalsC!J$14:J$920)</f>
        <v>0</v>
      </c>
      <c r="H323" s="288"/>
      <c r="I323" s="291">
        <f t="shared" ref="I323:I328" si="86">ROUND(D323-E323+G323+F323,0)</f>
        <v>0</v>
      </c>
      <c r="J323" s="75"/>
      <c r="K323" s="48">
        <f t="shared" ref="K323:K328" si="87">ROUND(SUM(A323),0)</f>
        <v>0</v>
      </c>
      <c r="M323" s="140" t="str">
        <f t="shared" ref="M323:M328" si="88">CONCATENATE(B323,C323)</f>
        <v>7450/0040</v>
      </c>
      <c r="N323" s="70"/>
      <c r="P323" s="71"/>
      <c r="Q323" s="51"/>
      <c r="R323" s="31"/>
    </row>
    <row r="324" spans="1:18" x14ac:dyDescent="0.2">
      <c r="A324" s="238"/>
      <c r="B324" s="90" t="s">
        <v>290</v>
      </c>
      <c r="C324" s="276">
        <f>TrialBalance!C324</f>
        <v>0</v>
      </c>
      <c r="D324" s="284"/>
      <c r="E324" s="281"/>
      <c r="F324" s="79">
        <f t="shared" si="85"/>
        <v>0</v>
      </c>
      <c r="G324" s="47">
        <f>SUMIF(JournalsC!D$14:D$920,TrialBalanceC!M324,JournalsC!J$14:J$920)+SUMIF(JournalsC!E$14:E$920,TrialBalanceC!M324,JournalsC!J$14:J$920)</f>
        <v>0</v>
      </c>
      <c r="H324" s="288"/>
      <c r="I324" s="291">
        <f t="shared" si="86"/>
        <v>0</v>
      </c>
      <c r="J324" s="75"/>
      <c r="K324" s="48">
        <f t="shared" si="87"/>
        <v>0</v>
      </c>
      <c r="M324" s="140" t="str">
        <f t="shared" si="88"/>
        <v>7450/0050</v>
      </c>
      <c r="N324" s="70"/>
      <c r="P324" s="71"/>
      <c r="Q324" s="51"/>
      <c r="R324" s="31"/>
    </row>
    <row r="325" spans="1:18" x14ac:dyDescent="0.2">
      <c r="A325" s="238"/>
      <c r="B325" s="90" t="s">
        <v>755</v>
      </c>
      <c r="C325" s="276">
        <f>TrialBalance!C325</f>
        <v>0</v>
      </c>
      <c r="D325" s="284"/>
      <c r="E325" s="281"/>
      <c r="F325" s="79">
        <f t="shared" si="85"/>
        <v>0</v>
      </c>
      <c r="G325" s="47">
        <f>SUMIF(JournalsC!D$14:D$920,TrialBalanceC!M325,JournalsC!J$14:J$920)+SUMIF(JournalsC!E$14:E$920,TrialBalanceC!M325,JournalsC!J$14:J$920)</f>
        <v>0</v>
      </c>
      <c r="H325" s="288"/>
      <c r="I325" s="291">
        <f t="shared" si="86"/>
        <v>0</v>
      </c>
      <c r="J325" s="75"/>
      <c r="K325" s="48">
        <f t="shared" si="87"/>
        <v>0</v>
      </c>
      <c r="M325" s="140" t="str">
        <f t="shared" si="88"/>
        <v>7450/0060</v>
      </c>
      <c r="N325" s="70"/>
      <c r="P325" s="71"/>
      <c r="Q325" s="51"/>
      <c r="R325" s="31"/>
    </row>
    <row r="326" spans="1:18" x14ac:dyDescent="0.2">
      <c r="A326" s="238"/>
      <c r="B326" s="90" t="s">
        <v>845</v>
      </c>
      <c r="C326" s="276">
        <f>TrialBalance!C326</f>
        <v>0</v>
      </c>
      <c r="D326" s="284"/>
      <c r="E326" s="281"/>
      <c r="F326" s="79">
        <f t="shared" si="85"/>
        <v>0</v>
      </c>
      <c r="G326" s="47">
        <f>SUMIF(JournalsC!D$14:D$920,TrialBalanceC!M326,JournalsC!J$14:J$920)+SUMIF(JournalsC!E$14:E$920,TrialBalanceC!M326,JournalsC!J$14:J$920)</f>
        <v>0</v>
      </c>
      <c r="H326" s="288"/>
      <c r="I326" s="291">
        <f t="shared" si="86"/>
        <v>0</v>
      </c>
      <c r="J326" s="75"/>
      <c r="K326" s="48">
        <f t="shared" si="87"/>
        <v>0</v>
      </c>
      <c r="M326" s="140" t="str">
        <f t="shared" si="88"/>
        <v>7450/0070</v>
      </c>
      <c r="N326" s="70"/>
      <c r="P326" s="71"/>
      <c r="Q326" s="51"/>
      <c r="R326" s="31"/>
    </row>
    <row r="327" spans="1:18" x14ac:dyDescent="0.2">
      <c r="A327" s="238"/>
      <c r="B327" s="90" t="s">
        <v>846</v>
      </c>
      <c r="C327" s="276">
        <f>TrialBalance!C327</f>
        <v>0</v>
      </c>
      <c r="D327" s="284"/>
      <c r="E327" s="281"/>
      <c r="F327" s="79">
        <f t="shared" si="85"/>
        <v>0</v>
      </c>
      <c r="G327" s="47">
        <f>SUMIF(JournalsC!D$14:D$920,TrialBalanceC!M327,JournalsC!J$14:J$920)+SUMIF(JournalsC!E$14:E$920,TrialBalanceC!M327,JournalsC!J$14:J$920)</f>
        <v>0</v>
      </c>
      <c r="H327" s="288"/>
      <c r="I327" s="291">
        <f t="shared" si="86"/>
        <v>0</v>
      </c>
      <c r="J327" s="75"/>
      <c r="K327" s="48">
        <f t="shared" si="87"/>
        <v>0</v>
      </c>
      <c r="M327" s="140" t="str">
        <f t="shared" si="88"/>
        <v>7450/0080</v>
      </c>
      <c r="N327" s="70"/>
      <c r="P327" s="71"/>
      <c r="Q327" s="51"/>
      <c r="R327" s="31"/>
    </row>
    <row r="328" spans="1:18" x14ac:dyDescent="0.2">
      <c r="A328" s="238"/>
      <c r="B328" s="90" t="s">
        <v>847</v>
      </c>
      <c r="C328" s="276">
        <f>TrialBalance!C328</f>
        <v>0</v>
      </c>
      <c r="D328" s="284"/>
      <c r="E328" s="281"/>
      <c r="F328" s="79">
        <f t="shared" si="85"/>
        <v>0</v>
      </c>
      <c r="G328" s="47">
        <f>SUMIF(JournalsC!D$14:D$920,TrialBalanceC!M328,JournalsC!J$14:J$920)+SUMIF(JournalsC!E$14:E$920,TrialBalanceC!M328,JournalsC!J$14:J$920)</f>
        <v>0</v>
      </c>
      <c r="H328" s="288"/>
      <c r="I328" s="291">
        <f t="shared" si="86"/>
        <v>0</v>
      </c>
      <c r="J328" s="75"/>
      <c r="K328" s="48">
        <f t="shared" si="87"/>
        <v>0</v>
      </c>
      <c r="M328" s="140" t="str">
        <f t="shared" si="88"/>
        <v>7450/0090</v>
      </c>
      <c r="N328" s="70"/>
      <c r="P328" s="71"/>
      <c r="Q328" s="51"/>
      <c r="R328" s="31"/>
    </row>
    <row r="329" spans="1:18" x14ac:dyDescent="0.2">
      <c r="A329" s="238"/>
      <c r="B329" s="90" t="s">
        <v>848</v>
      </c>
      <c r="C329" s="276">
        <f>TrialBalance!C329</f>
        <v>0</v>
      </c>
      <c r="D329" s="282"/>
      <c r="E329" s="281"/>
      <c r="F329" s="79">
        <f t="shared" si="77"/>
        <v>0</v>
      </c>
      <c r="G329" s="47">
        <f>SUMIF(JournalsC!D$14:D$920,TrialBalanceC!M329,JournalsC!J$14:J$920)+SUMIF(JournalsC!E$14:E$920,TrialBalanceC!M329,JournalsC!J$14:J$920)</f>
        <v>0</v>
      </c>
      <c r="H329" s="288"/>
      <c r="I329" s="291">
        <f t="shared" si="68"/>
        <v>0</v>
      </c>
      <c r="J329" s="75"/>
      <c r="K329" s="48">
        <f t="shared" si="72"/>
        <v>0</v>
      </c>
      <c r="M329" s="140" t="str">
        <f t="shared" si="73"/>
        <v>7450/0100</v>
      </c>
      <c r="N329" s="70"/>
      <c r="P329" s="71"/>
      <c r="Q329" s="51"/>
      <c r="R329" s="31"/>
    </row>
    <row r="330" spans="1:18" x14ac:dyDescent="0.2">
      <c r="A330" s="238"/>
      <c r="B330" s="90" t="s">
        <v>849</v>
      </c>
      <c r="C330" s="242" t="s">
        <v>678</v>
      </c>
      <c r="D330" s="282"/>
      <c r="E330" s="281"/>
      <c r="F330" s="79"/>
      <c r="G330" s="47">
        <f>SUMIF(JournalsC!D$14:D$920,TrialBalanceC!M330,JournalsC!J$14:J$920)+SUMIF(JournalsC!E$14:E$920,TrialBalanceC!M330,JournalsC!J$14:J$920)</f>
        <v>0</v>
      </c>
      <c r="H330" s="288"/>
      <c r="I330" s="291">
        <f t="shared" ref="I330" si="89">ROUND(D330-E330+G330+F330,0)</f>
        <v>0</v>
      </c>
      <c r="J330" s="75"/>
      <c r="K330" s="48">
        <f t="shared" ref="K330" si="90">ROUND(SUM(A330),0)</f>
        <v>0</v>
      </c>
      <c r="M330" s="140" t="str">
        <f t="shared" ref="M330" si="91">CONCATENATE(B330,C330)</f>
        <v>7455/000Interest free</v>
      </c>
      <c r="N330" s="70"/>
      <c r="P330" s="71"/>
      <c r="Q330" s="51"/>
      <c r="R330" s="31"/>
    </row>
    <row r="331" spans="1:18" x14ac:dyDescent="0.2">
      <c r="A331" s="238"/>
      <c r="B331" s="90" t="s">
        <v>850</v>
      </c>
      <c r="C331" s="276">
        <f>TrialBalance!C331</f>
        <v>0</v>
      </c>
      <c r="D331" s="282"/>
      <c r="E331" s="281"/>
      <c r="F331" s="79">
        <f t="shared" si="77"/>
        <v>0</v>
      </c>
      <c r="G331" s="47">
        <f>SUMIF(JournalsC!D$14:D$920,TrialBalanceC!M331,JournalsC!J$14:J$920)+SUMIF(JournalsC!E$14:E$920,TrialBalanceC!M331,JournalsC!J$14:J$920)</f>
        <v>0</v>
      </c>
      <c r="H331" s="288"/>
      <c r="I331" s="291">
        <f t="shared" si="68"/>
        <v>0</v>
      </c>
      <c r="J331" s="75"/>
      <c r="K331" s="48">
        <f t="shared" si="72"/>
        <v>0</v>
      </c>
      <c r="M331" s="140" t="str">
        <f t="shared" si="73"/>
        <v>7455/0010</v>
      </c>
      <c r="N331" s="70"/>
      <c r="P331" s="71"/>
      <c r="Q331" s="51"/>
      <c r="R331" s="31"/>
    </row>
    <row r="332" spans="1:18" x14ac:dyDescent="0.2">
      <c r="A332" s="238"/>
      <c r="B332" s="90" t="s">
        <v>851</v>
      </c>
      <c r="C332" s="276">
        <f>TrialBalance!C332</f>
        <v>0</v>
      </c>
      <c r="D332" s="282"/>
      <c r="E332" s="281"/>
      <c r="F332" s="79">
        <f t="shared" ref="F332" si="92">K332</f>
        <v>0</v>
      </c>
      <c r="G332" s="47">
        <f>SUMIF(JournalsC!D$14:D$920,TrialBalanceC!M332,JournalsC!J$14:J$920)+SUMIF(JournalsC!E$14:E$920,TrialBalanceC!M332,JournalsC!J$14:J$920)</f>
        <v>0</v>
      </c>
      <c r="H332" s="288"/>
      <c r="I332" s="291">
        <f t="shared" ref="I332" si="93">ROUND(D332-E332+G332+F332,0)</f>
        <v>0</v>
      </c>
      <c r="J332" s="75"/>
      <c r="K332" s="48">
        <f t="shared" ref="K332" si="94">ROUND(SUM(A332),0)</f>
        <v>0</v>
      </c>
      <c r="M332" s="140" t="str">
        <f t="shared" ref="M332" si="95">CONCATENATE(B332,C332)</f>
        <v>7455/0020</v>
      </c>
      <c r="N332" s="70"/>
      <c r="P332" s="71"/>
      <c r="Q332" s="51"/>
      <c r="R332" s="31"/>
    </row>
    <row r="333" spans="1:18" x14ac:dyDescent="0.2">
      <c r="A333" s="238"/>
      <c r="B333" s="90" t="s">
        <v>852</v>
      </c>
      <c r="C333" s="276">
        <f>TrialBalance!C333</f>
        <v>0</v>
      </c>
      <c r="D333" s="282"/>
      <c r="E333" s="281"/>
      <c r="F333" s="79">
        <f t="shared" si="77"/>
        <v>0</v>
      </c>
      <c r="G333" s="47">
        <f>SUMIF(JournalsC!D$14:D$920,TrialBalanceC!M333,JournalsC!J$14:J$920)+SUMIF(JournalsC!E$14:E$920,TrialBalanceC!M333,JournalsC!J$14:J$920)</f>
        <v>0</v>
      </c>
      <c r="H333" s="288"/>
      <c r="I333" s="291">
        <f t="shared" si="68"/>
        <v>0</v>
      </c>
      <c r="J333" s="75"/>
      <c r="K333" s="48">
        <f t="shared" si="72"/>
        <v>0</v>
      </c>
      <c r="M333" s="140" t="str">
        <f t="shared" si="73"/>
        <v>7455/0030</v>
      </c>
      <c r="N333" s="70"/>
      <c r="P333" s="71"/>
      <c r="Q333" s="51"/>
      <c r="R333" s="31"/>
    </row>
    <row r="334" spans="1:18" x14ac:dyDescent="0.2">
      <c r="A334" s="238"/>
      <c r="B334" s="90" t="s">
        <v>853</v>
      </c>
      <c r="C334" s="276">
        <f>TrialBalance!C334</f>
        <v>0</v>
      </c>
      <c r="D334" s="282"/>
      <c r="E334" s="281"/>
      <c r="F334" s="79">
        <f t="shared" ref="F334:F339" si="96">K334</f>
        <v>0</v>
      </c>
      <c r="G334" s="47">
        <f>SUMIF(JournalsC!D$14:D$920,TrialBalanceC!M334,JournalsC!J$14:J$920)+SUMIF(JournalsC!E$14:E$920,TrialBalanceC!M334,JournalsC!J$14:J$920)</f>
        <v>0</v>
      </c>
      <c r="H334" s="288"/>
      <c r="I334" s="291">
        <f t="shared" ref="I334:I339" si="97">ROUND(D334-E334+G334+F334,0)</f>
        <v>0</v>
      </c>
      <c r="J334" s="75"/>
      <c r="K334" s="48">
        <f t="shared" ref="K334:K339" si="98">ROUND(SUM(A334),0)</f>
        <v>0</v>
      </c>
      <c r="M334" s="140" t="str">
        <f t="shared" ref="M334:M339" si="99">CONCATENATE(B334,C334)</f>
        <v>7455/0040</v>
      </c>
      <c r="N334" s="70"/>
      <c r="P334" s="71"/>
      <c r="Q334" s="51"/>
      <c r="R334" s="31"/>
    </row>
    <row r="335" spans="1:18" x14ac:dyDescent="0.2">
      <c r="A335" s="238"/>
      <c r="B335" s="90" t="s">
        <v>854</v>
      </c>
      <c r="C335" s="276">
        <f>TrialBalance!C335</f>
        <v>0</v>
      </c>
      <c r="D335" s="282"/>
      <c r="E335" s="281"/>
      <c r="F335" s="79">
        <f t="shared" si="96"/>
        <v>0</v>
      </c>
      <c r="G335" s="47">
        <f>SUMIF(JournalsC!D$14:D$920,TrialBalanceC!M335,JournalsC!J$14:J$920)+SUMIF(JournalsC!E$14:E$920,TrialBalanceC!M335,JournalsC!J$14:J$920)</f>
        <v>0</v>
      </c>
      <c r="H335" s="288"/>
      <c r="I335" s="291">
        <f t="shared" si="97"/>
        <v>0</v>
      </c>
      <c r="J335" s="75"/>
      <c r="K335" s="48">
        <f t="shared" si="98"/>
        <v>0</v>
      </c>
      <c r="M335" s="140" t="str">
        <f t="shared" si="99"/>
        <v>7455/0050</v>
      </c>
      <c r="N335" s="70"/>
      <c r="P335" s="71"/>
      <c r="Q335" s="51"/>
      <c r="R335" s="31"/>
    </row>
    <row r="336" spans="1:18" x14ac:dyDescent="0.2">
      <c r="A336" s="238"/>
      <c r="B336" s="90" t="s">
        <v>855</v>
      </c>
      <c r="C336" s="276">
        <f>TrialBalance!C336</f>
        <v>0</v>
      </c>
      <c r="D336" s="282"/>
      <c r="E336" s="281"/>
      <c r="F336" s="79">
        <f t="shared" si="96"/>
        <v>0</v>
      </c>
      <c r="G336" s="47">
        <f>SUMIF(JournalsC!D$14:D$920,TrialBalanceC!M336,JournalsC!J$14:J$920)+SUMIF(JournalsC!E$14:E$920,TrialBalanceC!M336,JournalsC!J$14:J$920)</f>
        <v>0</v>
      </c>
      <c r="H336" s="288"/>
      <c r="I336" s="291">
        <f t="shared" si="97"/>
        <v>0</v>
      </c>
      <c r="J336" s="75"/>
      <c r="K336" s="48">
        <f t="shared" si="98"/>
        <v>0</v>
      </c>
      <c r="M336" s="140" t="str">
        <f t="shared" si="99"/>
        <v>7455/0060</v>
      </c>
      <c r="N336" s="70"/>
      <c r="P336" s="71"/>
      <c r="Q336" s="51"/>
      <c r="R336" s="31"/>
    </row>
    <row r="337" spans="1:18" x14ac:dyDescent="0.2">
      <c r="A337" s="238"/>
      <c r="B337" s="90" t="s">
        <v>856</v>
      </c>
      <c r="C337" s="276">
        <f>TrialBalance!C337</f>
        <v>0</v>
      </c>
      <c r="D337" s="282"/>
      <c r="E337" s="281"/>
      <c r="F337" s="79">
        <f t="shared" si="96"/>
        <v>0</v>
      </c>
      <c r="G337" s="47">
        <f>SUMIF(JournalsC!D$14:D$920,TrialBalanceC!M337,JournalsC!J$14:J$920)+SUMIF(JournalsC!E$14:E$920,TrialBalanceC!M337,JournalsC!J$14:J$920)</f>
        <v>0</v>
      </c>
      <c r="H337" s="288"/>
      <c r="I337" s="291">
        <f t="shared" si="97"/>
        <v>0</v>
      </c>
      <c r="J337" s="75"/>
      <c r="K337" s="48">
        <f t="shared" si="98"/>
        <v>0</v>
      </c>
      <c r="M337" s="140" t="str">
        <f t="shared" si="99"/>
        <v>7455/0070</v>
      </c>
      <c r="N337" s="70"/>
      <c r="P337" s="71"/>
      <c r="Q337" s="51"/>
      <c r="R337" s="31"/>
    </row>
    <row r="338" spans="1:18" x14ac:dyDescent="0.2">
      <c r="A338" s="238"/>
      <c r="B338" s="90" t="s">
        <v>857</v>
      </c>
      <c r="C338" s="276">
        <f>TrialBalance!C338</f>
        <v>0</v>
      </c>
      <c r="D338" s="282"/>
      <c r="E338" s="281"/>
      <c r="F338" s="79">
        <f t="shared" si="96"/>
        <v>0</v>
      </c>
      <c r="G338" s="47">
        <f>SUMIF(JournalsC!D$14:D$920,TrialBalanceC!M338,JournalsC!J$14:J$920)+SUMIF(JournalsC!E$14:E$920,TrialBalanceC!M338,JournalsC!J$14:J$920)</f>
        <v>0</v>
      </c>
      <c r="H338" s="288"/>
      <c r="I338" s="291">
        <f t="shared" si="97"/>
        <v>0</v>
      </c>
      <c r="J338" s="75"/>
      <c r="K338" s="48">
        <f t="shared" si="98"/>
        <v>0</v>
      </c>
      <c r="M338" s="140" t="str">
        <f t="shared" si="99"/>
        <v>7455/0080</v>
      </c>
      <c r="N338" s="70"/>
      <c r="P338" s="71"/>
      <c r="Q338" s="51"/>
      <c r="R338" s="31"/>
    </row>
    <row r="339" spans="1:18" x14ac:dyDescent="0.2">
      <c r="A339" s="238"/>
      <c r="B339" s="90" t="s">
        <v>858</v>
      </c>
      <c r="C339" s="276">
        <f>TrialBalance!C339</f>
        <v>0</v>
      </c>
      <c r="D339" s="282"/>
      <c r="E339" s="281"/>
      <c r="F339" s="79">
        <f t="shared" si="96"/>
        <v>0</v>
      </c>
      <c r="G339" s="47">
        <f>SUMIF(JournalsC!D$14:D$920,TrialBalanceC!M339,JournalsC!J$14:J$920)+SUMIF(JournalsC!E$14:E$920,TrialBalanceC!M339,JournalsC!J$14:J$920)</f>
        <v>0</v>
      </c>
      <c r="H339" s="288"/>
      <c r="I339" s="291">
        <f t="shared" si="97"/>
        <v>0</v>
      </c>
      <c r="J339" s="75"/>
      <c r="K339" s="48">
        <f t="shared" si="98"/>
        <v>0</v>
      </c>
      <c r="M339" s="140" t="str">
        <f t="shared" si="99"/>
        <v>7455/0090</v>
      </c>
      <c r="N339" s="70"/>
      <c r="P339" s="71"/>
      <c r="Q339" s="51"/>
      <c r="R339" s="31"/>
    </row>
    <row r="340" spans="1:18" x14ac:dyDescent="0.2">
      <c r="A340" s="238"/>
      <c r="B340" s="90" t="s">
        <v>859</v>
      </c>
      <c r="C340" s="276">
        <f>TrialBalance!C340</f>
        <v>0</v>
      </c>
      <c r="D340" s="282"/>
      <c r="E340" s="281"/>
      <c r="F340" s="79">
        <f t="shared" si="77"/>
        <v>0</v>
      </c>
      <c r="G340" s="47">
        <f>SUMIF(JournalsC!D$14:D$920,TrialBalanceC!M340,JournalsC!J$14:J$920)+SUMIF(JournalsC!E$14:E$920,TrialBalanceC!M340,JournalsC!J$14:J$920)</f>
        <v>0</v>
      </c>
      <c r="H340" s="288"/>
      <c r="I340" s="291">
        <f t="shared" si="68"/>
        <v>0</v>
      </c>
      <c r="J340" s="75"/>
      <c r="K340" s="48">
        <f t="shared" si="72"/>
        <v>0</v>
      </c>
      <c r="M340" s="140" t="str">
        <f t="shared" si="73"/>
        <v>7455/0100</v>
      </c>
      <c r="N340" s="70"/>
      <c r="P340" s="71"/>
      <c r="Q340" s="51"/>
      <c r="R340" s="31"/>
    </row>
    <row r="341" spans="1:18" x14ac:dyDescent="0.2">
      <c r="A341" s="238"/>
      <c r="B341" s="54" t="s">
        <v>291</v>
      </c>
      <c r="C341" s="241" t="s">
        <v>722</v>
      </c>
      <c r="D341" s="272"/>
      <c r="E341" s="281"/>
      <c r="F341" s="79"/>
      <c r="G341" s="47">
        <f>SUMIF(JournalsC!D$14:D$920,TrialBalanceC!M341,JournalsC!J$14:J$920)+SUMIF(JournalsC!E$14:E$920,TrialBalanceC!M341,JournalsC!J$14:J$920)</f>
        <v>0</v>
      </c>
      <c r="H341" s="288"/>
      <c r="I341" s="291">
        <f t="shared" si="68"/>
        <v>0</v>
      </c>
      <c r="J341" s="75"/>
      <c r="K341" s="48">
        <f t="shared" si="72"/>
        <v>0</v>
      </c>
      <c r="M341" s="140" t="str">
        <f t="shared" si="73"/>
        <v>7460/000OTHER NON - CURRENT RECEIVABLES</v>
      </c>
      <c r="N341" s="70"/>
      <c r="P341" s="71"/>
      <c r="Q341" s="51"/>
      <c r="R341" s="31"/>
    </row>
    <row r="342" spans="1:18" x14ac:dyDescent="0.2">
      <c r="A342" s="238"/>
      <c r="B342" s="54" t="s">
        <v>291</v>
      </c>
      <c r="C342" s="241" t="s">
        <v>679</v>
      </c>
      <c r="D342" s="272"/>
      <c r="E342" s="281"/>
      <c r="F342" s="79"/>
      <c r="G342" s="47">
        <f>SUMIF(JournalsC!D$14:D$920,TrialBalanceC!M342,JournalsC!J$14:J$920)+SUMIF(JournalsC!E$14:E$920,TrialBalanceC!M342,JournalsC!J$14:J$920)</f>
        <v>0</v>
      </c>
      <c r="H342" s="288"/>
      <c r="I342" s="291">
        <f t="shared" ref="I342" si="100">ROUND(D342-E342+G342+F342,0)</f>
        <v>0</v>
      </c>
      <c r="J342" s="75"/>
      <c r="K342" s="48">
        <f t="shared" ref="K342" si="101">ROUND(SUM(A342),0)</f>
        <v>0</v>
      </c>
      <c r="M342" s="140" t="str">
        <f t="shared" ref="M342" si="102">CONCATENATE(B342,C342)</f>
        <v>7460/000Interest bearing</v>
      </c>
      <c r="N342" s="70"/>
      <c r="P342" s="71"/>
      <c r="Q342" s="51"/>
      <c r="R342" s="31"/>
    </row>
    <row r="343" spans="1:18" x14ac:dyDescent="0.2">
      <c r="A343" s="238"/>
      <c r="B343" s="54" t="s">
        <v>293</v>
      </c>
      <c r="C343" s="276">
        <f>TrialBalance!C343</f>
        <v>0</v>
      </c>
      <c r="D343" s="281"/>
      <c r="E343" s="281"/>
      <c r="F343" s="79">
        <f t="shared" si="77"/>
        <v>0</v>
      </c>
      <c r="G343" s="47">
        <f>SUMIF(JournalsC!D$14:D$920,TrialBalanceC!M343,JournalsC!J$14:J$920)+SUMIF(JournalsC!E$14:E$920,TrialBalanceC!M343,JournalsC!J$14:J$920)</f>
        <v>0</v>
      </c>
      <c r="H343" s="288"/>
      <c r="I343" s="291">
        <f t="shared" si="68"/>
        <v>0</v>
      </c>
      <c r="J343" s="75"/>
      <c r="K343" s="48">
        <f t="shared" si="72"/>
        <v>0</v>
      </c>
      <c r="M343" s="140" t="str">
        <f t="shared" si="73"/>
        <v>7460/0010</v>
      </c>
      <c r="N343" s="70"/>
      <c r="P343" s="71"/>
      <c r="Q343" s="51"/>
      <c r="R343" s="31"/>
    </row>
    <row r="344" spans="1:18" x14ac:dyDescent="0.2">
      <c r="A344" s="238"/>
      <c r="B344" s="54" t="s">
        <v>294</v>
      </c>
      <c r="C344" s="276">
        <f>TrialBalance!C344</f>
        <v>0</v>
      </c>
      <c r="D344" s="281"/>
      <c r="E344" s="281"/>
      <c r="F344" s="79">
        <f t="shared" ref="F344" si="103">K344</f>
        <v>0</v>
      </c>
      <c r="G344" s="47">
        <f>SUMIF(JournalsC!D$14:D$920,TrialBalanceC!M344,JournalsC!J$14:J$920)+SUMIF(JournalsC!E$14:E$920,TrialBalanceC!M344,JournalsC!J$14:J$920)</f>
        <v>0</v>
      </c>
      <c r="H344" s="288"/>
      <c r="I344" s="291">
        <f t="shared" ref="I344" si="104">ROUND(D344-E344+G344+F344,0)</f>
        <v>0</v>
      </c>
      <c r="J344" s="75"/>
      <c r="K344" s="48">
        <f t="shared" ref="K344" si="105">ROUND(SUM(A344),0)</f>
        <v>0</v>
      </c>
      <c r="M344" s="140" t="str">
        <f t="shared" ref="M344" si="106">CONCATENATE(B344,C344)</f>
        <v>7460/0020</v>
      </c>
      <c r="N344" s="70"/>
      <c r="P344" s="71"/>
      <c r="Q344" s="51"/>
      <c r="R344" s="31"/>
    </row>
    <row r="345" spans="1:18" x14ac:dyDescent="0.2">
      <c r="A345" s="238"/>
      <c r="B345" s="54" t="s">
        <v>295</v>
      </c>
      <c r="C345" s="276">
        <f>TrialBalance!C345</f>
        <v>0</v>
      </c>
      <c r="D345" s="282"/>
      <c r="E345" s="281"/>
      <c r="F345" s="79">
        <f t="shared" si="77"/>
        <v>0</v>
      </c>
      <c r="G345" s="47">
        <f>SUMIF(JournalsC!D$14:D$920,TrialBalanceC!M345,JournalsC!J$14:J$920)+SUMIF(JournalsC!E$14:E$920,TrialBalanceC!M345,JournalsC!J$14:J$920)</f>
        <v>0</v>
      </c>
      <c r="H345" s="288"/>
      <c r="I345" s="291">
        <f t="shared" si="68"/>
        <v>0</v>
      </c>
      <c r="J345" s="75"/>
      <c r="K345" s="48">
        <f t="shared" si="72"/>
        <v>0</v>
      </c>
      <c r="M345" s="140" t="str">
        <f t="shared" si="73"/>
        <v>7460/0030</v>
      </c>
      <c r="N345" s="70"/>
      <c r="P345" s="71"/>
      <c r="Q345" s="51"/>
      <c r="R345" s="31"/>
    </row>
    <row r="346" spans="1:18" x14ac:dyDescent="0.2">
      <c r="A346" s="238"/>
      <c r="B346" s="90" t="s">
        <v>640</v>
      </c>
      <c r="C346" s="276">
        <f>TrialBalance!C346</f>
        <v>0</v>
      </c>
      <c r="D346" s="282"/>
      <c r="E346" s="281"/>
      <c r="F346" s="79">
        <f t="shared" si="77"/>
        <v>0</v>
      </c>
      <c r="G346" s="47">
        <f>SUMIF(JournalsC!D$14:D$920,TrialBalanceC!M346,JournalsC!J$14:J$920)+SUMIF(JournalsC!E$14:E$920,TrialBalanceC!M346,JournalsC!J$14:J$920)</f>
        <v>0</v>
      </c>
      <c r="H346" s="288"/>
      <c r="I346" s="291">
        <f t="shared" si="68"/>
        <v>0</v>
      </c>
      <c r="J346" s="75"/>
      <c r="K346" s="48">
        <f t="shared" si="72"/>
        <v>0</v>
      </c>
      <c r="M346" s="140" t="str">
        <f t="shared" si="73"/>
        <v>7460/0040</v>
      </c>
      <c r="N346" s="70"/>
      <c r="P346" s="71"/>
      <c r="Q346" s="51"/>
      <c r="R346" s="31"/>
    </row>
    <row r="347" spans="1:18" x14ac:dyDescent="0.2">
      <c r="A347" s="238"/>
      <c r="B347" s="54" t="s">
        <v>291</v>
      </c>
      <c r="C347" s="242" t="s">
        <v>678</v>
      </c>
      <c r="D347" s="282"/>
      <c r="E347" s="281"/>
      <c r="F347" s="79"/>
      <c r="G347" s="47">
        <f>SUMIF(JournalsC!D$14:D$920,TrialBalanceC!M347,JournalsC!J$14:J$920)+SUMIF(JournalsC!E$14:E$920,TrialBalanceC!M347,JournalsC!J$14:J$920)</f>
        <v>0</v>
      </c>
      <c r="H347" s="288"/>
      <c r="I347" s="291">
        <f t="shared" ref="I347" si="107">ROUND(D347-E347+G347+F347,0)</f>
        <v>0</v>
      </c>
      <c r="J347" s="75"/>
      <c r="K347" s="48">
        <f t="shared" ref="K347" si="108">ROUND(SUM(A347),0)</f>
        <v>0</v>
      </c>
      <c r="M347" s="140" t="str">
        <f t="shared" ref="M347" si="109">CONCATENATE(B347,C347)</f>
        <v>7460/000Interest free</v>
      </c>
      <c r="N347" s="70"/>
      <c r="P347" s="71"/>
      <c r="Q347" s="51"/>
      <c r="R347" s="31"/>
    </row>
    <row r="348" spans="1:18" x14ac:dyDescent="0.2">
      <c r="A348" s="238"/>
      <c r="B348" s="90" t="s">
        <v>640</v>
      </c>
      <c r="C348" s="276">
        <f>TrialBalance!C348</f>
        <v>0</v>
      </c>
      <c r="D348" s="282"/>
      <c r="E348" s="281"/>
      <c r="F348" s="79">
        <f t="shared" si="77"/>
        <v>0</v>
      </c>
      <c r="G348" s="47">
        <f>SUMIF(JournalsC!D$14:D$920,TrialBalanceC!M348,JournalsC!J$14:J$920)+SUMIF(JournalsC!E$14:E$920,TrialBalanceC!M348,JournalsC!J$14:J$920)</f>
        <v>0</v>
      </c>
      <c r="H348" s="288"/>
      <c r="I348" s="291">
        <f t="shared" si="68"/>
        <v>0</v>
      </c>
      <c r="J348" s="75"/>
      <c r="K348" s="48">
        <f t="shared" si="72"/>
        <v>0</v>
      </c>
      <c r="M348" s="140" t="str">
        <f t="shared" si="73"/>
        <v>7460/0040</v>
      </c>
      <c r="N348" s="70"/>
      <c r="P348" s="71"/>
      <c r="Q348" s="51"/>
      <c r="R348" s="31"/>
    </row>
    <row r="349" spans="1:18" x14ac:dyDescent="0.2">
      <c r="A349" s="238"/>
      <c r="B349" s="90" t="s">
        <v>641</v>
      </c>
      <c r="C349" s="276">
        <f>TrialBalance!C349</f>
        <v>0</v>
      </c>
      <c r="D349" s="282"/>
      <c r="E349" s="281"/>
      <c r="F349" s="79">
        <f t="shared" si="77"/>
        <v>0</v>
      </c>
      <c r="G349" s="47">
        <f>SUMIF(JournalsC!D$14:D$920,TrialBalanceC!M349,JournalsC!J$14:J$920)+SUMIF(JournalsC!E$14:E$920,TrialBalanceC!M349,JournalsC!J$14:J$920)</f>
        <v>0</v>
      </c>
      <c r="H349" s="288"/>
      <c r="I349" s="291">
        <f t="shared" si="68"/>
        <v>0</v>
      </c>
      <c r="J349" s="75"/>
      <c r="K349" s="48">
        <f t="shared" si="72"/>
        <v>0</v>
      </c>
      <c r="M349" s="140" t="str">
        <f t="shared" si="73"/>
        <v>7460/0050</v>
      </c>
      <c r="N349" s="70"/>
      <c r="P349" s="71"/>
      <c r="Q349" s="51"/>
      <c r="R349" s="31"/>
    </row>
    <row r="350" spans="1:18" x14ac:dyDescent="0.2">
      <c r="A350" s="238"/>
      <c r="B350" s="90" t="s">
        <v>296</v>
      </c>
      <c r="C350" s="276">
        <f>TrialBalance!C350</f>
        <v>0</v>
      </c>
      <c r="D350" s="282"/>
      <c r="E350" s="281"/>
      <c r="F350" s="79">
        <f>K350</f>
        <v>0</v>
      </c>
      <c r="G350" s="47">
        <f>SUMIF(JournalsC!D$14:D$920,TrialBalanceC!M350,JournalsC!J$14:J$920)+SUMIF(JournalsC!E$14:E$920,TrialBalanceC!M350,JournalsC!J$14:J$920)</f>
        <v>0</v>
      </c>
      <c r="H350" s="288"/>
      <c r="I350" s="291">
        <f t="shared" si="68"/>
        <v>0</v>
      </c>
      <c r="J350" s="75"/>
      <c r="K350" s="48">
        <f t="shared" si="72"/>
        <v>0</v>
      </c>
      <c r="M350" s="140" t="str">
        <f t="shared" si="73"/>
        <v>7460/0060</v>
      </c>
      <c r="N350" s="70"/>
      <c r="P350" s="71"/>
      <c r="Q350" s="51"/>
      <c r="R350" s="31"/>
    </row>
    <row r="351" spans="1:18" x14ac:dyDescent="0.2">
      <c r="A351" s="238"/>
      <c r="B351" s="90" t="s">
        <v>297</v>
      </c>
      <c r="C351" s="276">
        <f>TrialBalance!C351</f>
        <v>0</v>
      </c>
      <c r="D351" s="282"/>
      <c r="E351" s="281"/>
      <c r="F351" s="79">
        <f>K351</f>
        <v>0</v>
      </c>
      <c r="G351" s="47">
        <f>SUMIF(JournalsC!D$14:D$920,TrialBalanceC!M351,JournalsC!J$14:J$920)+SUMIF(JournalsC!E$14:E$920,TrialBalanceC!M351,JournalsC!J$14:J$920)</f>
        <v>0</v>
      </c>
      <c r="H351" s="288"/>
      <c r="I351" s="291">
        <f t="shared" si="68"/>
        <v>0</v>
      </c>
      <c r="J351" s="75"/>
      <c r="K351" s="48">
        <f t="shared" si="72"/>
        <v>0</v>
      </c>
      <c r="M351" s="140" t="str">
        <f t="shared" si="73"/>
        <v>7460/0070</v>
      </c>
      <c r="N351" s="70"/>
      <c r="P351" s="71"/>
      <c r="Q351" s="51"/>
      <c r="R351" s="31"/>
    </row>
    <row r="352" spans="1:18" x14ac:dyDescent="0.2">
      <c r="A352" s="238"/>
      <c r="B352" s="90" t="s">
        <v>513</v>
      </c>
      <c r="C352" s="276">
        <f>TrialBalance!C352</f>
        <v>0</v>
      </c>
      <c r="D352" s="282"/>
      <c r="E352" s="281"/>
      <c r="F352" s="79">
        <f>K352</f>
        <v>0</v>
      </c>
      <c r="G352" s="47">
        <f>SUMIF(JournalsC!D$14:D$920,TrialBalanceC!M352,JournalsC!J$14:J$920)+SUMIF(JournalsC!E$14:E$920,TrialBalanceC!M352,JournalsC!J$14:J$920)</f>
        <v>0</v>
      </c>
      <c r="H352" s="288"/>
      <c r="I352" s="291">
        <f t="shared" si="68"/>
        <v>0</v>
      </c>
      <c r="J352" s="75"/>
      <c r="K352" s="48">
        <f t="shared" si="72"/>
        <v>0</v>
      </c>
      <c r="M352" s="140" t="str">
        <f t="shared" si="73"/>
        <v>7460/0080</v>
      </c>
      <c r="N352" s="70"/>
      <c r="P352" s="71"/>
      <c r="Q352" s="51"/>
      <c r="R352" s="31"/>
    </row>
    <row r="353" spans="1:18" x14ac:dyDescent="0.2">
      <c r="A353" s="238"/>
      <c r="B353" s="54" t="s">
        <v>417</v>
      </c>
      <c r="C353" s="239" t="s">
        <v>46</v>
      </c>
      <c r="D353" s="283"/>
      <c r="E353" s="281"/>
      <c r="F353" s="79"/>
      <c r="G353" s="47">
        <f>SUMIF(JournalsC!D$14:D$920,TrialBalanceC!M353,JournalsC!J$14:J$920)+SUMIF(JournalsC!E$14:E$920,TrialBalanceC!M353,JournalsC!J$14:J$920)</f>
        <v>0</v>
      </c>
      <c r="H353" s="288"/>
      <c r="I353" s="291">
        <f t="shared" si="68"/>
        <v>0</v>
      </c>
      <c r="J353" s="75"/>
      <c r="K353" s="48">
        <f t="shared" si="72"/>
        <v>0</v>
      </c>
      <c r="M353" s="140" t="str">
        <f t="shared" si="73"/>
        <v>7500/000INVENTORY</v>
      </c>
      <c r="N353" s="70"/>
      <c r="P353" s="71"/>
      <c r="Q353" s="51"/>
      <c r="R353" s="31"/>
    </row>
    <row r="354" spans="1:18" x14ac:dyDescent="0.2">
      <c r="A354" s="238"/>
      <c r="B354" s="54" t="s">
        <v>418</v>
      </c>
      <c r="C354" s="240" t="s">
        <v>419</v>
      </c>
      <c r="D354" s="282"/>
      <c r="E354" s="281"/>
      <c r="F354" s="79">
        <f t="shared" si="77"/>
        <v>0</v>
      </c>
      <c r="G354" s="47">
        <f>SUMIF(JournalsC!D$14:D$920,TrialBalanceC!M354,JournalsC!J$14:J$920)+SUMIF(JournalsC!E$14:E$920,TrialBalanceC!M354,JournalsC!J$14:J$920)</f>
        <v>0</v>
      </c>
      <c r="H354" s="288"/>
      <c r="I354" s="291">
        <f t="shared" si="68"/>
        <v>0</v>
      </c>
      <c r="J354" s="75"/>
      <c r="K354" s="48">
        <f t="shared" si="72"/>
        <v>0</v>
      </c>
      <c r="M354" s="140" t="str">
        <f t="shared" si="73"/>
        <v>7500/001Raw materials</v>
      </c>
      <c r="N354" s="70"/>
      <c r="P354" s="71"/>
      <c r="Q354" s="51"/>
      <c r="R354" s="31"/>
    </row>
    <row r="355" spans="1:18" x14ac:dyDescent="0.2">
      <c r="A355" s="238"/>
      <c r="B355" s="54" t="s">
        <v>21</v>
      </c>
      <c r="C355" s="240" t="s">
        <v>22</v>
      </c>
      <c r="D355" s="282"/>
      <c r="E355" s="281"/>
      <c r="F355" s="79">
        <f t="shared" si="77"/>
        <v>0</v>
      </c>
      <c r="G355" s="47">
        <f>SUMIF(JournalsC!D$14:D$920,TrialBalanceC!M355,JournalsC!J$14:J$920)+SUMIF(JournalsC!E$14:E$920,TrialBalanceC!M355,JournalsC!J$14:J$920)</f>
        <v>0</v>
      </c>
      <c r="H355" s="288"/>
      <c r="I355" s="291">
        <f t="shared" ref="I355:I400" si="110">ROUND(D355-E355+G355+F355,0)</f>
        <v>0</v>
      </c>
      <c r="J355" s="75"/>
      <c r="K355" s="48">
        <f t="shared" si="72"/>
        <v>0</v>
      </c>
      <c r="M355" s="140" t="str">
        <f t="shared" si="73"/>
        <v>7500/002Work in progress</v>
      </c>
      <c r="N355" s="70"/>
      <c r="P355" s="71"/>
      <c r="Q355" s="51"/>
      <c r="R355" s="31"/>
    </row>
    <row r="356" spans="1:18" x14ac:dyDescent="0.2">
      <c r="A356" s="238"/>
      <c r="B356" s="54" t="s">
        <v>23</v>
      </c>
      <c r="C356" s="240" t="s">
        <v>24</v>
      </c>
      <c r="D356" s="282"/>
      <c r="E356" s="281"/>
      <c r="F356" s="79">
        <f t="shared" si="77"/>
        <v>0</v>
      </c>
      <c r="G356" s="47">
        <f>SUMIF(JournalsC!D$14:D$920,TrialBalanceC!M356,JournalsC!J$14:J$920)+SUMIF(JournalsC!E$14:E$920,TrialBalanceC!M356,JournalsC!J$14:J$920)</f>
        <v>0</v>
      </c>
      <c r="H356" s="288"/>
      <c r="I356" s="291">
        <f t="shared" si="110"/>
        <v>0</v>
      </c>
      <c r="J356" s="75"/>
      <c r="K356" s="48">
        <f t="shared" si="72"/>
        <v>0</v>
      </c>
      <c r="M356" s="140" t="str">
        <f t="shared" si="73"/>
        <v>7500/003Finished goods</v>
      </c>
      <c r="N356" s="70"/>
      <c r="P356" s="71"/>
      <c r="Q356" s="51"/>
      <c r="R356" s="31"/>
    </row>
    <row r="357" spans="1:18" x14ac:dyDescent="0.2">
      <c r="A357" s="238"/>
      <c r="B357" s="54" t="s">
        <v>27</v>
      </c>
      <c r="C357" s="240" t="s">
        <v>28</v>
      </c>
      <c r="D357" s="282"/>
      <c r="E357" s="281"/>
      <c r="F357" s="79">
        <f t="shared" si="77"/>
        <v>0</v>
      </c>
      <c r="G357" s="47">
        <f>SUMIF(JournalsC!D$14:D$920,TrialBalanceC!M357,JournalsC!J$14:J$920)+SUMIF(JournalsC!E$14:E$920,TrialBalanceC!M357,JournalsC!J$14:J$920)</f>
        <v>0</v>
      </c>
      <c r="H357" s="288"/>
      <c r="I357" s="291">
        <f t="shared" si="110"/>
        <v>0</v>
      </c>
      <c r="J357" s="75"/>
      <c r="K357" s="48">
        <f t="shared" si="72"/>
        <v>0</v>
      </c>
      <c r="M357" s="140" t="str">
        <f t="shared" si="73"/>
        <v>7500/004Trading stock</v>
      </c>
      <c r="N357" s="70"/>
      <c r="P357" s="71"/>
      <c r="Q357" s="51"/>
      <c r="R357" s="31"/>
    </row>
    <row r="358" spans="1:18" x14ac:dyDescent="0.2">
      <c r="A358" s="238"/>
      <c r="B358" s="54" t="s">
        <v>30</v>
      </c>
      <c r="C358" s="239" t="s">
        <v>31</v>
      </c>
      <c r="D358" s="283"/>
      <c r="E358" s="281"/>
      <c r="F358" s="79"/>
      <c r="G358" s="47">
        <f>SUMIF(JournalsC!D$14:D$920,TrialBalanceC!M358,JournalsC!J$14:J$920)+SUMIF(JournalsC!E$14:E$920,TrialBalanceC!M358,JournalsC!J$14:J$920)</f>
        <v>0</v>
      </c>
      <c r="H358" s="288"/>
      <c r="I358" s="291">
        <f t="shared" si="110"/>
        <v>0</v>
      </c>
      <c r="J358" s="75"/>
      <c r="K358" s="48">
        <f t="shared" si="72"/>
        <v>0</v>
      </c>
      <c r="M358" s="140" t="str">
        <f t="shared" si="73"/>
        <v>8000/000DEBTORS</v>
      </c>
      <c r="N358" s="70"/>
      <c r="P358" s="71"/>
      <c r="Q358" s="51"/>
      <c r="R358" s="31"/>
    </row>
    <row r="359" spans="1:18" x14ac:dyDescent="0.2">
      <c r="A359" s="238"/>
      <c r="B359" s="54" t="s">
        <v>32</v>
      </c>
      <c r="C359" s="240" t="s">
        <v>33</v>
      </c>
      <c r="D359" s="282"/>
      <c r="E359" s="281"/>
      <c r="F359" s="79">
        <f t="shared" si="77"/>
        <v>0</v>
      </c>
      <c r="G359" s="47">
        <f>SUMIF(JournalsC!D$14:D$920,TrialBalanceC!M359,JournalsC!J$14:J$920)+SUMIF(JournalsC!E$14:E$920,TrialBalanceC!M359,JournalsC!J$14:J$920)</f>
        <v>0</v>
      </c>
      <c r="H359" s="288"/>
      <c r="I359" s="291">
        <f t="shared" si="110"/>
        <v>0</v>
      </c>
      <c r="J359" s="75"/>
      <c r="K359" s="48">
        <f t="shared" si="72"/>
        <v>0</v>
      </c>
      <c r="M359" s="140" t="str">
        <f t="shared" si="73"/>
        <v>8010/000Trade debtors</v>
      </c>
      <c r="N359" s="70"/>
      <c r="P359" s="71"/>
      <c r="Q359" s="51"/>
      <c r="R359" s="31"/>
    </row>
    <row r="360" spans="1:18" x14ac:dyDescent="0.2">
      <c r="A360" s="238"/>
      <c r="B360" s="90" t="s">
        <v>34</v>
      </c>
      <c r="C360" s="242" t="s">
        <v>589</v>
      </c>
      <c r="D360" s="282"/>
      <c r="E360" s="281"/>
      <c r="F360" s="79">
        <f t="shared" si="77"/>
        <v>0</v>
      </c>
      <c r="G360" s="47">
        <f>SUMIF(JournalsC!D$14:D$920,TrialBalanceC!M360,JournalsC!J$14:J$920)+SUMIF(JournalsC!E$14:E$920,TrialBalanceC!M360,JournalsC!J$14:J$920)</f>
        <v>0</v>
      </c>
      <c r="H360" s="288"/>
      <c r="I360" s="291">
        <f t="shared" si="110"/>
        <v>0</v>
      </c>
      <c r="J360" s="75"/>
      <c r="K360" s="48">
        <f t="shared" si="72"/>
        <v>0</v>
      </c>
      <c r="M360" s="140" t="str">
        <f t="shared" si="73"/>
        <v>8020/000Less: Provision for doubtful debts</v>
      </c>
      <c r="N360" s="70"/>
      <c r="P360" s="71"/>
      <c r="Q360" s="51"/>
      <c r="R360" s="31"/>
    </row>
    <row r="361" spans="1:18" x14ac:dyDescent="0.2">
      <c r="A361" s="238"/>
      <c r="B361" s="90" t="s">
        <v>591</v>
      </c>
      <c r="C361" s="240" t="s">
        <v>332</v>
      </c>
      <c r="D361" s="282"/>
      <c r="E361" s="281"/>
      <c r="F361" s="79">
        <f t="shared" si="77"/>
        <v>0</v>
      </c>
      <c r="G361" s="47">
        <f>SUMIF(JournalsC!D$14:D$920,TrialBalanceC!M361,JournalsC!J$14:J$920)+SUMIF(JournalsC!E$14:E$920,TrialBalanceC!M361,JournalsC!J$14:J$920)</f>
        <v>0</v>
      </c>
      <c r="H361" s="288"/>
      <c r="I361" s="291">
        <f t="shared" si="110"/>
        <v>0</v>
      </c>
      <c r="J361" s="75"/>
      <c r="K361" s="48">
        <f t="shared" si="72"/>
        <v>0</v>
      </c>
      <c r="M361" s="140" t="str">
        <f t="shared" si="73"/>
        <v>8030/000Service deposits</v>
      </c>
      <c r="N361" s="70"/>
      <c r="P361" s="71"/>
      <c r="Q361" s="51"/>
      <c r="R361" s="31"/>
    </row>
    <row r="362" spans="1:18" x14ac:dyDescent="0.2">
      <c r="A362" s="238"/>
      <c r="B362" s="54" t="s">
        <v>479</v>
      </c>
      <c r="C362" s="242" t="s">
        <v>803</v>
      </c>
      <c r="D362" s="282"/>
      <c r="E362" s="281"/>
      <c r="F362" s="79">
        <f t="shared" si="77"/>
        <v>0</v>
      </c>
      <c r="G362" s="47">
        <f>SUMIF(JournalsC!D$14:D$920,TrialBalanceC!M362,JournalsC!J$14:J$920)+SUMIF(JournalsC!E$14:E$920,TrialBalanceC!M362,JournalsC!J$14:J$920)</f>
        <v>0</v>
      </c>
      <c r="H362" s="288"/>
      <c r="I362" s="291">
        <f t="shared" si="110"/>
        <v>0</v>
      </c>
      <c r="J362" s="75"/>
      <c r="K362" s="48">
        <f t="shared" si="72"/>
        <v>0</v>
      </c>
      <c r="M362" s="140" t="str">
        <f t="shared" si="73"/>
        <v>8200/000Sundry customers</v>
      </c>
      <c r="N362" s="70"/>
      <c r="P362" s="71"/>
      <c r="Q362" s="51"/>
      <c r="R362" s="31"/>
    </row>
    <row r="363" spans="1:18" x14ac:dyDescent="0.2">
      <c r="A363" s="238"/>
      <c r="B363" s="54" t="s">
        <v>480</v>
      </c>
      <c r="C363" s="240" t="s">
        <v>376</v>
      </c>
      <c r="D363" s="282"/>
      <c r="E363" s="281"/>
      <c r="F363" s="79">
        <f t="shared" si="77"/>
        <v>0</v>
      </c>
      <c r="G363" s="47">
        <f>SUMIF(JournalsC!D$14:D$920,TrialBalanceC!M363,JournalsC!J$14:J$920)+SUMIF(JournalsC!E$14:E$920,TrialBalanceC!M363,JournalsC!J$14:J$920)</f>
        <v>0</v>
      </c>
      <c r="H363" s="288"/>
      <c r="I363" s="291">
        <f t="shared" si="110"/>
        <v>0</v>
      </c>
      <c r="J363" s="75"/>
      <c r="K363" s="48">
        <f t="shared" si="72"/>
        <v>0</v>
      </c>
      <c r="M363" s="140" t="str">
        <f t="shared" si="73"/>
        <v>8200/010Prepayments</v>
      </c>
      <c r="N363" s="70"/>
      <c r="P363" s="71"/>
      <c r="Q363" s="51"/>
      <c r="R363" s="31"/>
    </row>
    <row r="364" spans="1:18" x14ac:dyDescent="0.2">
      <c r="A364" s="238"/>
      <c r="B364" s="54" t="s">
        <v>237</v>
      </c>
      <c r="C364" s="241" t="s">
        <v>564</v>
      </c>
      <c r="D364" s="272"/>
      <c r="E364" s="281"/>
      <c r="F364" s="79">
        <f t="shared" si="77"/>
        <v>0</v>
      </c>
      <c r="G364" s="47">
        <f>SUMIF(JournalsC!D$14:D$920,TrialBalanceC!M364,JournalsC!J$14:J$920)+SUMIF(JournalsC!E$14:E$920,TrialBalanceC!M364,JournalsC!J$14:J$920)</f>
        <v>0</v>
      </c>
      <c r="H364" s="288"/>
      <c r="I364" s="291">
        <f t="shared" si="110"/>
        <v>0</v>
      </c>
      <c r="J364" s="75"/>
      <c r="K364" s="48">
        <f t="shared" si="72"/>
        <v>0</v>
      </c>
      <c r="M364" s="140" t="str">
        <f t="shared" si="73"/>
        <v>8200/020Staff loans</v>
      </c>
      <c r="N364" s="70"/>
      <c r="P364" s="71"/>
      <c r="Q364" s="51"/>
      <c r="R364" s="31"/>
    </row>
    <row r="365" spans="1:18" x14ac:dyDescent="0.2">
      <c r="A365" s="238"/>
      <c r="B365" s="54" t="s">
        <v>238</v>
      </c>
      <c r="C365" s="244" t="s">
        <v>125</v>
      </c>
      <c r="D365" s="270"/>
      <c r="E365" s="281"/>
      <c r="F365" s="79"/>
      <c r="G365" s="47">
        <f>SUMIF(JournalsC!D$14:D$920,TrialBalanceC!M365,JournalsC!J$14:J$920)+SUMIF(JournalsC!E$14:E$920,TrialBalanceC!M365,JournalsC!J$14:J$920)</f>
        <v>0</v>
      </c>
      <c r="H365" s="288"/>
      <c r="I365" s="291">
        <f t="shared" si="110"/>
        <v>0</v>
      </c>
      <c r="J365" s="75"/>
      <c r="K365" s="48">
        <f t="shared" si="72"/>
        <v>0</v>
      </c>
      <c r="M365" s="140" t="str">
        <f t="shared" si="73"/>
        <v>8400/000BANK ACCOUNTS</v>
      </c>
      <c r="N365" s="70"/>
      <c r="P365" s="71"/>
      <c r="Q365" s="51"/>
      <c r="R365" s="31"/>
    </row>
    <row r="366" spans="1:18" x14ac:dyDescent="0.2">
      <c r="A366" s="238"/>
      <c r="B366" s="54" t="s">
        <v>239</v>
      </c>
      <c r="C366" s="276">
        <f>TrialBalance!C366</f>
        <v>0</v>
      </c>
      <c r="D366" s="281"/>
      <c r="E366" s="281"/>
      <c r="F366" s="79">
        <f t="shared" si="77"/>
        <v>0</v>
      </c>
      <c r="G366" s="47">
        <f>SUMIF(JournalsC!D$14:D$920,TrialBalanceC!M366,JournalsC!J$14:J$920)+SUMIF(JournalsC!E$14:E$920,TrialBalanceC!M366,JournalsC!J$14:J$920)</f>
        <v>0</v>
      </c>
      <c r="H366" s="288"/>
      <c r="I366" s="291">
        <f t="shared" si="110"/>
        <v>0</v>
      </c>
      <c r="J366" s="75"/>
      <c r="K366" s="48">
        <f t="shared" si="72"/>
        <v>0</v>
      </c>
      <c r="M366" s="140" t="str">
        <f t="shared" si="73"/>
        <v>8410/0000</v>
      </c>
      <c r="N366" s="70"/>
      <c r="P366" s="71"/>
      <c r="Q366" s="51"/>
      <c r="R366" s="31"/>
    </row>
    <row r="367" spans="1:18" x14ac:dyDescent="0.2">
      <c r="A367" s="238"/>
      <c r="B367" s="54" t="s">
        <v>240</v>
      </c>
      <c r="C367" s="276">
        <f>TrialBalance!C367</f>
        <v>0</v>
      </c>
      <c r="D367" s="281"/>
      <c r="E367" s="281"/>
      <c r="F367" s="79">
        <f t="shared" si="77"/>
        <v>0</v>
      </c>
      <c r="G367" s="47">
        <f>SUMIF(JournalsC!D$14:D$920,TrialBalanceC!M367,JournalsC!J$14:J$920)+SUMIF(JournalsC!E$14:E$920,TrialBalanceC!M367,JournalsC!J$14:J$920)</f>
        <v>0</v>
      </c>
      <c r="H367" s="288"/>
      <c r="I367" s="291">
        <f t="shared" si="110"/>
        <v>0</v>
      </c>
      <c r="J367" s="75"/>
      <c r="K367" s="48">
        <f t="shared" si="72"/>
        <v>0</v>
      </c>
      <c r="M367" s="140" t="str">
        <f t="shared" si="73"/>
        <v>8420/0000</v>
      </c>
      <c r="N367" s="70"/>
      <c r="P367" s="71"/>
      <c r="Q367" s="51"/>
      <c r="R367" s="31"/>
    </row>
    <row r="368" spans="1:18" x14ac:dyDescent="0.2">
      <c r="A368" s="238"/>
      <c r="B368" s="54" t="s">
        <v>241</v>
      </c>
      <c r="C368" s="276">
        <f>TrialBalance!C368</f>
        <v>0</v>
      </c>
      <c r="D368" s="272"/>
      <c r="E368" s="281"/>
      <c r="F368" s="79">
        <f t="shared" si="77"/>
        <v>0</v>
      </c>
      <c r="G368" s="47">
        <f>SUMIF(JournalsC!D$14:D$920,TrialBalanceC!M368,JournalsC!J$14:J$920)+SUMIF(JournalsC!E$14:E$920,TrialBalanceC!M368,JournalsC!J$14:J$920)</f>
        <v>0</v>
      </c>
      <c r="H368" s="288"/>
      <c r="I368" s="291">
        <f t="shared" si="110"/>
        <v>0</v>
      </c>
      <c r="J368" s="75"/>
      <c r="K368" s="48">
        <f t="shared" si="72"/>
        <v>0</v>
      </c>
      <c r="M368" s="140" t="str">
        <f t="shared" si="73"/>
        <v>8430/0000</v>
      </c>
      <c r="N368" s="70"/>
      <c r="P368" s="71"/>
      <c r="Q368" s="51"/>
      <c r="R368" s="31"/>
    </row>
    <row r="369" spans="1:18" x14ac:dyDescent="0.2">
      <c r="A369" s="238"/>
      <c r="B369" s="54" t="s">
        <v>242</v>
      </c>
      <c r="C369" s="276">
        <f>TrialBalance!C369</f>
        <v>0</v>
      </c>
      <c r="D369" s="282"/>
      <c r="E369" s="281"/>
      <c r="F369" s="79">
        <f t="shared" si="77"/>
        <v>0</v>
      </c>
      <c r="G369" s="47">
        <f>SUMIF(JournalsC!D$14:D$920,TrialBalanceC!M369,JournalsC!J$14:J$920)+SUMIF(JournalsC!E$14:E$920,TrialBalanceC!M369,JournalsC!J$14:J$920)</f>
        <v>0</v>
      </c>
      <c r="H369" s="288"/>
      <c r="I369" s="291">
        <f t="shared" si="110"/>
        <v>0</v>
      </c>
      <c r="J369" s="75"/>
      <c r="K369" s="48">
        <f t="shared" si="72"/>
        <v>0</v>
      </c>
      <c r="M369" s="140" t="str">
        <f t="shared" si="73"/>
        <v>8440/0000</v>
      </c>
      <c r="N369" s="70"/>
      <c r="P369" s="71"/>
      <c r="Q369" s="51"/>
      <c r="R369" s="31"/>
    </row>
    <row r="370" spans="1:18" x14ac:dyDescent="0.2">
      <c r="A370" s="238"/>
      <c r="B370" s="54" t="s">
        <v>243</v>
      </c>
      <c r="C370" s="276">
        <f>TrialBalance!C370</f>
        <v>0</v>
      </c>
      <c r="D370" s="282"/>
      <c r="E370" s="281"/>
      <c r="F370" s="79">
        <f t="shared" si="77"/>
        <v>0</v>
      </c>
      <c r="G370" s="47">
        <f>SUMIF(JournalsC!D$14:D$920,TrialBalanceC!M370,JournalsC!J$14:J$920)+SUMIF(JournalsC!E$14:E$920,TrialBalanceC!M370,JournalsC!J$14:J$920)</f>
        <v>0</v>
      </c>
      <c r="H370" s="288"/>
      <c r="I370" s="291">
        <f t="shared" si="110"/>
        <v>0</v>
      </c>
      <c r="J370" s="75"/>
      <c r="K370" s="48">
        <f t="shared" si="72"/>
        <v>0</v>
      </c>
      <c r="M370" s="140" t="str">
        <f t="shared" si="73"/>
        <v>8450/0000</v>
      </c>
      <c r="N370" s="70"/>
      <c r="P370" s="71"/>
      <c r="Q370" s="51"/>
      <c r="R370" s="31"/>
    </row>
    <row r="371" spans="1:18" x14ac:dyDescent="0.2">
      <c r="A371" s="238"/>
      <c r="B371" s="54" t="s">
        <v>126</v>
      </c>
      <c r="C371" s="276">
        <f>TrialBalance!C371</f>
        <v>0</v>
      </c>
      <c r="D371" s="282"/>
      <c r="E371" s="281"/>
      <c r="F371" s="79">
        <f t="shared" si="77"/>
        <v>0</v>
      </c>
      <c r="G371" s="47">
        <f>SUMIF(JournalsC!D$14:D$920,TrialBalanceC!M371,JournalsC!J$14:J$920)+SUMIF(JournalsC!E$14:E$920,TrialBalanceC!M371,JournalsC!J$14:J$920)</f>
        <v>0</v>
      </c>
      <c r="H371" s="288"/>
      <c r="I371" s="291">
        <f t="shared" si="110"/>
        <v>0</v>
      </c>
      <c r="J371" s="75"/>
      <c r="K371" s="48">
        <f t="shared" si="72"/>
        <v>0</v>
      </c>
      <c r="M371" s="140" t="str">
        <f t="shared" si="73"/>
        <v>8460/0000</v>
      </c>
      <c r="N371" s="70"/>
      <c r="P371" s="71"/>
      <c r="Q371" s="51"/>
      <c r="R371" s="31"/>
    </row>
    <row r="372" spans="1:18" x14ac:dyDescent="0.2">
      <c r="A372" s="238"/>
      <c r="B372" s="54" t="s">
        <v>426</v>
      </c>
      <c r="C372" s="246" t="s">
        <v>427</v>
      </c>
      <c r="D372" s="272"/>
      <c r="E372" s="281"/>
      <c r="F372" s="79">
        <f t="shared" si="77"/>
        <v>0</v>
      </c>
      <c r="G372" s="47">
        <f>SUMIF(JournalsC!D$14:D$920,TrialBalanceC!M372,JournalsC!J$14:J$920)+SUMIF(JournalsC!E$14:E$920,TrialBalanceC!M372,JournalsC!J$14:J$920)</f>
        <v>0</v>
      </c>
      <c r="H372" s="288"/>
      <c r="I372" s="291">
        <f t="shared" si="110"/>
        <v>0</v>
      </c>
      <c r="J372" s="75"/>
      <c r="K372" s="48">
        <f t="shared" si="72"/>
        <v>0</v>
      </c>
      <c r="M372" s="140" t="str">
        <f t="shared" si="73"/>
        <v>8500/000Cash on hand</v>
      </c>
      <c r="N372" s="70"/>
      <c r="P372" s="71"/>
      <c r="Q372" s="51"/>
      <c r="R372" s="31"/>
    </row>
    <row r="373" spans="1:18" x14ac:dyDescent="0.2">
      <c r="A373" s="238"/>
      <c r="B373" s="54" t="s">
        <v>428</v>
      </c>
      <c r="C373" s="244" t="s">
        <v>287</v>
      </c>
      <c r="D373" s="270"/>
      <c r="E373" s="281"/>
      <c r="F373" s="79"/>
      <c r="G373" s="47">
        <f>SUMIF(JournalsC!D$14:D$920,TrialBalanceC!M373,JournalsC!J$14:J$920)+SUMIF(JournalsC!E$14:E$920,TrialBalanceC!M373,JournalsC!J$14:J$920)</f>
        <v>0</v>
      </c>
      <c r="H373" s="288"/>
      <c r="I373" s="291">
        <f t="shared" si="110"/>
        <v>0</v>
      </c>
      <c r="J373" s="75"/>
      <c r="K373" s="48">
        <f t="shared" si="72"/>
        <v>0</v>
      </c>
      <c r="M373" s="140" t="str">
        <f t="shared" si="73"/>
        <v>8900/000SHORT TERM LOANS</v>
      </c>
      <c r="N373" s="70"/>
      <c r="P373" s="71"/>
      <c r="Q373" s="51"/>
      <c r="R373" s="31"/>
    </row>
    <row r="374" spans="1:18" x14ac:dyDescent="0.2">
      <c r="A374" s="238"/>
      <c r="B374" s="54" t="s">
        <v>429</v>
      </c>
      <c r="C374" s="276">
        <f>TrialBalance!C374</f>
        <v>0</v>
      </c>
      <c r="D374" s="272"/>
      <c r="E374" s="281"/>
      <c r="F374" s="79">
        <f t="shared" si="77"/>
        <v>0</v>
      </c>
      <c r="G374" s="47">
        <f>SUMIF(JournalsC!D$14:D$920,TrialBalanceC!M374,JournalsC!J$14:J$920)+SUMIF(JournalsC!E$14:E$920,TrialBalanceC!M374,JournalsC!J$14:J$920)</f>
        <v>0</v>
      </c>
      <c r="H374" s="288"/>
      <c r="I374" s="291">
        <f t="shared" si="110"/>
        <v>0</v>
      </c>
      <c r="J374" s="75"/>
      <c r="K374" s="48">
        <f t="shared" si="72"/>
        <v>0</v>
      </c>
      <c r="M374" s="140" t="str">
        <f t="shared" si="73"/>
        <v>8900/0010</v>
      </c>
      <c r="N374" s="70"/>
      <c r="P374" s="71"/>
      <c r="Q374" s="51"/>
      <c r="R374" s="31"/>
    </row>
    <row r="375" spans="1:18" x14ac:dyDescent="0.2">
      <c r="A375" s="238"/>
      <c r="B375" s="54" t="s">
        <v>430</v>
      </c>
      <c r="C375" s="276">
        <f>TrialBalance!C375</f>
        <v>0</v>
      </c>
      <c r="D375" s="282"/>
      <c r="E375" s="281"/>
      <c r="F375" s="79">
        <f t="shared" si="77"/>
        <v>0</v>
      </c>
      <c r="G375" s="47">
        <f>SUMIF(JournalsC!D$14:D$920,TrialBalanceC!M375,JournalsC!J$14:J$920)+SUMIF(JournalsC!E$14:E$920,TrialBalanceC!M375,JournalsC!J$14:J$920)</f>
        <v>0</v>
      </c>
      <c r="H375" s="288"/>
      <c r="I375" s="291">
        <f t="shared" si="110"/>
        <v>0</v>
      </c>
      <c r="J375" s="75"/>
      <c r="K375" s="48">
        <f t="shared" si="72"/>
        <v>0</v>
      </c>
      <c r="M375" s="140" t="str">
        <f t="shared" si="73"/>
        <v>8900/0020</v>
      </c>
      <c r="N375" s="70"/>
      <c r="P375" s="71"/>
      <c r="Q375" s="51"/>
      <c r="R375" s="31"/>
    </row>
    <row r="376" spans="1:18" x14ac:dyDescent="0.2">
      <c r="A376" s="238"/>
      <c r="B376" s="54" t="s">
        <v>431</v>
      </c>
      <c r="C376" s="276">
        <f>TrialBalance!C376</f>
        <v>0</v>
      </c>
      <c r="D376" s="282"/>
      <c r="E376" s="281"/>
      <c r="F376" s="79">
        <f t="shared" si="77"/>
        <v>0</v>
      </c>
      <c r="G376" s="47">
        <f>SUMIF(JournalsC!D$14:D$920,TrialBalanceC!M376,JournalsC!J$14:J$920)+SUMIF(JournalsC!E$14:E$920,TrialBalanceC!M376,JournalsC!J$14:J$920)</f>
        <v>0</v>
      </c>
      <c r="H376" s="288"/>
      <c r="I376" s="291">
        <f t="shared" si="110"/>
        <v>0</v>
      </c>
      <c r="J376" s="75"/>
      <c r="K376" s="48">
        <f t="shared" si="72"/>
        <v>0</v>
      </c>
      <c r="M376" s="140" t="str">
        <f t="shared" si="73"/>
        <v>8900/0030</v>
      </c>
      <c r="N376" s="70"/>
      <c r="P376" s="71"/>
      <c r="Q376" s="51"/>
      <c r="R376" s="31"/>
    </row>
    <row r="377" spans="1:18" x14ac:dyDescent="0.2">
      <c r="A377" s="238"/>
      <c r="B377" s="54" t="s">
        <v>432</v>
      </c>
      <c r="C377" s="239" t="s">
        <v>255</v>
      </c>
      <c r="D377" s="283"/>
      <c r="E377" s="281"/>
      <c r="F377" s="79"/>
      <c r="G377" s="47">
        <f>SUMIF(JournalsC!D$14:D$920,TrialBalanceC!M377,JournalsC!J$14:J$920)+SUMIF(JournalsC!E$14:E$920,TrialBalanceC!M377,JournalsC!J$14:J$920)</f>
        <v>0</v>
      </c>
      <c r="H377" s="288"/>
      <c r="I377" s="291">
        <f t="shared" si="110"/>
        <v>0</v>
      </c>
      <c r="J377" s="75"/>
      <c r="K377" s="48">
        <f t="shared" si="72"/>
        <v>0</v>
      </c>
      <c r="M377" s="140" t="str">
        <f t="shared" si="73"/>
        <v>8900/004Short term portion of long term loans</v>
      </c>
      <c r="N377" s="70"/>
      <c r="P377" s="71"/>
      <c r="Q377" s="51"/>
      <c r="R377" s="31"/>
    </row>
    <row r="378" spans="1:18" x14ac:dyDescent="0.2">
      <c r="A378" s="238"/>
      <c r="B378" s="54" t="s">
        <v>433</v>
      </c>
      <c r="C378" s="239" t="s">
        <v>434</v>
      </c>
      <c r="D378" s="283"/>
      <c r="E378" s="281"/>
      <c r="F378" s="79"/>
      <c r="G378" s="47">
        <f>SUMIF(JournalsC!D$14:D$920,TrialBalanceC!M378,JournalsC!J$14:J$920)+SUMIF(JournalsC!E$14:E$920,TrialBalanceC!M378,JournalsC!J$14:J$920)</f>
        <v>0</v>
      </c>
      <c r="H378" s="288"/>
      <c r="I378" s="291">
        <f t="shared" si="110"/>
        <v>0</v>
      </c>
      <c r="J378" s="75"/>
      <c r="K378" s="48">
        <f t="shared" si="72"/>
        <v>0</v>
      </c>
      <c r="M378" s="140" t="str">
        <f t="shared" si="73"/>
        <v>9000/000CREDITORS</v>
      </c>
      <c r="N378" s="70"/>
      <c r="P378" s="71"/>
      <c r="Q378" s="51"/>
      <c r="R378" s="31"/>
    </row>
    <row r="379" spans="1:18" x14ac:dyDescent="0.2">
      <c r="A379" s="238"/>
      <c r="B379" s="54" t="s">
        <v>435</v>
      </c>
      <c r="C379" s="240" t="s">
        <v>436</v>
      </c>
      <c r="D379" s="282"/>
      <c r="E379" s="281"/>
      <c r="F379" s="79">
        <f>K379</f>
        <v>0</v>
      </c>
      <c r="G379" s="47">
        <f>SUMIF(JournalsC!D$14:D$920,TrialBalanceC!M379,JournalsC!J$14:J$920)+SUMIF(JournalsC!E$14:E$920,TrialBalanceC!M379,JournalsC!J$14:J$920)</f>
        <v>0</v>
      </c>
      <c r="H379" s="288"/>
      <c r="I379" s="291">
        <f t="shared" si="110"/>
        <v>0</v>
      </c>
      <c r="J379" s="75"/>
      <c r="K379" s="48">
        <f t="shared" si="72"/>
        <v>0</v>
      </c>
      <c r="M379" s="140" t="str">
        <f t="shared" si="73"/>
        <v>9010/000Trade creditors</v>
      </c>
      <c r="N379" s="70"/>
      <c r="P379" s="71"/>
      <c r="Q379" s="51"/>
      <c r="R379" s="31"/>
    </row>
    <row r="380" spans="1:18" x14ac:dyDescent="0.2">
      <c r="A380" s="238"/>
      <c r="B380" s="54" t="s">
        <v>437</v>
      </c>
      <c r="C380" s="242" t="s">
        <v>579</v>
      </c>
      <c r="D380" s="282"/>
      <c r="E380" s="281"/>
      <c r="F380" s="79">
        <f>K380</f>
        <v>0</v>
      </c>
      <c r="G380" s="47">
        <f>SUMIF(JournalsC!D$14:D$920,TrialBalanceC!M380,JournalsC!J$14:J$920)+SUMIF(JournalsC!E$14:E$920,TrialBalanceC!M380,JournalsC!J$14:J$920)</f>
        <v>0</v>
      </c>
      <c r="H380" s="288"/>
      <c r="I380" s="291">
        <f t="shared" si="110"/>
        <v>0</v>
      </c>
      <c r="J380" s="75"/>
      <c r="K380" s="48">
        <f t="shared" si="72"/>
        <v>0</v>
      </c>
      <c r="M380" s="140" t="str">
        <f t="shared" si="73"/>
        <v>9200/000Sundry suppliers</v>
      </c>
      <c r="N380" s="70"/>
      <c r="P380" s="71"/>
      <c r="Q380" s="51"/>
      <c r="R380" s="31"/>
    </row>
    <row r="381" spans="1:18" x14ac:dyDescent="0.2">
      <c r="A381" s="238"/>
      <c r="B381" s="54" t="s">
        <v>438</v>
      </c>
      <c r="C381" s="242" t="s">
        <v>753</v>
      </c>
      <c r="D381" s="284"/>
      <c r="E381" s="281"/>
      <c r="F381" s="79">
        <f>K381</f>
        <v>0</v>
      </c>
      <c r="G381" s="47">
        <f>SUMIF(JournalsC!D$14:D$920,TrialBalanceC!M381,JournalsC!J$14:J$920)+SUMIF(JournalsC!E$14:E$920,TrialBalanceC!M381,JournalsC!J$14:J$920)</f>
        <v>0</v>
      </c>
      <c r="H381" s="288"/>
      <c r="I381" s="291">
        <f t="shared" si="110"/>
        <v>0</v>
      </c>
      <c r="J381" s="75"/>
      <c r="K381" s="48">
        <f t="shared" si="72"/>
        <v>0</v>
      </c>
      <c r="M381" s="140" t="str">
        <f t="shared" si="73"/>
        <v>9200/010Audit and accounting fee accrual</v>
      </c>
      <c r="N381" s="70"/>
      <c r="P381" s="71"/>
      <c r="Q381" s="51"/>
      <c r="R381" s="31"/>
    </row>
    <row r="382" spans="1:18" x14ac:dyDescent="0.2">
      <c r="A382" s="238"/>
      <c r="B382" s="54" t="s">
        <v>439</v>
      </c>
      <c r="C382" s="242" t="s">
        <v>580</v>
      </c>
      <c r="D382" s="282"/>
      <c r="E382" s="281"/>
      <c r="F382" s="79">
        <f>K382</f>
        <v>0</v>
      </c>
      <c r="G382" s="47">
        <f>SUMIF(JournalsC!D$14:D$920,TrialBalanceC!M382,JournalsC!J$14:J$920)+SUMIF(JournalsC!E$14:E$920,TrialBalanceC!M382,JournalsC!J$14:J$920)</f>
        <v>0</v>
      </c>
      <c r="H382" s="288"/>
      <c r="I382" s="291">
        <f t="shared" si="110"/>
        <v>0</v>
      </c>
      <c r="J382" s="75"/>
      <c r="K382" s="48">
        <f t="shared" si="72"/>
        <v>0</v>
      </c>
      <c r="M382" s="140" t="str">
        <f t="shared" si="73"/>
        <v>9200/020Other accruals</v>
      </c>
      <c r="N382" s="70"/>
      <c r="P382" s="71"/>
      <c r="Q382" s="51"/>
      <c r="R382" s="31"/>
    </row>
    <row r="383" spans="1:18" x14ac:dyDescent="0.2">
      <c r="A383" s="238"/>
      <c r="B383" s="54" t="s">
        <v>440</v>
      </c>
      <c r="C383" s="242" t="s">
        <v>749</v>
      </c>
      <c r="D383" s="282"/>
      <c r="E383" s="281"/>
      <c r="F383" s="79">
        <f>K383</f>
        <v>0</v>
      </c>
      <c r="G383" s="47">
        <f>SUMIF(JournalsC!D$14:D$920,TrialBalanceC!M383,JournalsC!J$14:J$920)+SUMIF(JournalsC!E$14:E$920,TrialBalanceC!M383,JournalsC!J$14:J$920)</f>
        <v>0</v>
      </c>
      <c r="H383" s="288"/>
      <c r="I383" s="291">
        <f t="shared" si="110"/>
        <v>0</v>
      </c>
      <c r="J383" s="75"/>
      <c r="K383" s="48">
        <f t="shared" si="72"/>
        <v>0</v>
      </c>
      <c r="M383" s="140" t="str">
        <f t="shared" si="73"/>
        <v>9250/000Salary and wages control</v>
      </c>
      <c r="N383" s="70"/>
      <c r="P383" s="71"/>
      <c r="Q383" s="51"/>
      <c r="R383" s="31"/>
    </row>
    <row r="384" spans="1:18" x14ac:dyDescent="0.2">
      <c r="A384" s="238"/>
      <c r="B384" s="54" t="s">
        <v>338</v>
      </c>
      <c r="C384" s="239" t="s">
        <v>116</v>
      </c>
      <c r="D384" s="283"/>
      <c r="E384" s="281"/>
      <c r="F384" s="79"/>
      <c r="G384" s="47">
        <f>SUMIF(JournalsC!D$14:D$920,TrialBalanceC!M384,JournalsC!J$14:J$920)+SUMIF(JournalsC!E$14:E$920,TrialBalanceC!M384,JournalsC!J$14:J$920)</f>
        <v>0</v>
      </c>
      <c r="H384" s="288"/>
      <c r="I384" s="291">
        <f t="shared" si="110"/>
        <v>0</v>
      </c>
      <c r="J384" s="75"/>
      <c r="K384" s="48">
        <f t="shared" si="72"/>
        <v>0</v>
      </c>
      <c r="M384" s="140" t="str">
        <f t="shared" si="73"/>
        <v>9300/000TAXATION</v>
      </c>
      <c r="N384" s="70"/>
      <c r="P384" s="71"/>
      <c r="Q384" s="51"/>
      <c r="R384" s="31"/>
    </row>
    <row r="385" spans="1:18" x14ac:dyDescent="0.2">
      <c r="A385" s="238"/>
      <c r="B385" s="54" t="s">
        <v>451</v>
      </c>
      <c r="C385" s="240" t="s">
        <v>83</v>
      </c>
      <c r="D385" s="282"/>
      <c r="E385" s="281"/>
      <c r="F385" s="79">
        <f>SUM(K385:K392)</f>
        <v>0</v>
      </c>
      <c r="G385" s="47">
        <f>SUMIF(JournalsC!D$14:D$920,TrialBalanceC!M385,JournalsC!J$14:J$920)+SUMIF(JournalsC!E$14:E$920,TrialBalanceC!M385,JournalsC!J$14:J$920)</f>
        <v>0</v>
      </c>
      <c r="H385" s="288"/>
      <c r="I385" s="291">
        <f t="shared" si="110"/>
        <v>0</v>
      </c>
      <c r="J385" s="75"/>
      <c r="K385" s="48">
        <f t="shared" si="72"/>
        <v>0</v>
      </c>
      <c r="M385" s="140" t="str">
        <f t="shared" si="73"/>
        <v>9300/010Balance b/fwd</v>
      </c>
      <c r="N385" s="70"/>
      <c r="P385" s="71"/>
      <c r="Q385" s="51"/>
      <c r="R385" s="31"/>
    </row>
    <row r="386" spans="1:18" x14ac:dyDescent="0.2">
      <c r="A386" s="238"/>
      <c r="B386" s="54" t="s">
        <v>452</v>
      </c>
      <c r="C386" s="246" t="s">
        <v>123</v>
      </c>
      <c r="D386" s="272"/>
      <c r="E386" s="281"/>
      <c r="F386" s="79"/>
      <c r="G386" s="47">
        <f>SUMIF(JournalsC!D$14:D$920,TrialBalanceC!M386,JournalsC!J$14:J$920)+SUMIF(JournalsC!E$14:E$920,TrialBalanceC!M386,JournalsC!J$14:J$920)</f>
        <v>0</v>
      </c>
      <c r="H386" s="288"/>
      <c r="I386" s="291">
        <f t="shared" si="110"/>
        <v>0</v>
      </c>
      <c r="J386" s="75"/>
      <c r="K386" s="48">
        <f t="shared" si="72"/>
        <v>0</v>
      </c>
      <c r="M386" s="140" t="str">
        <f t="shared" si="73"/>
        <v>9300/020Tax provision this year</v>
      </c>
      <c r="N386" s="70"/>
      <c r="P386" s="71"/>
      <c r="Q386" s="51"/>
      <c r="R386" s="31"/>
    </row>
    <row r="387" spans="1:18" x14ac:dyDescent="0.2">
      <c r="A387" s="238"/>
      <c r="B387" s="54" t="s">
        <v>453</v>
      </c>
      <c r="C387" s="242" t="s">
        <v>834</v>
      </c>
      <c r="D387" s="282"/>
      <c r="E387" s="281"/>
      <c r="F387" s="79"/>
      <c r="G387" s="47">
        <f>SUMIF(JournalsC!D$14:D$920,TrialBalanceC!M387,JournalsC!J$14:J$920)+SUMIF(JournalsC!E$14:E$920,TrialBalanceC!M387,JournalsC!J$14:J$920)</f>
        <v>0</v>
      </c>
      <c r="H387" s="288"/>
      <c r="I387" s="291">
        <f t="shared" si="110"/>
        <v>0</v>
      </c>
      <c r="J387" s="75"/>
      <c r="K387" s="48">
        <f t="shared" si="72"/>
        <v>0</v>
      </c>
      <c r="M387" s="140" t="str">
        <f t="shared" si="73"/>
        <v>9300/030Over-/(Under) provision previous year</v>
      </c>
      <c r="N387" s="70"/>
      <c r="P387" s="71"/>
      <c r="Q387" s="51"/>
      <c r="R387" s="31"/>
    </row>
    <row r="388" spans="1:18" x14ac:dyDescent="0.2">
      <c r="A388" s="238"/>
      <c r="B388" s="54" t="s">
        <v>454</v>
      </c>
      <c r="C388" s="242" t="s">
        <v>835</v>
      </c>
      <c r="D388" s="282"/>
      <c r="E388" s="281"/>
      <c r="F388" s="79"/>
      <c r="G388" s="47">
        <f>SUMIF(JournalsC!D$14:D$920,TrialBalanceC!M388,JournalsC!J$14:J$920)+SUMIF(JournalsC!E$14:E$920,TrialBalanceC!M388,JournalsC!J$14:J$920)</f>
        <v>0</v>
      </c>
      <c r="H388" s="288"/>
      <c r="I388" s="291">
        <f t="shared" si="110"/>
        <v>0</v>
      </c>
      <c r="J388" s="75"/>
      <c r="K388" s="48">
        <f t="shared" si="72"/>
        <v>0</v>
      </c>
      <c r="M388" s="140" t="str">
        <f t="shared" si="73"/>
        <v>9300/040Tax paid/(refund) for previous year provisions</v>
      </c>
      <c r="N388" s="70"/>
      <c r="P388" s="71"/>
      <c r="Q388" s="51"/>
      <c r="R388" s="31"/>
    </row>
    <row r="389" spans="1:18" x14ac:dyDescent="0.2">
      <c r="A389" s="238"/>
      <c r="B389" s="54" t="s">
        <v>455</v>
      </c>
      <c r="C389" s="242" t="s">
        <v>804</v>
      </c>
      <c r="D389" s="282"/>
      <c r="E389" s="281"/>
      <c r="F389" s="79"/>
      <c r="G389" s="47">
        <f>SUMIF(JournalsC!D$14:D$920,TrialBalanceC!M389,JournalsC!J$14:J$920)+SUMIF(JournalsC!E$14:E$920,TrialBalanceC!M389,JournalsC!J$14:J$920)</f>
        <v>0</v>
      </c>
      <c r="H389" s="288"/>
      <c r="I389" s="291">
        <f t="shared" si="110"/>
        <v>0</v>
      </c>
      <c r="J389" s="75"/>
      <c r="K389" s="48">
        <f t="shared" ref="K389:K400" si="111">ROUND(SUM(A389),0)</f>
        <v>0</v>
      </c>
      <c r="M389" s="140" t="str">
        <f t="shared" ref="M389:M400" si="112">CONCATENATE(B389,C389)</f>
        <v>9300/0501st Provisional paid</v>
      </c>
      <c r="N389" s="70"/>
      <c r="P389" s="71"/>
      <c r="Q389" s="51"/>
      <c r="R389" s="31"/>
    </row>
    <row r="390" spans="1:18" x14ac:dyDescent="0.2">
      <c r="A390" s="238"/>
      <c r="B390" s="54" t="s">
        <v>456</v>
      </c>
      <c r="C390" s="242" t="s">
        <v>805</v>
      </c>
      <c r="D390" s="282"/>
      <c r="E390" s="281"/>
      <c r="F390" s="79"/>
      <c r="G390" s="47">
        <f>SUMIF(JournalsC!D$14:D$920,TrialBalanceC!M390,JournalsC!J$14:J$920)+SUMIF(JournalsC!E$14:E$920,TrialBalanceC!M390,JournalsC!J$14:J$920)</f>
        <v>0</v>
      </c>
      <c r="H390" s="288"/>
      <c r="I390" s="291">
        <f t="shared" si="110"/>
        <v>0</v>
      </c>
      <c r="J390" s="75"/>
      <c r="K390" s="48">
        <f t="shared" si="111"/>
        <v>0</v>
      </c>
      <c r="M390" s="140" t="str">
        <f t="shared" si="112"/>
        <v>9300/0602nd Provisional paid</v>
      </c>
      <c r="N390" s="70"/>
      <c r="P390" s="71"/>
      <c r="Q390" s="51"/>
      <c r="R390" s="31"/>
    </row>
    <row r="391" spans="1:18" x14ac:dyDescent="0.2">
      <c r="A391" s="238"/>
      <c r="B391" s="54" t="s">
        <v>457</v>
      </c>
      <c r="C391" s="240" t="s">
        <v>124</v>
      </c>
      <c r="D391" s="282"/>
      <c r="E391" s="281"/>
      <c r="F391" s="79"/>
      <c r="G391" s="47">
        <f>SUMIF(JournalsC!D$14:D$920,TrialBalanceC!M391,JournalsC!J$14:J$920)+SUMIF(JournalsC!E$14:E$920,TrialBalanceC!M391,JournalsC!J$14:J$920)</f>
        <v>0</v>
      </c>
      <c r="H391" s="288"/>
      <c r="I391" s="291">
        <f t="shared" si="110"/>
        <v>0</v>
      </c>
      <c r="J391" s="75"/>
      <c r="K391" s="48">
        <f t="shared" si="111"/>
        <v>0</v>
      </c>
      <c r="M391" s="140" t="str">
        <f t="shared" si="112"/>
        <v>9300/0703rd Provisional paid</v>
      </c>
      <c r="N391" s="70"/>
      <c r="P391" s="71"/>
      <c r="Q391" s="51"/>
      <c r="R391" s="31"/>
    </row>
    <row r="392" spans="1:18" x14ac:dyDescent="0.2">
      <c r="A392" s="238"/>
      <c r="B392" s="54" t="s">
        <v>458</v>
      </c>
      <c r="C392" s="242" t="s">
        <v>837</v>
      </c>
      <c r="D392" s="282"/>
      <c r="E392" s="281"/>
      <c r="F392" s="79"/>
      <c r="G392" s="47">
        <f>SUMIF(JournalsC!D$14:D$920,TrialBalanceC!M392,JournalsC!J$14:J$920)+SUMIF(JournalsC!E$14:E$920,TrialBalanceC!M392,JournalsC!J$14:J$920)</f>
        <v>0</v>
      </c>
      <c r="H392" s="288"/>
      <c r="I392" s="291">
        <f t="shared" si="110"/>
        <v>0</v>
      </c>
      <c r="J392" s="75"/>
      <c r="K392" s="48">
        <f t="shared" si="111"/>
        <v>0</v>
      </c>
      <c r="M392" s="140" t="str">
        <f t="shared" si="112"/>
        <v>9300/090Dividends tax provision</v>
      </c>
      <c r="N392" s="70"/>
      <c r="P392" s="71"/>
      <c r="Q392" s="51"/>
      <c r="R392" s="31"/>
    </row>
    <row r="393" spans="1:18" x14ac:dyDescent="0.2">
      <c r="A393" s="238"/>
      <c r="B393" s="54" t="s">
        <v>339</v>
      </c>
      <c r="C393" s="242" t="s">
        <v>566</v>
      </c>
      <c r="D393" s="282"/>
      <c r="E393" s="281"/>
      <c r="F393" s="79">
        <f>K393</f>
        <v>0</v>
      </c>
      <c r="G393" s="47">
        <f>SUMIF(JournalsC!D$14:D$920,TrialBalanceC!M393,JournalsC!J$14:J$920)+SUMIF(JournalsC!E$14:E$920,TrialBalanceC!M393,JournalsC!J$14:J$920)</f>
        <v>0</v>
      </c>
      <c r="H393" s="288"/>
      <c r="I393" s="291">
        <f t="shared" si="110"/>
        <v>0</v>
      </c>
      <c r="J393" s="75"/>
      <c r="K393" s="48">
        <f t="shared" si="111"/>
        <v>0</v>
      </c>
      <c r="M393" s="140" t="str">
        <f t="shared" si="112"/>
        <v>9350/000Dividends payable</v>
      </c>
      <c r="N393" s="70"/>
      <c r="P393" s="71"/>
      <c r="Q393" s="51"/>
      <c r="R393" s="31"/>
    </row>
    <row r="394" spans="1:18" x14ac:dyDescent="0.2">
      <c r="A394" s="238"/>
      <c r="B394" s="54" t="s">
        <v>340</v>
      </c>
      <c r="C394" s="242" t="s">
        <v>567</v>
      </c>
      <c r="D394" s="282"/>
      <c r="E394" s="281"/>
      <c r="F394" s="79">
        <f>K394</f>
        <v>0</v>
      </c>
      <c r="G394" s="47">
        <f>SUMIF(JournalsC!D$14:D$920,TrialBalanceC!M394,JournalsC!J$14:J$920)+SUMIF(JournalsC!E$14:E$920,TrialBalanceC!M394,JournalsC!J$14:J$920)</f>
        <v>0</v>
      </c>
      <c r="H394" s="288"/>
      <c r="I394" s="291">
        <f t="shared" si="110"/>
        <v>0</v>
      </c>
      <c r="J394" s="75"/>
      <c r="K394" s="48">
        <f t="shared" si="111"/>
        <v>0</v>
      </c>
      <c r="M394" s="140" t="str">
        <f t="shared" si="112"/>
        <v>9400/000Provision for future expenses</v>
      </c>
      <c r="N394" s="70"/>
      <c r="P394" s="71"/>
      <c r="Q394" s="51"/>
      <c r="R394" s="31"/>
    </row>
    <row r="395" spans="1:18" x14ac:dyDescent="0.2">
      <c r="A395" s="238"/>
      <c r="B395" s="54" t="s">
        <v>341</v>
      </c>
      <c r="C395" s="242" t="s">
        <v>568</v>
      </c>
      <c r="D395" s="282"/>
      <c r="E395" s="281"/>
      <c r="F395" s="79">
        <f>K395</f>
        <v>0</v>
      </c>
      <c r="G395" s="47">
        <f>SUMIF(JournalsC!D$14:D$920,TrialBalanceC!M395,JournalsC!J$14:J$920)+SUMIF(JournalsC!E$14:E$920,TrialBalanceC!M395,JournalsC!J$14:J$920)</f>
        <v>0</v>
      </c>
      <c r="H395" s="288"/>
      <c r="I395" s="291">
        <f t="shared" si="110"/>
        <v>0</v>
      </c>
      <c r="J395" s="75"/>
      <c r="K395" s="48">
        <f t="shared" si="111"/>
        <v>0</v>
      </c>
      <c r="M395" s="140" t="str">
        <f t="shared" si="112"/>
        <v>9400/010Provision for insurance</v>
      </c>
      <c r="N395" s="70"/>
      <c r="P395" s="71"/>
      <c r="Q395" s="51"/>
      <c r="R395" s="31"/>
    </row>
    <row r="396" spans="1:18" x14ac:dyDescent="0.2">
      <c r="A396" s="238"/>
      <c r="B396" s="54" t="s">
        <v>342</v>
      </c>
      <c r="C396" s="242" t="s">
        <v>569</v>
      </c>
      <c r="D396" s="282"/>
      <c r="E396" s="281"/>
      <c r="F396" s="79">
        <f>K396</f>
        <v>0</v>
      </c>
      <c r="G396" s="47">
        <f>SUMIF(JournalsC!D$14:D$920,TrialBalanceC!M396,JournalsC!J$14:J$920)+SUMIF(JournalsC!E$14:E$920,TrialBalanceC!M396,JournalsC!J$14:J$920)</f>
        <v>0</v>
      </c>
      <c r="H396" s="288"/>
      <c r="I396" s="291">
        <f t="shared" si="110"/>
        <v>0</v>
      </c>
      <c r="J396" s="75"/>
      <c r="K396" s="48">
        <f t="shared" si="111"/>
        <v>0</v>
      </c>
      <c r="M396" s="140" t="str">
        <f t="shared" si="112"/>
        <v>9400/020Provision for salary bonus</v>
      </c>
      <c r="N396" s="70"/>
      <c r="P396" s="71"/>
      <c r="Q396" s="51"/>
      <c r="R396" s="31"/>
    </row>
    <row r="397" spans="1:18" x14ac:dyDescent="0.2">
      <c r="A397" s="238"/>
      <c r="B397" s="54" t="s">
        <v>343</v>
      </c>
      <c r="C397" s="239" t="s">
        <v>344</v>
      </c>
      <c r="D397" s="283"/>
      <c r="E397" s="281"/>
      <c r="F397" s="79"/>
      <c r="G397" s="47">
        <f>SUMIF(JournalsC!D$14:D$920,TrialBalanceC!M397,JournalsC!J$14:J$920)+SUMIF(JournalsC!E$14:E$920,TrialBalanceC!M397,JournalsC!J$14:J$920)</f>
        <v>0</v>
      </c>
      <c r="H397" s="288"/>
      <c r="I397" s="291">
        <f t="shared" si="110"/>
        <v>0</v>
      </c>
      <c r="J397" s="75"/>
      <c r="K397" s="48">
        <f t="shared" si="111"/>
        <v>0</v>
      </c>
      <c r="M397" s="140" t="str">
        <f t="shared" si="112"/>
        <v>9500/000VALUE ADDED TAX</v>
      </c>
      <c r="N397" s="70"/>
      <c r="P397" s="71"/>
      <c r="Q397" s="51"/>
      <c r="R397" s="31"/>
    </row>
    <row r="398" spans="1:18" x14ac:dyDescent="0.2">
      <c r="A398" s="238"/>
      <c r="B398" s="54" t="s">
        <v>345</v>
      </c>
      <c r="C398" s="240" t="s">
        <v>346</v>
      </c>
      <c r="D398" s="282"/>
      <c r="E398" s="281"/>
      <c r="F398" s="79">
        <f>K398</f>
        <v>0</v>
      </c>
      <c r="G398" s="47">
        <f>SUMIF(JournalsC!D$14:D$920,TrialBalanceC!M398,JournalsC!J$14:J$920)+SUMIF(JournalsC!E$14:E$920,TrialBalanceC!M398,JournalsC!J$14:J$920)</f>
        <v>0</v>
      </c>
      <c r="H398" s="288"/>
      <c r="I398" s="291">
        <f t="shared" si="110"/>
        <v>0</v>
      </c>
      <c r="J398" s="75"/>
      <c r="K398" s="48">
        <f t="shared" si="111"/>
        <v>0</v>
      </c>
      <c r="M398" s="140" t="str">
        <f t="shared" si="112"/>
        <v>9501/000VAT account</v>
      </c>
      <c r="N398" s="70"/>
      <c r="P398" s="71"/>
      <c r="Q398" s="51"/>
      <c r="R398" s="31"/>
    </row>
    <row r="399" spans="1:18" x14ac:dyDescent="0.2">
      <c r="A399" s="238"/>
      <c r="B399" s="54" t="s">
        <v>347</v>
      </c>
      <c r="C399" s="240" t="s">
        <v>29</v>
      </c>
      <c r="D399" s="282"/>
      <c r="E399" s="281"/>
      <c r="F399" s="79"/>
      <c r="G399" s="47">
        <f>SUMIF(JournalsC!D$14:D$920,TrialBalanceC!M399,JournalsC!J$14:J$920)+SUMIF(JournalsC!E$14:E$920,TrialBalanceC!M399,JournalsC!J$14:J$920)</f>
        <v>0</v>
      </c>
      <c r="H399" s="288"/>
      <c r="I399" s="291">
        <f t="shared" si="110"/>
        <v>0</v>
      </c>
      <c r="J399" s="75"/>
      <c r="K399" s="48">
        <f t="shared" si="111"/>
        <v>0</v>
      </c>
      <c r="M399" s="140" t="str">
        <f t="shared" si="112"/>
        <v>9510/000----------------------------------------</v>
      </c>
      <c r="N399" s="70"/>
      <c r="P399" s="71"/>
      <c r="Q399" s="51"/>
      <c r="R399" s="31"/>
    </row>
    <row r="400" spans="1:18" x14ac:dyDescent="0.2">
      <c r="A400" s="238"/>
      <c r="B400" s="54" t="s">
        <v>348</v>
      </c>
      <c r="C400" s="239" t="s">
        <v>806</v>
      </c>
      <c r="D400" s="283"/>
      <c r="E400" s="281"/>
      <c r="F400" s="79">
        <f>K400</f>
        <v>0</v>
      </c>
      <c r="G400" s="47">
        <f>SUMIF(JournalsC!D$14:D$920,TrialBalanceC!M400,JournalsC!J$14:J$920)+SUMIF(JournalsC!E$14:E$920,TrialBalanceC!M400,JournalsC!J$14:J$920)</f>
        <v>0</v>
      </c>
      <c r="H400" s="288"/>
      <c r="I400" s="291">
        <f t="shared" si="110"/>
        <v>0</v>
      </c>
      <c r="J400" s="75"/>
      <c r="K400" s="48">
        <f t="shared" si="111"/>
        <v>0</v>
      </c>
      <c r="M400" s="140" t="str">
        <f t="shared" si="112"/>
        <v>9990/000Suspense account</v>
      </c>
      <c r="N400" s="70"/>
      <c r="P400" s="71"/>
      <c r="Q400" s="51"/>
      <c r="R400" s="31"/>
    </row>
    <row r="401" spans="1:18" x14ac:dyDescent="0.2">
      <c r="A401" s="238"/>
      <c r="B401" s="54"/>
      <c r="C401" s="54"/>
      <c r="D401" s="282"/>
      <c r="E401" s="272"/>
      <c r="F401" s="79"/>
      <c r="G401" s="47"/>
      <c r="H401" s="288"/>
      <c r="I401" s="291"/>
      <c r="J401" s="75"/>
      <c r="K401" s="48"/>
      <c r="M401" s="140"/>
      <c r="N401" s="70"/>
      <c r="P401" s="71"/>
      <c r="Q401" s="51"/>
      <c r="R401" s="31"/>
    </row>
    <row r="402" spans="1:18" x14ac:dyDescent="0.2">
      <c r="A402" s="238"/>
      <c r="B402" s="54" t="s">
        <v>228</v>
      </c>
      <c r="C402" s="55" t="s">
        <v>228</v>
      </c>
      <c r="D402" s="263"/>
      <c r="E402" s="263"/>
      <c r="F402" s="82"/>
      <c r="G402" s="47"/>
      <c r="H402" s="288"/>
      <c r="I402" s="291"/>
      <c r="J402" s="75"/>
      <c r="K402" s="48"/>
      <c r="M402" s="140">
        <v>0</v>
      </c>
      <c r="N402" s="70"/>
      <c r="P402" s="73"/>
      <c r="Q402" s="73"/>
      <c r="R402" s="31"/>
    </row>
    <row r="403" spans="1:18" ht="13.5" thickBot="1" x14ac:dyDescent="0.25">
      <c r="A403" s="41">
        <f>SUM(A5:A402)</f>
        <v>0</v>
      </c>
      <c r="B403" s="54" t="s">
        <v>228</v>
      </c>
      <c r="C403" s="55" t="s">
        <v>228</v>
      </c>
      <c r="D403" s="41">
        <f>SUM(D5:D402)</f>
        <v>0</v>
      </c>
      <c r="E403" s="41">
        <f>SUM(E5:E402)</f>
        <v>0</v>
      </c>
      <c r="F403" s="41">
        <f>SUM(F5:F402)</f>
        <v>0</v>
      </c>
      <c r="G403" s="41">
        <f>SUM(G5:G402)</f>
        <v>0</v>
      </c>
      <c r="H403" s="41"/>
      <c r="I403" s="41">
        <f>SUM(I5:I402)</f>
        <v>0</v>
      </c>
      <c r="J403" s="41"/>
      <c r="K403" s="41">
        <f>SUM(K5:K402)</f>
        <v>0</v>
      </c>
      <c r="M403" s="140">
        <v>0</v>
      </c>
      <c r="N403" s="74"/>
      <c r="O403" s="74"/>
      <c r="P403" s="74"/>
      <c r="Q403" s="74"/>
      <c r="R403" s="74"/>
    </row>
    <row r="404" spans="1:18" ht="13.5" thickTop="1" x14ac:dyDescent="0.2">
      <c r="A404" s="38"/>
      <c r="B404" s="42"/>
      <c r="C404" s="45"/>
      <c r="D404" s="39"/>
      <c r="E404" s="39"/>
      <c r="F404" s="39"/>
      <c r="G404" s="39"/>
      <c r="H404" s="39"/>
      <c r="I404" s="59"/>
      <c r="J404" s="59"/>
      <c r="K404" s="38"/>
      <c r="M404" s="140"/>
      <c r="P404" s="39"/>
      <c r="Q404" s="39"/>
    </row>
    <row r="405" spans="1:18" x14ac:dyDescent="0.2">
      <c r="A405" s="38"/>
      <c r="B405" s="42"/>
      <c r="C405" s="45"/>
      <c r="D405" s="39"/>
      <c r="E405" s="39"/>
      <c r="F405" s="39"/>
      <c r="G405" s="39"/>
      <c r="H405" s="39"/>
      <c r="K405" s="42"/>
      <c r="P405" s="39"/>
      <c r="Q405" s="39"/>
    </row>
    <row r="406" spans="1:18" x14ac:dyDescent="0.2">
      <c r="A406" s="38"/>
      <c r="B406" s="42"/>
      <c r="C406" s="45"/>
      <c r="D406" s="39"/>
      <c r="E406" s="39"/>
      <c r="F406" s="39"/>
      <c r="G406" s="39"/>
      <c r="H406" s="39"/>
      <c r="K406" s="42"/>
      <c r="P406" s="39"/>
      <c r="Q406" s="39"/>
    </row>
    <row r="407" spans="1:18" x14ac:dyDescent="0.2">
      <c r="A407" s="38"/>
      <c r="B407" s="42"/>
      <c r="C407" s="45"/>
      <c r="D407" s="39"/>
      <c r="E407" s="39"/>
      <c r="F407" s="39"/>
      <c r="G407" s="39"/>
      <c r="H407" s="39"/>
      <c r="K407" s="42"/>
      <c r="P407" s="39"/>
      <c r="Q407" s="39"/>
    </row>
    <row r="408" spans="1:18" x14ac:dyDescent="0.2">
      <c r="A408" s="38"/>
      <c r="B408" s="42"/>
      <c r="C408" s="45"/>
      <c r="D408" s="39"/>
      <c r="E408" s="39"/>
      <c r="F408" s="39"/>
      <c r="G408" s="39"/>
      <c r="H408" s="39"/>
      <c r="K408" s="42"/>
      <c r="P408" s="39"/>
      <c r="Q408" s="39"/>
    </row>
    <row r="409" spans="1:18" x14ac:dyDescent="0.2">
      <c r="A409" s="38"/>
      <c r="B409" s="42"/>
      <c r="C409" s="45"/>
      <c r="D409" s="39"/>
      <c r="E409" s="39"/>
      <c r="F409" s="39"/>
      <c r="G409" s="39"/>
      <c r="H409" s="39"/>
      <c r="K409" s="42"/>
      <c r="P409" s="39"/>
      <c r="Q409" s="39"/>
    </row>
    <row r="410" spans="1:18" x14ac:dyDescent="0.2">
      <c r="A410" s="38"/>
      <c r="B410" s="42"/>
      <c r="C410" s="45"/>
      <c r="D410" s="39"/>
      <c r="E410" s="39"/>
      <c r="F410" s="39"/>
      <c r="G410" s="39"/>
      <c r="H410" s="39"/>
      <c r="K410" s="42"/>
      <c r="P410" s="39"/>
      <c r="Q410" s="39"/>
    </row>
    <row r="411" spans="1:18" x14ac:dyDescent="0.2">
      <c r="A411" s="38"/>
      <c r="B411" s="42"/>
      <c r="C411" s="45"/>
      <c r="D411" s="39"/>
      <c r="E411" s="39"/>
      <c r="F411" s="39"/>
      <c r="G411" s="39"/>
      <c r="H411" s="39"/>
      <c r="K411" s="42"/>
      <c r="P411" s="39" t="s">
        <v>95</v>
      </c>
      <c r="Q411" s="39" t="s">
        <v>95</v>
      </c>
    </row>
    <row r="412" spans="1:18" x14ac:dyDescent="0.2">
      <c r="A412" s="38"/>
      <c r="B412" s="42"/>
      <c r="C412" s="45"/>
      <c r="D412" s="39"/>
      <c r="E412" s="39"/>
      <c r="F412" s="39"/>
      <c r="G412" s="39"/>
      <c r="H412" s="39"/>
      <c r="K412" s="42"/>
      <c r="P412" s="39" t="s">
        <v>95</v>
      </c>
      <c r="Q412" s="39" t="s">
        <v>95</v>
      </c>
    </row>
    <row r="413" spans="1:18" x14ac:dyDescent="0.2">
      <c r="A413" s="38"/>
      <c r="B413" s="42"/>
      <c r="C413" s="45"/>
      <c r="D413" s="39"/>
      <c r="E413" s="39"/>
      <c r="F413" s="39"/>
      <c r="G413" s="39"/>
      <c r="H413" s="39"/>
      <c r="K413" s="42"/>
      <c r="P413" s="39" t="s">
        <v>95</v>
      </c>
      <c r="Q413" s="39" t="s">
        <v>95</v>
      </c>
    </row>
    <row r="414" spans="1:18" x14ac:dyDescent="0.2">
      <c r="A414" s="38"/>
      <c r="B414" s="42"/>
      <c r="C414" s="45"/>
      <c r="D414" s="39"/>
      <c r="E414" s="39"/>
      <c r="F414" s="39"/>
      <c r="G414" s="39"/>
      <c r="H414" s="39"/>
      <c r="K414" s="42"/>
      <c r="P414" s="39" t="s">
        <v>95</v>
      </c>
      <c r="Q414" s="39" t="s">
        <v>95</v>
      </c>
    </row>
    <row r="415" spans="1:18" x14ac:dyDescent="0.2">
      <c r="A415" s="38"/>
      <c r="B415" s="42"/>
      <c r="C415" s="45"/>
      <c r="D415" s="39"/>
      <c r="E415" s="39"/>
      <c r="F415" s="39"/>
      <c r="G415" s="39"/>
      <c r="H415" s="39"/>
      <c r="K415" s="42"/>
      <c r="P415" s="39" t="s">
        <v>95</v>
      </c>
      <c r="Q415" s="39" t="s">
        <v>95</v>
      </c>
    </row>
    <row r="416" spans="1:18" x14ac:dyDescent="0.2">
      <c r="A416" s="38"/>
      <c r="B416" s="42"/>
      <c r="C416" s="45"/>
      <c r="D416" s="39"/>
      <c r="E416" s="39"/>
      <c r="F416" s="39"/>
      <c r="G416" s="39"/>
      <c r="H416" s="39"/>
      <c r="K416" s="42"/>
      <c r="P416" s="39"/>
      <c r="Q416" s="39"/>
    </row>
    <row r="417" spans="1:17" x14ac:dyDescent="0.2">
      <c r="A417" s="38"/>
      <c r="B417" s="42"/>
      <c r="C417" s="45"/>
      <c r="D417" s="39"/>
      <c r="E417" s="39"/>
      <c r="F417" s="39"/>
      <c r="G417" s="39"/>
      <c r="H417" s="39"/>
      <c r="K417" s="42"/>
      <c r="P417" s="39"/>
      <c r="Q417" s="39"/>
    </row>
    <row r="418" spans="1:17" x14ac:dyDescent="0.2">
      <c r="A418" s="38"/>
      <c r="B418" s="42"/>
      <c r="C418" s="45"/>
      <c r="D418" s="39"/>
      <c r="E418" s="39"/>
      <c r="F418" s="39"/>
      <c r="G418" s="39"/>
      <c r="H418" s="39"/>
      <c r="K418" s="42"/>
      <c r="P418" s="39"/>
      <c r="Q418" s="39"/>
    </row>
    <row r="419" spans="1:17" x14ac:dyDescent="0.2">
      <c r="A419" s="38"/>
      <c r="B419" s="42"/>
      <c r="C419" s="45"/>
      <c r="D419" s="39"/>
      <c r="E419" s="39"/>
      <c r="F419" s="39"/>
      <c r="G419" s="39"/>
      <c r="H419" s="39"/>
      <c r="K419" s="42"/>
      <c r="P419" s="39"/>
      <c r="Q419" s="39"/>
    </row>
    <row r="420" spans="1:17" x14ac:dyDescent="0.2">
      <c r="A420" s="38"/>
      <c r="B420" s="42"/>
      <c r="C420" s="45"/>
      <c r="D420" s="39"/>
      <c r="E420" s="39"/>
      <c r="F420" s="39"/>
      <c r="G420" s="39"/>
      <c r="H420" s="39"/>
      <c r="K420" s="42"/>
      <c r="P420" s="39"/>
      <c r="Q420" s="39"/>
    </row>
    <row r="421" spans="1:17" x14ac:dyDescent="0.2">
      <c r="A421" s="38"/>
      <c r="B421" s="42"/>
      <c r="C421" s="45"/>
      <c r="D421" s="39"/>
      <c r="E421" s="39"/>
      <c r="F421" s="39"/>
      <c r="G421" s="39"/>
      <c r="H421" s="39"/>
      <c r="K421" s="42"/>
      <c r="P421" s="39"/>
      <c r="Q421" s="39"/>
    </row>
    <row r="422" spans="1:17" x14ac:dyDescent="0.2">
      <c r="A422" s="38"/>
      <c r="B422" s="42"/>
      <c r="C422" s="45"/>
      <c r="D422" s="39"/>
      <c r="E422" s="39"/>
      <c r="F422" s="39"/>
      <c r="G422" s="39"/>
      <c r="H422" s="39"/>
      <c r="K422" s="42"/>
      <c r="P422" s="39"/>
      <c r="Q422" s="39"/>
    </row>
    <row r="423" spans="1:17" x14ac:dyDescent="0.2">
      <c r="A423" s="38"/>
      <c r="B423" s="42"/>
      <c r="C423" s="45"/>
      <c r="D423" s="39"/>
      <c r="E423" s="39"/>
      <c r="F423" s="39"/>
      <c r="G423" s="39"/>
      <c r="H423" s="39"/>
      <c r="K423" s="42"/>
      <c r="P423" s="39"/>
      <c r="Q423" s="39"/>
    </row>
    <row r="424" spans="1:17" x14ac:dyDescent="0.2">
      <c r="A424" s="38"/>
      <c r="B424" s="42"/>
      <c r="C424" s="45"/>
      <c r="D424" s="39"/>
      <c r="E424" s="39"/>
      <c r="F424" s="39"/>
      <c r="G424" s="39"/>
      <c r="H424" s="39"/>
      <c r="K424" s="42"/>
      <c r="P424" s="39"/>
      <c r="Q424" s="39"/>
    </row>
    <row r="425" spans="1:17" x14ac:dyDescent="0.2">
      <c r="A425" s="38"/>
      <c r="B425" s="42"/>
      <c r="C425" s="45"/>
      <c r="D425" s="39"/>
      <c r="E425" s="39"/>
      <c r="F425" s="39"/>
      <c r="G425" s="39"/>
      <c r="H425" s="39"/>
      <c r="K425" s="42"/>
      <c r="P425" s="39"/>
      <c r="Q425" s="39"/>
    </row>
    <row r="426" spans="1:17" x14ac:dyDescent="0.2">
      <c r="A426" s="38"/>
      <c r="B426" s="42"/>
      <c r="C426" s="45"/>
      <c r="D426" s="39"/>
      <c r="E426" s="39"/>
      <c r="F426" s="39"/>
      <c r="G426" s="39"/>
      <c r="H426" s="39"/>
      <c r="K426" s="42"/>
      <c r="P426" s="39"/>
      <c r="Q426" s="39"/>
    </row>
    <row r="427" spans="1:17" x14ac:dyDescent="0.2">
      <c r="A427" s="38"/>
      <c r="B427" s="42"/>
      <c r="C427" s="45"/>
      <c r="D427" s="39"/>
      <c r="E427" s="39"/>
      <c r="F427" s="39"/>
      <c r="G427" s="39"/>
      <c r="H427" s="39"/>
      <c r="K427" s="42"/>
      <c r="P427" s="39"/>
      <c r="Q427" s="39"/>
    </row>
    <row r="428" spans="1:17" x14ac:dyDescent="0.2">
      <c r="A428" s="38"/>
      <c r="B428" s="42"/>
      <c r="C428" s="45"/>
      <c r="D428" s="39"/>
      <c r="E428" s="39"/>
      <c r="F428" s="39"/>
      <c r="G428" s="39"/>
      <c r="H428" s="39"/>
      <c r="K428" s="42"/>
      <c r="P428" s="39"/>
      <c r="Q428" s="39"/>
    </row>
    <row r="429" spans="1:17" x14ac:dyDescent="0.2">
      <c r="A429" s="38"/>
      <c r="B429" s="42"/>
      <c r="C429" s="45"/>
      <c r="D429" s="39"/>
      <c r="E429" s="39"/>
      <c r="F429" s="39"/>
      <c r="G429" s="39"/>
      <c r="H429" s="39"/>
      <c r="K429" s="42"/>
      <c r="P429" s="39"/>
      <c r="Q429" s="39"/>
    </row>
    <row r="430" spans="1:17" x14ac:dyDescent="0.2">
      <c r="A430" s="38"/>
      <c r="B430" s="42"/>
      <c r="C430" s="45"/>
      <c r="G430" s="39"/>
      <c r="H430" s="39"/>
      <c r="K430" s="42"/>
      <c r="P430" s="39"/>
      <c r="Q430" s="39"/>
    </row>
    <row r="431" spans="1:17" x14ac:dyDescent="0.2">
      <c r="P431" s="13"/>
      <c r="Q431" s="13"/>
    </row>
  </sheetData>
  <sheetProtection algorithmName="SHA-512" hashValue="u11P+68+1Vyf6wTyY/ZLC0VTyKfM1QcW6joNwGhDoeWNwkKv822FosxvQBLjJ7jTtDaZJUx9cm8qseRAJmqYfw==" saltValue="aWUgcrvNCqseYlG6j1W/KA==" spinCount="100000" sheet="1" objects="1" scenarios="1" formatColumns="0" selectLockedCells="1"/>
  <mergeCells count="1">
    <mergeCell ref="D2:E2"/>
  </mergeCells>
  <hyperlinks>
    <hyperlink ref="B17" location="bank2!A1" display="2000/010" xr:uid="{9824FCB6-6D36-4514-B9E8-840810C17BC8}"/>
    <hyperlink ref="B18" location="bank2!A1" display="2000/011" xr:uid="{C5A27E2E-3B1A-4C3A-97BE-1F44F5CA0A56}"/>
    <hyperlink ref="C1" location="TrialBalance!A1" display="TrialBalance!A1" xr:uid="{F5A2E56B-6DDA-4515-A8D1-0943365CC102}"/>
    <hyperlink ref="B5" location="bank2!A1" display="1000/001" xr:uid="{F0742B81-144C-4A73-8AF6-CB1A09B7A7C6}"/>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81</v>
      </c>
      <c r="I3" s="77"/>
    </row>
    <row r="4" spans="1:13" x14ac:dyDescent="0.25">
      <c r="C4" s="3" t="s">
        <v>80</v>
      </c>
      <c r="D4" s="35" t="str">
        <f>Criteria!E20</f>
        <v>29 FEBRUARY 2024</v>
      </c>
    </row>
    <row r="5" spans="1:13" x14ac:dyDescent="0.25">
      <c r="H5" s="77" t="s">
        <v>82</v>
      </c>
      <c r="I5" s="77"/>
    </row>
    <row r="6" spans="1:13" x14ac:dyDescent="0.25">
      <c r="C6" s="3" t="s">
        <v>168</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292</v>
      </c>
      <c r="E9" s="8"/>
      <c r="F9" s="4">
        <f>F486</f>
        <v>0</v>
      </c>
    </row>
    <row r="10" spans="1:13" x14ac:dyDescent="0.25">
      <c r="D10" s="8"/>
      <c r="E10" s="8"/>
    </row>
    <row r="11" spans="1:13" x14ac:dyDescent="0.25">
      <c r="A11" s="34" t="s">
        <v>269</v>
      </c>
      <c r="F11" s="527"/>
      <c r="G11" s="527"/>
      <c r="H11" s="527"/>
      <c r="I11" s="527"/>
    </row>
    <row r="12" spans="1:13" x14ac:dyDescent="0.25">
      <c r="A12" s="34" t="s">
        <v>663</v>
      </c>
      <c r="F12" s="527" t="s">
        <v>352</v>
      </c>
      <c r="G12" s="527"/>
      <c r="H12" s="527" t="s">
        <v>92</v>
      </c>
      <c r="I12" s="527"/>
    </row>
    <row r="13" spans="1:13" x14ac:dyDescent="0.25">
      <c r="A13" s="34" t="s">
        <v>270</v>
      </c>
      <c r="B13" s="32" t="s">
        <v>700</v>
      </c>
      <c r="C13" s="32" t="s">
        <v>226</v>
      </c>
      <c r="D13" s="32" t="s">
        <v>245</v>
      </c>
      <c r="E13" s="32" t="s">
        <v>416</v>
      </c>
      <c r="F13" s="22" t="s">
        <v>229</v>
      </c>
      <c r="G13" s="22" t="s">
        <v>230</v>
      </c>
      <c r="H13" s="22" t="s">
        <v>229</v>
      </c>
      <c r="I13" s="22" t="s">
        <v>230</v>
      </c>
    </row>
    <row r="14" spans="1:13" x14ac:dyDescent="0.25">
      <c r="A14" s="34"/>
    </row>
    <row r="15" spans="1:13" x14ac:dyDescent="0.25">
      <c r="A15" s="34" t="str">
        <f t="shared" ref="A15:A78" si="0">IF(COUNTIF(K15:M15,"ERROR")&gt;0,"ERROR"," ")</f>
        <v xml:space="preserve"> </v>
      </c>
      <c r="B15" s="5">
        <v>1</v>
      </c>
      <c r="D15" s="33"/>
      <c r="E15" s="33"/>
      <c r="J15" s="14">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x14ac:dyDescent="0.25">
      <c r="A16" s="34" t="str">
        <f t="shared" si="0"/>
        <v xml:space="preserve"> </v>
      </c>
      <c r="B16" s="25"/>
      <c r="D16" s="33"/>
      <c r="E16" s="33"/>
      <c r="J16" s="14">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4" t="str">
        <f t="shared" si="0"/>
        <v xml:space="preserve"> </v>
      </c>
      <c r="D17" s="33"/>
      <c r="E17" s="33"/>
      <c r="J17" s="14">
        <f t="shared" si="3"/>
        <v>0</v>
      </c>
      <c r="K17" s="2" t="str">
        <f t="shared" si="4"/>
        <v xml:space="preserve"> </v>
      </c>
      <c r="L17" s="2" t="str">
        <f t="shared" si="1"/>
        <v xml:space="preserve"> </v>
      </c>
      <c r="M17" s="2" t="str">
        <f t="shared" si="2"/>
        <v xml:space="preserve"> </v>
      </c>
    </row>
    <row r="18" spans="1:13" x14ac:dyDescent="0.25">
      <c r="A18" s="34" t="str">
        <f t="shared" si="0"/>
        <v xml:space="preserve"> </v>
      </c>
      <c r="D18" s="33"/>
      <c r="E18" s="33"/>
      <c r="J18" s="14">
        <f t="shared" si="3"/>
        <v>0</v>
      </c>
      <c r="K18" s="2" t="str">
        <f t="shared" si="4"/>
        <v xml:space="preserve"> </v>
      </c>
      <c r="L18" s="2" t="str">
        <f t="shared" si="1"/>
        <v xml:space="preserve"> </v>
      </c>
      <c r="M18" s="2" t="str">
        <f t="shared" si="2"/>
        <v xml:space="preserve"> </v>
      </c>
    </row>
    <row r="19" spans="1:13" x14ac:dyDescent="0.25">
      <c r="A19" s="34" t="str">
        <f t="shared" si="0"/>
        <v xml:space="preserve"> </v>
      </c>
      <c r="D19" s="33"/>
      <c r="E19" s="33"/>
      <c r="J19" s="14">
        <f t="shared" si="3"/>
        <v>0</v>
      </c>
      <c r="K19" s="2" t="str">
        <f t="shared" si="4"/>
        <v xml:space="preserve"> </v>
      </c>
      <c r="L19" s="2" t="str">
        <f t="shared" si="1"/>
        <v xml:space="preserve"> </v>
      </c>
      <c r="M19" s="2" t="str">
        <f t="shared" si="2"/>
        <v xml:space="preserve"> </v>
      </c>
    </row>
    <row r="20" spans="1:13" x14ac:dyDescent="0.25">
      <c r="A20" s="34" t="str">
        <f t="shared" si="0"/>
        <v xml:space="preserve"> </v>
      </c>
      <c r="D20" s="33"/>
      <c r="E20" s="33"/>
      <c r="J20" s="14">
        <f t="shared" si="3"/>
        <v>0</v>
      </c>
      <c r="K20" s="2" t="str">
        <f t="shared" si="4"/>
        <v xml:space="preserve"> </v>
      </c>
      <c r="L20" s="2" t="str">
        <f t="shared" si="1"/>
        <v xml:space="preserve"> </v>
      </c>
      <c r="M20" s="2" t="str">
        <f t="shared" si="2"/>
        <v xml:space="preserve"> </v>
      </c>
    </row>
    <row r="21" spans="1:13" x14ac:dyDescent="0.25">
      <c r="A21" s="34" t="str">
        <f t="shared" si="0"/>
        <v xml:space="preserve"> </v>
      </c>
      <c r="D21" s="33"/>
      <c r="E21" s="33"/>
      <c r="J21" s="14">
        <f t="shared" si="3"/>
        <v>0</v>
      </c>
      <c r="K21" s="2" t="str">
        <f t="shared" si="4"/>
        <v xml:space="preserve"> </v>
      </c>
      <c r="L21" s="2" t="str">
        <f t="shared" si="1"/>
        <v xml:space="preserve"> </v>
      </c>
      <c r="M21" s="2" t="str">
        <f t="shared" si="2"/>
        <v xml:space="preserve"> </v>
      </c>
    </row>
    <row r="22" spans="1:13" x14ac:dyDescent="0.25">
      <c r="A22" s="34" t="str">
        <f t="shared" si="0"/>
        <v xml:space="preserve"> </v>
      </c>
      <c r="D22" s="33"/>
      <c r="E22" s="33"/>
      <c r="J22" s="14">
        <f t="shared" si="3"/>
        <v>0</v>
      </c>
      <c r="K22" s="2" t="str">
        <f t="shared" si="4"/>
        <v xml:space="preserve"> </v>
      </c>
      <c r="L22" s="2" t="str">
        <f t="shared" si="1"/>
        <v xml:space="preserve"> </v>
      </c>
      <c r="M22" s="2" t="str">
        <f t="shared" si="2"/>
        <v xml:space="preserve"> </v>
      </c>
    </row>
    <row r="23" spans="1:13" x14ac:dyDescent="0.25">
      <c r="A23" s="34" t="str">
        <f t="shared" si="0"/>
        <v xml:space="preserve"> </v>
      </c>
      <c r="D23" s="33"/>
      <c r="E23" s="33"/>
      <c r="J23" s="14">
        <f t="shared" si="3"/>
        <v>0</v>
      </c>
      <c r="K23" s="2" t="str">
        <f t="shared" si="4"/>
        <v xml:space="preserve"> </v>
      </c>
      <c r="L23" s="2" t="str">
        <f t="shared" si="1"/>
        <v xml:space="preserve"> </v>
      </c>
      <c r="M23" s="2" t="str">
        <f t="shared" si="2"/>
        <v xml:space="preserve"> </v>
      </c>
    </row>
    <row r="24" spans="1:13" x14ac:dyDescent="0.25">
      <c r="A24" s="34" t="str">
        <f t="shared" si="0"/>
        <v xml:space="preserve"> </v>
      </c>
      <c r="D24" s="33"/>
      <c r="E24" s="33"/>
      <c r="J24" s="14">
        <f t="shared" si="3"/>
        <v>0</v>
      </c>
      <c r="K24" s="2" t="str">
        <f t="shared" si="4"/>
        <v xml:space="preserve"> </v>
      </c>
      <c r="L24" s="2" t="str">
        <f t="shared" si="1"/>
        <v xml:space="preserve"> </v>
      </c>
      <c r="M24" s="2" t="str">
        <f t="shared" si="2"/>
        <v xml:space="preserve"> </v>
      </c>
    </row>
    <row r="25" spans="1:13" x14ac:dyDescent="0.25">
      <c r="A25" s="34" t="str">
        <f t="shared" si="0"/>
        <v xml:space="preserve"> </v>
      </c>
      <c r="C25" s="52"/>
      <c r="D25" s="33"/>
      <c r="E25" s="33"/>
      <c r="J25" s="14">
        <f t="shared" si="3"/>
        <v>0</v>
      </c>
      <c r="K25" s="2" t="str">
        <f t="shared" si="4"/>
        <v xml:space="preserve"> </v>
      </c>
      <c r="L25" s="2" t="str">
        <f t="shared" si="1"/>
        <v xml:space="preserve"> </v>
      </c>
      <c r="M25" s="2" t="str">
        <f t="shared" si="2"/>
        <v xml:space="preserve"> </v>
      </c>
    </row>
    <row r="26" spans="1:13" x14ac:dyDescent="0.25">
      <c r="A26" s="34" t="str">
        <f t="shared" si="0"/>
        <v xml:space="preserve"> </v>
      </c>
      <c r="D26" s="33"/>
      <c r="E26" s="33"/>
      <c r="J26" s="14">
        <f t="shared" si="3"/>
        <v>0</v>
      </c>
      <c r="K26" s="2" t="str">
        <f t="shared" si="4"/>
        <v xml:space="preserve"> </v>
      </c>
      <c r="L26" s="2" t="str">
        <f t="shared" si="1"/>
        <v xml:space="preserve"> </v>
      </c>
      <c r="M26" s="2" t="str">
        <f t="shared" si="2"/>
        <v xml:space="preserve"> </v>
      </c>
    </row>
    <row r="27" spans="1:13" x14ac:dyDescent="0.25">
      <c r="A27" s="34" t="str">
        <f t="shared" si="0"/>
        <v xml:space="preserve"> </v>
      </c>
      <c r="D27" s="33"/>
      <c r="E27" s="33"/>
      <c r="J27" s="14">
        <f t="shared" si="3"/>
        <v>0</v>
      </c>
      <c r="K27" s="2" t="str">
        <f t="shared" si="4"/>
        <v xml:space="preserve"> </v>
      </c>
      <c r="L27" s="2" t="str">
        <f t="shared" si="1"/>
        <v xml:space="preserve"> </v>
      </c>
      <c r="M27" s="2" t="str">
        <f t="shared" si="2"/>
        <v xml:space="preserve"> </v>
      </c>
    </row>
    <row r="28" spans="1:13" x14ac:dyDescent="0.25">
      <c r="A28" s="34" t="str">
        <f t="shared" si="0"/>
        <v xml:space="preserve"> </v>
      </c>
      <c r="D28" s="33"/>
      <c r="E28" s="33"/>
      <c r="J28" s="14">
        <f t="shared" si="3"/>
        <v>0</v>
      </c>
      <c r="K28" s="2" t="str">
        <f t="shared" si="4"/>
        <v xml:space="preserve"> </v>
      </c>
      <c r="L28" s="2" t="str">
        <f t="shared" si="1"/>
        <v xml:space="preserve"> </v>
      </c>
      <c r="M28" s="2" t="str">
        <f t="shared" si="2"/>
        <v xml:space="preserve"> </v>
      </c>
    </row>
    <row r="29" spans="1:13" x14ac:dyDescent="0.25">
      <c r="A29" s="34" t="str">
        <f t="shared" si="0"/>
        <v xml:space="preserve"> </v>
      </c>
      <c r="D29" s="33"/>
      <c r="E29" s="33"/>
      <c r="J29" s="14">
        <f t="shared" si="3"/>
        <v>0</v>
      </c>
      <c r="K29" s="2" t="str">
        <f t="shared" si="4"/>
        <v xml:space="preserve"> </v>
      </c>
      <c r="L29" s="2" t="str">
        <f t="shared" si="1"/>
        <v xml:space="preserve"> </v>
      </c>
      <c r="M29" s="2" t="str">
        <f t="shared" si="2"/>
        <v xml:space="preserve"> </v>
      </c>
    </row>
    <row r="30" spans="1:13" x14ac:dyDescent="0.25">
      <c r="A30" s="34" t="str">
        <f t="shared" si="0"/>
        <v xml:space="preserve"> </v>
      </c>
      <c r="D30" s="33"/>
      <c r="E30" s="33"/>
      <c r="J30" s="14">
        <f t="shared" si="3"/>
        <v>0</v>
      </c>
      <c r="K30" s="2" t="str">
        <f t="shared" si="4"/>
        <v xml:space="preserve"> </v>
      </c>
      <c r="L30" s="2" t="str">
        <f t="shared" si="1"/>
        <v xml:space="preserve"> </v>
      </c>
      <c r="M30" s="2" t="str">
        <f t="shared" si="2"/>
        <v xml:space="preserve"> </v>
      </c>
    </row>
    <row r="31" spans="1:13" x14ac:dyDescent="0.25">
      <c r="A31" s="34" t="str">
        <f t="shared" si="0"/>
        <v xml:space="preserve"> </v>
      </c>
      <c r="D31" s="33"/>
      <c r="E31" s="33"/>
      <c r="J31" s="14">
        <f t="shared" si="3"/>
        <v>0</v>
      </c>
      <c r="K31" s="2" t="str">
        <f t="shared" si="4"/>
        <v xml:space="preserve"> </v>
      </c>
      <c r="L31" s="2" t="str">
        <f t="shared" si="1"/>
        <v xml:space="preserve"> </v>
      </c>
      <c r="M31" s="2" t="str">
        <f t="shared" si="2"/>
        <v xml:space="preserve"> </v>
      </c>
    </row>
    <row r="32" spans="1:13" x14ac:dyDescent="0.25">
      <c r="A32" s="34" t="str">
        <f t="shared" si="0"/>
        <v xml:space="preserve"> </v>
      </c>
      <c r="D32" s="33"/>
      <c r="E32" s="33"/>
      <c r="J32" s="14">
        <f t="shared" si="3"/>
        <v>0</v>
      </c>
      <c r="K32" s="2" t="str">
        <f t="shared" si="4"/>
        <v xml:space="preserve"> </v>
      </c>
      <c r="L32" s="2" t="str">
        <f t="shared" si="1"/>
        <v xml:space="preserve"> </v>
      </c>
      <c r="M32" s="2" t="str">
        <f t="shared" si="2"/>
        <v xml:space="preserve"> </v>
      </c>
    </row>
    <row r="33" spans="1:13" x14ac:dyDescent="0.25">
      <c r="A33" s="34" t="str">
        <f t="shared" si="0"/>
        <v xml:space="preserve"> </v>
      </c>
      <c r="D33" s="33"/>
      <c r="E33" s="33"/>
      <c r="J33" s="14">
        <f t="shared" si="3"/>
        <v>0</v>
      </c>
      <c r="K33" s="2" t="str">
        <f t="shared" si="4"/>
        <v xml:space="preserve"> </v>
      </c>
      <c r="L33" s="2" t="str">
        <f t="shared" si="1"/>
        <v xml:space="preserve"> </v>
      </c>
      <c r="M33" s="2" t="str">
        <f t="shared" si="2"/>
        <v xml:space="preserve"> </v>
      </c>
    </row>
    <row r="34" spans="1:13" x14ac:dyDescent="0.25">
      <c r="A34" s="34" t="str">
        <f t="shared" si="0"/>
        <v xml:space="preserve"> </v>
      </c>
      <c r="D34" s="33"/>
      <c r="E34" s="33"/>
      <c r="J34" s="14">
        <f t="shared" si="3"/>
        <v>0</v>
      </c>
      <c r="K34" s="2" t="str">
        <f t="shared" si="4"/>
        <v xml:space="preserve"> </v>
      </c>
      <c r="L34" s="2" t="str">
        <f t="shared" si="1"/>
        <v xml:space="preserve"> </v>
      </c>
      <c r="M34" s="2" t="str">
        <f t="shared" si="2"/>
        <v xml:space="preserve"> </v>
      </c>
    </row>
    <row r="35" spans="1:13" x14ac:dyDescent="0.25">
      <c r="A35" s="34" t="str">
        <f t="shared" si="0"/>
        <v xml:space="preserve"> </v>
      </c>
      <c r="D35" s="33"/>
      <c r="E35" s="33"/>
      <c r="J35" s="14">
        <f t="shared" si="3"/>
        <v>0</v>
      </c>
      <c r="K35" s="2" t="str">
        <f t="shared" si="4"/>
        <v xml:space="preserve"> </v>
      </c>
      <c r="L35" s="2" t="str">
        <f t="shared" si="1"/>
        <v xml:space="preserve"> </v>
      </c>
      <c r="M35" s="2" t="str">
        <f t="shared" si="2"/>
        <v xml:space="preserve"> </v>
      </c>
    </row>
    <row r="36" spans="1:13" x14ac:dyDescent="0.25">
      <c r="A36" s="34" t="str">
        <f t="shared" si="0"/>
        <v xml:space="preserve"> </v>
      </c>
      <c r="D36" s="33"/>
      <c r="E36" s="33"/>
      <c r="J36" s="14">
        <f t="shared" si="3"/>
        <v>0</v>
      </c>
      <c r="K36" s="2" t="str">
        <f t="shared" si="4"/>
        <v xml:space="preserve"> </v>
      </c>
      <c r="L36" s="2" t="str">
        <f t="shared" si="1"/>
        <v xml:space="preserve"> </v>
      </c>
      <c r="M36" s="2" t="str">
        <f t="shared" si="2"/>
        <v xml:space="preserve"> </v>
      </c>
    </row>
    <row r="37" spans="1:13" x14ac:dyDescent="0.25">
      <c r="A37" s="34" t="str">
        <f t="shared" si="0"/>
        <v xml:space="preserve"> </v>
      </c>
      <c r="D37" s="33"/>
      <c r="E37" s="33"/>
      <c r="J37" s="14">
        <f t="shared" si="3"/>
        <v>0</v>
      </c>
      <c r="K37" s="2" t="str">
        <f t="shared" si="4"/>
        <v xml:space="preserve"> </v>
      </c>
      <c r="L37" s="2" t="str">
        <f t="shared" si="1"/>
        <v xml:space="preserve"> </v>
      </c>
      <c r="M37" s="2" t="str">
        <f t="shared" si="2"/>
        <v xml:space="preserve"> </v>
      </c>
    </row>
    <row r="38" spans="1:13" x14ac:dyDescent="0.25">
      <c r="A38" s="34" t="str">
        <f t="shared" si="0"/>
        <v xml:space="preserve"> </v>
      </c>
      <c r="D38" s="33"/>
      <c r="E38" s="33"/>
      <c r="J38" s="14">
        <f t="shared" si="3"/>
        <v>0</v>
      </c>
      <c r="K38" s="2" t="str">
        <f t="shared" si="4"/>
        <v xml:space="preserve"> </v>
      </c>
      <c r="L38" s="2" t="str">
        <f t="shared" si="1"/>
        <v xml:space="preserve"> </v>
      </c>
      <c r="M38" s="2" t="str">
        <f t="shared" si="2"/>
        <v xml:space="preserve"> </v>
      </c>
    </row>
    <row r="39" spans="1:13" x14ac:dyDescent="0.25">
      <c r="A39" s="34" t="str">
        <f t="shared" si="0"/>
        <v xml:space="preserve"> </v>
      </c>
      <c r="D39" s="33"/>
      <c r="E39" s="33"/>
      <c r="J39" s="14">
        <f t="shared" si="3"/>
        <v>0</v>
      </c>
      <c r="K39" s="2" t="str">
        <f t="shared" si="4"/>
        <v xml:space="preserve"> </v>
      </c>
      <c r="L39" s="2" t="str">
        <f t="shared" si="1"/>
        <v xml:space="preserve"> </v>
      </c>
      <c r="M39" s="2" t="str">
        <f t="shared" si="2"/>
        <v xml:space="preserve"> </v>
      </c>
    </row>
    <row r="40" spans="1:13" x14ac:dyDescent="0.25">
      <c r="A40" s="34" t="str">
        <f t="shared" si="0"/>
        <v xml:space="preserve"> </v>
      </c>
      <c r="D40" s="33"/>
      <c r="E40" s="33"/>
      <c r="J40" s="14">
        <f t="shared" si="3"/>
        <v>0</v>
      </c>
      <c r="K40" s="2" t="str">
        <f t="shared" si="4"/>
        <v xml:space="preserve"> </v>
      </c>
      <c r="L40" s="2" t="str">
        <f t="shared" si="1"/>
        <v xml:space="preserve"> </v>
      </c>
      <c r="M40" s="2" t="str">
        <f t="shared" si="2"/>
        <v xml:space="preserve"> </v>
      </c>
    </row>
    <row r="41" spans="1:13" x14ac:dyDescent="0.25">
      <c r="A41" s="34" t="str">
        <f t="shared" si="0"/>
        <v xml:space="preserve"> </v>
      </c>
      <c r="D41" s="33"/>
      <c r="E41" s="33"/>
      <c r="J41" s="14">
        <f t="shared" si="3"/>
        <v>0</v>
      </c>
      <c r="K41" s="2" t="str">
        <f t="shared" si="4"/>
        <v xml:space="preserve"> </v>
      </c>
      <c r="L41" s="2" t="str">
        <f t="shared" si="1"/>
        <v xml:space="preserve"> </v>
      </c>
      <c r="M41" s="2" t="str">
        <f t="shared" si="2"/>
        <v xml:space="preserve"> </v>
      </c>
    </row>
    <row r="42" spans="1:13" x14ac:dyDescent="0.25">
      <c r="A42" s="34" t="str">
        <f t="shared" si="0"/>
        <v xml:space="preserve"> </v>
      </c>
      <c r="D42" s="33"/>
      <c r="E42" s="33"/>
      <c r="J42" s="14">
        <f t="shared" si="3"/>
        <v>0</v>
      </c>
      <c r="K42" s="2" t="str">
        <f t="shared" si="4"/>
        <v xml:space="preserve"> </v>
      </c>
      <c r="L42" s="2" t="str">
        <f t="shared" si="1"/>
        <v xml:space="preserve"> </v>
      </c>
      <c r="M42" s="2" t="str">
        <f t="shared" si="2"/>
        <v xml:space="preserve"> </v>
      </c>
    </row>
    <row r="43" spans="1:13" x14ac:dyDescent="0.25">
      <c r="A43" s="34" t="str">
        <f t="shared" si="0"/>
        <v xml:space="preserve"> </v>
      </c>
      <c r="D43" s="33"/>
      <c r="E43" s="33"/>
      <c r="J43" s="14">
        <f t="shared" si="3"/>
        <v>0</v>
      </c>
      <c r="K43" s="2" t="str">
        <f t="shared" si="4"/>
        <v xml:space="preserve"> </v>
      </c>
      <c r="L43" s="2" t="str">
        <f t="shared" si="1"/>
        <v xml:space="preserve"> </v>
      </c>
      <c r="M43" s="2" t="str">
        <f t="shared" si="2"/>
        <v xml:space="preserve"> </v>
      </c>
    </row>
    <row r="44" spans="1:13" x14ac:dyDescent="0.25">
      <c r="A44" s="34" t="str">
        <f t="shared" si="0"/>
        <v xml:space="preserve"> </v>
      </c>
      <c r="D44" s="33"/>
      <c r="E44" s="33"/>
      <c r="J44" s="14">
        <f t="shared" si="3"/>
        <v>0</v>
      </c>
      <c r="K44" s="2" t="str">
        <f t="shared" si="4"/>
        <v xml:space="preserve"> </v>
      </c>
      <c r="L44" s="2" t="str">
        <f t="shared" si="1"/>
        <v xml:space="preserve"> </v>
      </c>
      <c r="M44" s="2" t="str">
        <f t="shared" si="2"/>
        <v xml:space="preserve"> </v>
      </c>
    </row>
    <row r="45" spans="1:13" x14ac:dyDescent="0.25">
      <c r="A45" s="34" t="str">
        <f t="shared" si="0"/>
        <v xml:space="preserve"> </v>
      </c>
      <c r="D45" s="33"/>
      <c r="E45" s="33"/>
      <c r="J45" s="14">
        <f t="shared" si="3"/>
        <v>0</v>
      </c>
      <c r="K45" s="2" t="str">
        <f t="shared" si="4"/>
        <v xml:space="preserve"> </v>
      </c>
      <c r="L45" s="2" t="str">
        <f t="shared" si="1"/>
        <v xml:space="preserve"> </v>
      </c>
      <c r="M45" s="2" t="str">
        <f t="shared" si="2"/>
        <v xml:space="preserve"> </v>
      </c>
    </row>
    <row r="46" spans="1:13" x14ac:dyDescent="0.25">
      <c r="A46" s="34" t="str">
        <f t="shared" si="0"/>
        <v xml:space="preserve"> </v>
      </c>
      <c r="D46" s="33"/>
      <c r="E46" s="33"/>
      <c r="J46" s="14">
        <f t="shared" si="3"/>
        <v>0</v>
      </c>
      <c r="K46" s="2" t="str">
        <f t="shared" si="4"/>
        <v xml:space="preserve"> </v>
      </c>
      <c r="L46" s="2" t="str">
        <f t="shared" si="1"/>
        <v xml:space="preserve"> </v>
      </c>
      <c r="M46" s="2" t="str">
        <f t="shared" si="2"/>
        <v xml:space="preserve"> </v>
      </c>
    </row>
    <row r="47" spans="1:13" x14ac:dyDescent="0.25">
      <c r="A47" s="34" t="str">
        <f t="shared" si="0"/>
        <v xml:space="preserve"> </v>
      </c>
      <c r="D47" s="33"/>
      <c r="E47" s="33"/>
      <c r="J47" s="14">
        <f t="shared" si="3"/>
        <v>0</v>
      </c>
      <c r="K47" s="2" t="str">
        <f t="shared" si="4"/>
        <v xml:space="preserve"> </v>
      </c>
      <c r="L47" s="2" t="str">
        <f t="shared" si="1"/>
        <v xml:space="preserve"> </v>
      </c>
      <c r="M47" s="2" t="str">
        <f t="shared" si="2"/>
        <v xml:space="preserve"> </v>
      </c>
    </row>
    <row r="48" spans="1:13" x14ac:dyDescent="0.25">
      <c r="A48" s="34" t="str">
        <f t="shared" si="0"/>
        <v xml:space="preserve"> </v>
      </c>
      <c r="D48" s="33"/>
      <c r="E48" s="33"/>
      <c r="J48" s="14">
        <f t="shared" si="3"/>
        <v>0</v>
      </c>
      <c r="K48" s="2" t="str">
        <f t="shared" si="4"/>
        <v xml:space="preserve"> </v>
      </c>
      <c r="L48" s="2" t="str">
        <f t="shared" si="1"/>
        <v xml:space="preserve"> </v>
      </c>
      <c r="M48" s="2" t="str">
        <f t="shared" si="2"/>
        <v xml:space="preserve"> </v>
      </c>
    </row>
    <row r="49" spans="1:13" x14ac:dyDescent="0.25">
      <c r="A49" s="34" t="str">
        <f t="shared" si="0"/>
        <v xml:space="preserve"> </v>
      </c>
      <c r="D49" s="33"/>
      <c r="E49" s="33"/>
      <c r="J49" s="14">
        <f t="shared" si="3"/>
        <v>0</v>
      </c>
      <c r="K49" s="2" t="str">
        <f t="shared" si="4"/>
        <v xml:space="preserve"> </v>
      </c>
      <c r="L49" s="2" t="str">
        <f t="shared" si="1"/>
        <v xml:space="preserve"> </v>
      </c>
      <c r="M49" s="2" t="str">
        <f t="shared" si="2"/>
        <v xml:space="preserve"> </v>
      </c>
    </row>
    <row r="50" spans="1:13" x14ac:dyDescent="0.25">
      <c r="A50" s="34" t="str">
        <f t="shared" si="0"/>
        <v xml:space="preserve"> </v>
      </c>
      <c r="D50" s="33"/>
      <c r="E50" s="33"/>
      <c r="J50" s="14">
        <f t="shared" si="3"/>
        <v>0</v>
      </c>
      <c r="K50" s="2" t="str">
        <f t="shared" si="4"/>
        <v xml:space="preserve"> </v>
      </c>
      <c r="L50" s="2" t="str">
        <f t="shared" si="1"/>
        <v xml:space="preserve"> </v>
      </c>
      <c r="M50" s="2" t="str">
        <f t="shared" si="2"/>
        <v xml:space="preserve"> </v>
      </c>
    </row>
    <row r="51" spans="1:13" x14ac:dyDescent="0.25">
      <c r="A51" s="34" t="str">
        <f t="shared" si="0"/>
        <v xml:space="preserve"> </v>
      </c>
      <c r="D51" s="33"/>
      <c r="E51" s="33"/>
      <c r="J51" s="14">
        <f t="shared" si="3"/>
        <v>0</v>
      </c>
      <c r="K51" s="2" t="str">
        <f t="shared" si="4"/>
        <v xml:space="preserve"> </v>
      </c>
      <c r="L51" s="2" t="str">
        <f t="shared" si="1"/>
        <v xml:space="preserve"> </v>
      </c>
      <c r="M51" s="2" t="str">
        <f t="shared" si="2"/>
        <v xml:space="preserve"> </v>
      </c>
    </row>
    <row r="52" spans="1:13" x14ac:dyDescent="0.25">
      <c r="A52" s="34" t="str">
        <f t="shared" si="0"/>
        <v xml:space="preserve"> </v>
      </c>
      <c r="D52" s="33"/>
      <c r="E52" s="33"/>
      <c r="J52" s="14">
        <f t="shared" si="3"/>
        <v>0</v>
      </c>
      <c r="K52" s="2" t="str">
        <f t="shared" si="4"/>
        <v xml:space="preserve"> </v>
      </c>
      <c r="L52" s="2" t="str">
        <f t="shared" si="1"/>
        <v xml:space="preserve"> </v>
      </c>
      <c r="M52" s="2" t="str">
        <f t="shared" si="2"/>
        <v xml:space="preserve"> </v>
      </c>
    </row>
    <row r="53" spans="1:13" x14ac:dyDescent="0.25">
      <c r="A53" s="34" t="str">
        <f t="shared" si="0"/>
        <v xml:space="preserve"> </v>
      </c>
      <c r="D53" s="33"/>
      <c r="E53" s="33"/>
      <c r="J53" s="14">
        <f t="shared" si="3"/>
        <v>0</v>
      </c>
      <c r="K53" s="2" t="str">
        <f t="shared" si="4"/>
        <v xml:space="preserve"> </v>
      </c>
      <c r="L53" s="2" t="str">
        <f t="shared" si="1"/>
        <v xml:space="preserve"> </v>
      </c>
      <c r="M53" s="2" t="str">
        <f t="shared" si="2"/>
        <v xml:space="preserve"> </v>
      </c>
    </row>
    <row r="54" spans="1:13" x14ac:dyDescent="0.25">
      <c r="A54" s="34" t="str">
        <f t="shared" si="0"/>
        <v xml:space="preserve"> </v>
      </c>
      <c r="D54" s="33"/>
      <c r="E54" s="33"/>
      <c r="J54" s="14">
        <f t="shared" si="3"/>
        <v>0</v>
      </c>
      <c r="K54" s="2" t="str">
        <f t="shared" si="4"/>
        <v xml:space="preserve"> </v>
      </c>
      <c r="L54" s="2" t="str">
        <f t="shared" si="1"/>
        <v xml:space="preserve"> </v>
      </c>
      <c r="M54" s="2" t="str">
        <f t="shared" si="2"/>
        <v xml:space="preserve"> </v>
      </c>
    </row>
    <row r="55" spans="1:13" x14ac:dyDescent="0.25">
      <c r="A55" s="34" t="str">
        <f t="shared" si="0"/>
        <v xml:space="preserve"> </v>
      </c>
      <c r="D55" s="33"/>
      <c r="E55" s="33"/>
      <c r="J55" s="14">
        <f t="shared" si="3"/>
        <v>0</v>
      </c>
      <c r="K55" s="2" t="str">
        <f t="shared" si="4"/>
        <v xml:space="preserve"> </v>
      </c>
      <c r="L55" s="2" t="str">
        <f t="shared" si="1"/>
        <v xml:space="preserve"> </v>
      </c>
      <c r="M55" s="2" t="str">
        <f t="shared" si="2"/>
        <v xml:space="preserve"> </v>
      </c>
    </row>
    <row r="56" spans="1:13" x14ac:dyDescent="0.25">
      <c r="A56" s="34" t="str">
        <f t="shared" si="0"/>
        <v xml:space="preserve"> </v>
      </c>
      <c r="D56" s="33"/>
      <c r="E56" s="33"/>
      <c r="J56" s="14">
        <f t="shared" si="3"/>
        <v>0</v>
      </c>
      <c r="K56" s="2" t="str">
        <f t="shared" si="4"/>
        <v xml:space="preserve"> </v>
      </c>
      <c r="L56" s="2" t="str">
        <f t="shared" si="1"/>
        <v xml:space="preserve"> </v>
      </c>
      <c r="M56" s="2" t="str">
        <f t="shared" si="2"/>
        <v xml:space="preserve"> </v>
      </c>
    </row>
    <row r="57" spans="1:13" x14ac:dyDescent="0.25">
      <c r="A57" s="34" t="str">
        <f t="shared" si="0"/>
        <v xml:space="preserve"> </v>
      </c>
      <c r="D57" s="33"/>
      <c r="E57" s="33"/>
      <c r="J57" s="14">
        <f t="shared" si="3"/>
        <v>0</v>
      </c>
      <c r="K57" s="2" t="str">
        <f t="shared" si="4"/>
        <v xml:space="preserve"> </v>
      </c>
      <c r="L57" s="2" t="str">
        <f t="shared" si="1"/>
        <v xml:space="preserve"> </v>
      </c>
      <c r="M57" s="2" t="str">
        <f t="shared" si="2"/>
        <v xml:space="preserve"> </v>
      </c>
    </row>
    <row r="58" spans="1:13" x14ac:dyDescent="0.25">
      <c r="A58" s="34" t="str">
        <f t="shared" si="0"/>
        <v xml:space="preserve"> </v>
      </c>
      <c r="D58" s="33"/>
      <c r="E58" s="33"/>
      <c r="J58" s="14">
        <f t="shared" si="3"/>
        <v>0</v>
      </c>
      <c r="K58" s="2" t="str">
        <f t="shared" si="4"/>
        <v xml:space="preserve"> </v>
      </c>
      <c r="L58" s="2" t="str">
        <f t="shared" si="1"/>
        <v xml:space="preserve"> </v>
      </c>
      <c r="M58" s="2" t="str">
        <f t="shared" si="2"/>
        <v xml:space="preserve"> </v>
      </c>
    </row>
    <row r="59" spans="1:13" x14ac:dyDescent="0.25">
      <c r="A59" s="34" t="str">
        <f t="shared" si="0"/>
        <v xml:space="preserve"> </v>
      </c>
      <c r="D59" s="33"/>
      <c r="E59" s="33"/>
      <c r="J59" s="14">
        <f t="shared" si="3"/>
        <v>0</v>
      </c>
      <c r="K59" s="2" t="str">
        <f t="shared" si="4"/>
        <v xml:space="preserve"> </v>
      </c>
      <c r="L59" s="2" t="str">
        <f t="shared" si="1"/>
        <v xml:space="preserve"> </v>
      </c>
      <c r="M59" s="2" t="str">
        <f t="shared" si="2"/>
        <v xml:space="preserve"> </v>
      </c>
    </row>
    <row r="60" spans="1:13" x14ac:dyDescent="0.25">
      <c r="A60" s="34" t="str">
        <f t="shared" si="0"/>
        <v xml:space="preserve"> </v>
      </c>
      <c r="D60" s="33"/>
      <c r="E60" s="33"/>
      <c r="J60" s="14">
        <f t="shared" si="3"/>
        <v>0</v>
      </c>
      <c r="K60" s="2" t="str">
        <f t="shared" si="4"/>
        <v xml:space="preserve"> </v>
      </c>
      <c r="L60" s="2" t="str">
        <f t="shared" si="1"/>
        <v xml:space="preserve"> </v>
      </c>
      <c r="M60" s="2" t="str">
        <f t="shared" si="2"/>
        <v xml:space="preserve"> </v>
      </c>
    </row>
    <row r="61" spans="1:13" x14ac:dyDescent="0.25">
      <c r="A61" s="34" t="str">
        <f t="shared" si="0"/>
        <v xml:space="preserve"> </v>
      </c>
      <c r="D61" s="33"/>
      <c r="E61" s="33"/>
      <c r="J61" s="14">
        <f t="shared" si="3"/>
        <v>0</v>
      </c>
      <c r="K61" s="2" t="str">
        <f t="shared" si="4"/>
        <v xml:space="preserve"> </v>
      </c>
      <c r="L61" s="2" t="str">
        <f t="shared" si="1"/>
        <v xml:space="preserve"> </v>
      </c>
      <c r="M61" s="2" t="str">
        <f t="shared" si="2"/>
        <v xml:space="preserve"> </v>
      </c>
    </row>
    <row r="62" spans="1:13" x14ac:dyDescent="0.25">
      <c r="A62" s="34" t="str">
        <f t="shared" si="0"/>
        <v xml:space="preserve"> </v>
      </c>
      <c r="D62" s="33"/>
      <c r="E62" s="33"/>
      <c r="J62" s="14">
        <f t="shared" si="3"/>
        <v>0</v>
      </c>
      <c r="K62" s="2" t="str">
        <f t="shared" si="4"/>
        <v xml:space="preserve"> </v>
      </c>
      <c r="L62" s="2" t="str">
        <f t="shared" si="1"/>
        <v xml:space="preserve"> </v>
      </c>
      <c r="M62" s="2" t="str">
        <f t="shared" si="2"/>
        <v xml:space="preserve"> </v>
      </c>
    </row>
    <row r="63" spans="1:13" x14ac:dyDescent="0.25">
      <c r="A63" s="34" t="str">
        <f t="shared" si="0"/>
        <v xml:space="preserve"> </v>
      </c>
      <c r="D63" s="33"/>
      <c r="E63" s="33"/>
      <c r="J63" s="14">
        <f t="shared" si="3"/>
        <v>0</v>
      </c>
      <c r="K63" s="2" t="str">
        <f t="shared" si="4"/>
        <v xml:space="preserve"> </v>
      </c>
      <c r="L63" s="2" t="str">
        <f t="shared" si="1"/>
        <v xml:space="preserve"> </v>
      </c>
      <c r="M63" s="2" t="str">
        <f t="shared" si="2"/>
        <v xml:space="preserve"> </v>
      </c>
    </row>
    <row r="64" spans="1:13" x14ac:dyDescent="0.25">
      <c r="A64" s="34" t="str">
        <f t="shared" si="0"/>
        <v xml:space="preserve"> </v>
      </c>
      <c r="D64" s="33"/>
      <c r="E64" s="33"/>
      <c r="J64" s="14">
        <f t="shared" si="3"/>
        <v>0</v>
      </c>
      <c r="K64" s="2" t="str">
        <f t="shared" si="4"/>
        <v xml:space="preserve"> </v>
      </c>
      <c r="L64" s="2" t="str">
        <f t="shared" si="1"/>
        <v xml:space="preserve"> </v>
      </c>
      <c r="M64" s="2" t="str">
        <f t="shared" si="2"/>
        <v xml:space="preserve"> </v>
      </c>
    </row>
    <row r="65" spans="1:13" x14ac:dyDescent="0.25">
      <c r="A65" s="34" t="str">
        <f t="shared" si="0"/>
        <v xml:space="preserve"> </v>
      </c>
      <c r="D65" s="33"/>
      <c r="E65" s="33"/>
      <c r="J65" s="14">
        <f t="shared" si="3"/>
        <v>0</v>
      </c>
      <c r="K65" s="2" t="str">
        <f t="shared" si="4"/>
        <v xml:space="preserve"> </v>
      </c>
      <c r="L65" s="2" t="str">
        <f t="shared" si="1"/>
        <v xml:space="preserve"> </v>
      </c>
      <c r="M65" s="2" t="str">
        <f t="shared" si="2"/>
        <v xml:space="preserve"> </v>
      </c>
    </row>
    <row r="66" spans="1:13" x14ac:dyDescent="0.25">
      <c r="A66" s="34" t="str">
        <f t="shared" si="0"/>
        <v xml:space="preserve"> </v>
      </c>
      <c r="D66" s="33"/>
      <c r="E66" s="33"/>
      <c r="J66" s="14">
        <f t="shared" si="3"/>
        <v>0</v>
      </c>
      <c r="K66" s="2" t="str">
        <f t="shared" si="4"/>
        <v xml:space="preserve"> </v>
      </c>
      <c r="L66" s="2" t="str">
        <f t="shared" si="1"/>
        <v xml:space="preserve"> </v>
      </c>
      <c r="M66" s="2" t="str">
        <f t="shared" si="2"/>
        <v xml:space="preserve"> </v>
      </c>
    </row>
    <row r="67" spans="1:13" x14ac:dyDescent="0.25">
      <c r="A67" s="34" t="str">
        <f t="shared" si="0"/>
        <v xml:space="preserve"> </v>
      </c>
      <c r="D67" s="33"/>
      <c r="E67" s="33"/>
      <c r="J67" s="14">
        <f t="shared" si="3"/>
        <v>0</v>
      </c>
      <c r="K67" s="2" t="str">
        <f t="shared" si="4"/>
        <v xml:space="preserve"> </v>
      </c>
      <c r="L67" s="2" t="str">
        <f t="shared" si="1"/>
        <v xml:space="preserve"> </v>
      </c>
      <c r="M67" s="2" t="str">
        <f t="shared" si="2"/>
        <v xml:space="preserve"> </v>
      </c>
    </row>
    <row r="68" spans="1:13" x14ac:dyDescent="0.25">
      <c r="A68" s="34" t="str">
        <f t="shared" si="0"/>
        <v xml:space="preserve"> </v>
      </c>
      <c r="D68" s="33"/>
      <c r="E68" s="33"/>
      <c r="J68" s="14">
        <f t="shared" si="3"/>
        <v>0</v>
      </c>
      <c r="K68" s="2" t="str">
        <f t="shared" si="4"/>
        <v xml:space="preserve"> </v>
      </c>
      <c r="L68" s="2" t="str">
        <f t="shared" si="1"/>
        <v xml:space="preserve"> </v>
      </c>
      <c r="M68" s="2" t="str">
        <f t="shared" si="2"/>
        <v xml:space="preserve"> </v>
      </c>
    </row>
    <row r="69" spans="1:13" x14ac:dyDescent="0.25">
      <c r="A69" s="34" t="str">
        <f t="shared" si="0"/>
        <v xml:space="preserve"> </v>
      </c>
      <c r="D69" s="33"/>
      <c r="E69" s="33"/>
      <c r="J69" s="14">
        <f t="shared" si="3"/>
        <v>0</v>
      </c>
      <c r="K69" s="2" t="str">
        <f t="shared" si="4"/>
        <v xml:space="preserve"> </v>
      </c>
      <c r="L69" s="2" t="str">
        <f t="shared" si="1"/>
        <v xml:space="preserve"> </v>
      </c>
      <c r="M69" s="2" t="str">
        <f t="shared" si="2"/>
        <v xml:space="preserve"> </v>
      </c>
    </row>
    <row r="70" spans="1:13" x14ac:dyDescent="0.25">
      <c r="A70" s="34" t="str">
        <f t="shared" si="0"/>
        <v xml:space="preserve"> </v>
      </c>
      <c r="D70" s="33"/>
      <c r="E70" s="33"/>
      <c r="J70" s="14">
        <f t="shared" si="3"/>
        <v>0</v>
      </c>
      <c r="K70" s="2" t="str">
        <f t="shared" si="4"/>
        <v xml:space="preserve"> </v>
      </c>
      <c r="L70" s="2" t="str">
        <f t="shared" si="1"/>
        <v xml:space="preserve"> </v>
      </c>
      <c r="M70" s="2" t="str">
        <f t="shared" si="2"/>
        <v xml:space="preserve"> </v>
      </c>
    </row>
    <row r="71" spans="1:13" x14ac:dyDescent="0.25">
      <c r="A71" s="34" t="str">
        <f t="shared" si="0"/>
        <v xml:space="preserve"> </v>
      </c>
      <c r="D71" s="33"/>
      <c r="E71" s="33"/>
      <c r="J71" s="14">
        <f t="shared" si="3"/>
        <v>0</v>
      </c>
      <c r="K71" s="2" t="str">
        <f t="shared" si="4"/>
        <v xml:space="preserve"> </v>
      </c>
      <c r="L71" s="2" t="str">
        <f t="shared" si="1"/>
        <v xml:space="preserve"> </v>
      </c>
      <c r="M71" s="2" t="str">
        <f t="shared" si="2"/>
        <v xml:space="preserve"> </v>
      </c>
    </row>
    <row r="72" spans="1:13" x14ac:dyDescent="0.25">
      <c r="A72" s="34" t="str">
        <f t="shared" si="0"/>
        <v xml:space="preserve"> </v>
      </c>
      <c r="D72" s="33"/>
      <c r="E72" s="33"/>
      <c r="J72" s="14">
        <f t="shared" si="3"/>
        <v>0</v>
      </c>
      <c r="K72" s="2" t="str">
        <f t="shared" si="4"/>
        <v xml:space="preserve"> </v>
      </c>
      <c r="L72" s="2" t="str">
        <f t="shared" si="1"/>
        <v xml:space="preserve"> </v>
      </c>
      <c r="M72" s="2" t="str">
        <f t="shared" si="2"/>
        <v xml:space="preserve"> </v>
      </c>
    </row>
    <row r="73" spans="1:13" x14ac:dyDescent="0.25">
      <c r="A73" s="34" t="str">
        <f t="shared" si="0"/>
        <v xml:space="preserve"> </v>
      </c>
      <c r="D73" s="33"/>
      <c r="E73" s="33"/>
      <c r="J73" s="14">
        <f t="shared" si="3"/>
        <v>0</v>
      </c>
      <c r="K73" s="2" t="str">
        <f t="shared" si="4"/>
        <v xml:space="preserve"> </v>
      </c>
      <c r="L73" s="2" t="str">
        <f t="shared" si="1"/>
        <v xml:space="preserve"> </v>
      </c>
      <c r="M73" s="2" t="str">
        <f t="shared" si="2"/>
        <v xml:space="preserve"> </v>
      </c>
    </row>
    <row r="74" spans="1:13" x14ac:dyDescent="0.25">
      <c r="A74" s="34" t="str">
        <f t="shared" si="0"/>
        <v xml:space="preserve"> </v>
      </c>
      <c r="D74" s="33"/>
      <c r="E74" s="33"/>
      <c r="J74" s="14">
        <f t="shared" si="3"/>
        <v>0</v>
      </c>
      <c r="K74" s="2" t="str">
        <f t="shared" si="4"/>
        <v xml:space="preserve"> </v>
      </c>
      <c r="L74" s="2" t="str">
        <f t="shared" si="1"/>
        <v xml:space="preserve"> </v>
      </c>
      <c r="M74" s="2" t="str">
        <f t="shared" si="2"/>
        <v xml:space="preserve"> </v>
      </c>
    </row>
    <row r="75" spans="1:13" x14ac:dyDescent="0.25">
      <c r="A75" s="34" t="str">
        <f t="shared" si="0"/>
        <v xml:space="preserve"> </v>
      </c>
      <c r="D75" s="33"/>
      <c r="E75" s="33"/>
      <c r="J75" s="14">
        <f t="shared" si="3"/>
        <v>0</v>
      </c>
      <c r="K75" s="2" t="str">
        <f t="shared" si="4"/>
        <v xml:space="preserve"> </v>
      </c>
      <c r="L75" s="2" t="str">
        <f t="shared" si="1"/>
        <v xml:space="preserve"> </v>
      </c>
      <c r="M75" s="2" t="str">
        <f t="shared" si="2"/>
        <v xml:space="preserve"> </v>
      </c>
    </row>
    <row r="76" spans="1:13" x14ac:dyDescent="0.25">
      <c r="A76" s="34" t="str">
        <f t="shared" si="0"/>
        <v xml:space="preserve"> </v>
      </c>
      <c r="D76" s="33"/>
      <c r="E76" s="33"/>
      <c r="J76" s="14">
        <f t="shared" si="3"/>
        <v>0</v>
      </c>
      <c r="K76" s="2" t="str">
        <f t="shared" si="4"/>
        <v xml:space="preserve"> </v>
      </c>
      <c r="L76" s="2" t="str">
        <f t="shared" si="1"/>
        <v xml:space="preserve"> </v>
      </c>
      <c r="M76" s="2" t="str">
        <f t="shared" si="2"/>
        <v xml:space="preserve"> </v>
      </c>
    </row>
    <row r="77" spans="1:13" x14ac:dyDescent="0.25">
      <c r="A77" s="34" t="str">
        <f t="shared" si="0"/>
        <v xml:space="preserve"> </v>
      </c>
      <c r="D77" s="33"/>
      <c r="E77" s="33"/>
      <c r="J77" s="14">
        <f t="shared" si="3"/>
        <v>0</v>
      </c>
      <c r="K77" s="2" t="str">
        <f t="shared" si="4"/>
        <v xml:space="preserve"> </v>
      </c>
      <c r="L77" s="2" t="str">
        <f t="shared" si="1"/>
        <v xml:space="preserve"> </v>
      </c>
      <c r="M77" s="2" t="str">
        <f t="shared" si="2"/>
        <v xml:space="preserve"> </v>
      </c>
    </row>
    <row r="78" spans="1:13" x14ac:dyDescent="0.25">
      <c r="A78" s="34" t="str">
        <f t="shared" si="0"/>
        <v xml:space="preserve"> </v>
      </c>
      <c r="D78" s="33"/>
      <c r="E78" s="33"/>
      <c r="J78" s="14">
        <f t="shared" si="3"/>
        <v>0</v>
      </c>
      <c r="K78" s="2" t="str">
        <f t="shared" si="4"/>
        <v xml:space="preserve"> </v>
      </c>
      <c r="L78" s="2" t="str">
        <f t="shared" si="1"/>
        <v xml:space="preserve"> </v>
      </c>
      <c r="M78" s="2" t="str">
        <f t="shared" si="2"/>
        <v xml:space="preserve"> </v>
      </c>
    </row>
    <row r="79" spans="1:13" x14ac:dyDescent="0.25">
      <c r="A79" s="34" t="str">
        <f t="shared" ref="A79:A142" si="5">IF(COUNTIF(K79:M79,"ERROR")&gt;0,"ERROR"," ")</f>
        <v xml:space="preserve"> </v>
      </c>
      <c r="D79" s="33"/>
      <c r="E79" s="33"/>
      <c r="J79" s="14">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x14ac:dyDescent="0.25">
      <c r="A80" s="34" t="str">
        <f t="shared" si="5"/>
        <v xml:space="preserve"> </v>
      </c>
      <c r="D80" s="33"/>
      <c r="E80" s="33"/>
      <c r="J80" s="14">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4" t="str">
        <f t="shared" si="5"/>
        <v xml:space="preserve"> </v>
      </c>
      <c r="D81" s="33"/>
      <c r="E81" s="33"/>
      <c r="J81" s="14">
        <f t="shared" si="8"/>
        <v>0</v>
      </c>
      <c r="K81" s="2" t="str">
        <f t="shared" si="9"/>
        <v xml:space="preserve"> </v>
      </c>
      <c r="L81" s="2" t="str">
        <f t="shared" si="6"/>
        <v xml:space="preserve"> </v>
      </c>
      <c r="M81" s="2" t="str">
        <f t="shared" si="7"/>
        <v xml:space="preserve"> </v>
      </c>
    </row>
    <row r="82" spans="1:13" x14ac:dyDescent="0.25">
      <c r="A82" s="34" t="str">
        <f t="shared" si="5"/>
        <v xml:space="preserve"> </v>
      </c>
      <c r="D82" s="33"/>
      <c r="E82" s="33"/>
      <c r="J82" s="14">
        <f t="shared" si="8"/>
        <v>0</v>
      </c>
      <c r="K82" s="2" t="str">
        <f t="shared" si="9"/>
        <v xml:space="preserve"> </v>
      </c>
      <c r="L82" s="2" t="str">
        <f t="shared" si="6"/>
        <v xml:space="preserve"> </v>
      </c>
      <c r="M82" s="2" t="str">
        <f t="shared" si="7"/>
        <v xml:space="preserve"> </v>
      </c>
    </row>
    <row r="83" spans="1:13" x14ac:dyDescent="0.25">
      <c r="A83" s="34" t="str">
        <f t="shared" si="5"/>
        <v xml:space="preserve"> </v>
      </c>
      <c r="D83" s="33"/>
      <c r="E83" s="33"/>
      <c r="J83" s="14">
        <f t="shared" si="8"/>
        <v>0</v>
      </c>
      <c r="K83" s="2" t="str">
        <f t="shared" si="9"/>
        <v xml:space="preserve"> </v>
      </c>
      <c r="L83" s="2" t="str">
        <f t="shared" si="6"/>
        <v xml:space="preserve"> </v>
      </c>
      <c r="M83" s="2" t="str">
        <f t="shared" si="7"/>
        <v xml:space="preserve"> </v>
      </c>
    </row>
    <row r="84" spans="1:13" x14ac:dyDescent="0.25">
      <c r="A84" s="34" t="str">
        <f t="shared" si="5"/>
        <v xml:space="preserve"> </v>
      </c>
      <c r="D84" s="33"/>
      <c r="E84" s="33"/>
      <c r="J84" s="14">
        <f t="shared" si="8"/>
        <v>0</v>
      </c>
      <c r="K84" s="2" t="str">
        <f t="shared" si="9"/>
        <v xml:space="preserve"> </v>
      </c>
      <c r="L84" s="2" t="str">
        <f t="shared" si="6"/>
        <v xml:space="preserve"> </v>
      </c>
      <c r="M84" s="2" t="str">
        <f t="shared" si="7"/>
        <v xml:space="preserve"> </v>
      </c>
    </row>
    <row r="85" spans="1:13" x14ac:dyDescent="0.25">
      <c r="A85" s="34" t="str">
        <f t="shared" si="5"/>
        <v xml:space="preserve"> </v>
      </c>
      <c r="D85" s="33"/>
      <c r="E85" s="33"/>
      <c r="J85" s="14">
        <f t="shared" si="8"/>
        <v>0</v>
      </c>
      <c r="K85" s="2" t="str">
        <f t="shared" si="9"/>
        <v xml:space="preserve"> </v>
      </c>
      <c r="L85" s="2" t="str">
        <f t="shared" si="6"/>
        <v xml:space="preserve"> </v>
      </c>
      <c r="M85" s="2" t="str">
        <f t="shared" si="7"/>
        <v xml:space="preserve"> </v>
      </c>
    </row>
    <row r="86" spans="1:13" x14ac:dyDescent="0.25">
      <c r="A86" s="34" t="str">
        <f t="shared" si="5"/>
        <v xml:space="preserve"> </v>
      </c>
      <c r="D86" s="33"/>
      <c r="E86" s="33"/>
      <c r="J86" s="14">
        <f t="shared" si="8"/>
        <v>0</v>
      </c>
      <c r="K86" s="2" t="str">
        <f t="shared" si="9"/>
        <v xml:space="preserve"> </v>
      </c>
      <c r="L86" s="2" t="str">
        <f t="shared" si="6"/>
        <v xml:space="preserve"> </v>
      </c>
      <c r="M86" s="2" t="str">
        <f t="shared" si="7"/>
        <v xml:space="preserve"> </v>
      </c>
    </row>
    <row r="87" spans="1:13" x14ac:dyDescent="0.25">
      <c r="A87" s="34" t="str">
        <f t="shared" si="5"/>
        <v xml:space="preserve"> </v>
      </c>
      <c r="D87" s="33"/>
      <c r="E87" s="33"/>
      <c r="J87" s="14">
        <f t="shared" si="8"/>
        <v>0</v>
      </c>
      <c r="K87" s="2" t="str">
        <f t="shared" si="9"/>
        <v xml:space="preserve"> </v>
      </c>
      <c r="L87" s="2" t="str">
        <f t="shared" si="6"/>
        <v xml:space="preserve"> </v>
      </c>
      <c r="M87" s="2" t="str">
        <f t="shared" si="7"/>
        <v xml:space="preserve"> </v>
      </c>
    </row>
    <row r="88" spans="1:13" x14ac:dyDescent="0.25">
      <c r="A88" s="34" t="str">
        <f t="shared" si="5"/>
        <v xml:space="preserve"> </v>
      </c>
      <c r="D88" s="33"/>
      <c r="E88" s="33"/>
      <c r="J88" s="14">
        <f t="shared" si="8"/>
        <v>0</v>
      </c>
      <c r="K88" s="2" t="str">
        <f t="shared" si="9"/>
        <v xml:space="preserve"> </v>
      </c>
      <c r="L88" s="2" t="str">
        <f t="shared" si="6"/>
        <v xml:space="preserve"> </v>
      </c>
      <c r="M88" s="2" t="str">
        <f t="shared" si="7"/>
        <v xml:space="preserve"> </v>
      </c>
    </row>
    <row r="89" spans="1:13" x14ac:dyDescent="0.25">
      <c r="A89" s="34" t="str">
        <f t="shared" si="5"/>
        <v xml:space="preserve"> </v>
      </c>
      <c r="D89" s="33"/>
      <c r="E89" s="33"/>
      <c r="J89" s="14">
        <f t="shared" si="8"/>
        <v>0</v>
      </c>
      <c r="K89" s="2" t="str">
        <f t="shared" si="9"/>
        <v xml:space="preserve"> </v>
      </c>
      <c r="L89" s="2" t="str">
        <f t="shared" si="6"/>
        <v xml:space="preserve"> </v>
      </c>
      <c r="M89" s="2" t="str">
        <f t="shared" si="7"/>
        <v xml:space="preserve"> </v>
      </c>
    </row>
    <row r="90" spans="1:13" x14ac:dyDescent="0.25">
      <c r="A90" s="34" t="str">
        <f t="shared" si="5"/>
        <v xml:space="preserve"> </v>
      </c>
      <c r="D90" s="33"/>
      <c r="E90" s="33"/>
      <c r="J90" s="14">
        <f t="shared" si="8"/>
        <v>0</v>
      </c>
      <c r="K90" s="2" t="str">
        <f t="shared" si="9"/>
        <v xml:space="preserve"> </v>
      </c>
      <c r="L90" s="2" t="str">
        <f t="shared" si="6"/>
        <v xml:space="preserve"> </v>
      </c>
      <c r="M90" s="2" t="str">
        <f t="shared" si="7"/>
        <v xml:space="preserve"> </v>
      </c>
    </row>
    <row r="91" spans="1:13" x14ac:dyDescent="0.25">
      <c r="A91" s="34" t="str">
        <f t="shared" si="5"/>
        <v xml:space="preserve"> </v>
      </c>
      <c r="D91" s="33"/>
      <c r="E91" s="33"/>
      <c r="J91" s="14">
        <f t="shared" si="8"/>
        <v>0</v>
      </c>
      <c r="K91" s="2" t="str">
        <f t="shared" si="9"/>
        <v xml:space="preserve"> </v>
      </c>
      <c r="L91" s="2" t="str">
        <f t="shared" si="6"/>
        <v xml:space="preserve"> </v>
      </c>
      <c r="M91" s="2" t="str">
        <f t="shared" si="7"/>
        <v xml:space="preserve"> </v>
      </c>
    </row>
    <row r="92" spans="1:13" x14ac:dyDescent="0.25">
      <c r="A92" s="34" t="str">
        <f t="shared" si="5"/>
        <v xml:space="preserve"> </v>
      </c>
      <c r="D92" s="33"/>
      <c r="E92" s="33"/>
      <c r="J92" s="14">
        <f t="shared" si="8"/>
        <v>0</v>
      </c>
      <c r="K92" s="2" t="str">
        <f t="shared" si="9"/>
        <v xml:space="preserve"> </v>
      </c>
      <c r="L92" s="2" t="str">
        <f t="shared" si="6"/>
        <v xml:space="preserve"> </v>
      </c>
      <c r="M92" s="2" t="str">
        <f t="shared" si="7"/>
        <v xml:space="preserve"> </v>
      </c>
    </row>
    <row r="93" spans="1:13" x14ac:dyDescent="0.25">
      <c r="A93" s="34" t="str">
        <f t="shared" si="5"/>
        <v xml:space="preserve"> </v>
      </c>
      <c r="D93" s="33"/>
      <c r="E93" s="33"/>
      <c r="J93" s="14">
        <f t="shared" si="8"/>
        <v>0</v>
      </c>
      <c r="K93" s="2" t="str">
        <f t="shared" si="9"/>
        <v xml:space="preserve"> </v>
      </c>
      <c r="L93" s="2" t="str">
        <f t="shared" si="6"/>
        <v xml:space="preserve"> </v>
      </c>
      <c r="M93" s="2" t="str">
        <f t="shared" si="7"/>
        <v xml:space="preserve"> </v>
      </c>
    </row>
    <row r="94" spans="1:13" x14ac:dyDescent="0.25">
      <c r="A94" s="34" t="str">
        <f t="shared" si="5"/>
        <v xml:space="preserve"> </v>
      </c>
      <c r="D94" s="33"/>
      <c r="E94" s="33"/>
      <c r="J94" s="14">
        <f t="shared" si="8"/>
        <v>0</v>
      </c>
      <c r="K94" s="2" t="str">
        <f t="shared" si="9"/>
        <v xml:space="preserve"> </v>
      </c>
      <c r="L94" s="2" t="str">
        <f t="shared" si="6"/>
        <v xml:space="preserve"> </v>
      </c>
      <c r="M94" s="2" t="str">
        <f t="shared" si="7"/>
        <v xml:space="preserve"> </v>
      </c>
    </row>
    <row r="95" spans="1:13" x14ac:dyDescent="0.25">
      <c r="A95" s="34" t="str">
        <f t="shared" si="5"/>
        <v xml:space="preserve"> </v>
      </c>
      <c r="D95" s="33"/>
      <c r="E95" s="33"/>
      <c r="J95" s="14">
        <f t="shared" si="8"/>
        <v>0</v>
      </c>
      <c r="K95" s="2" t="str">
        <f t="shared" si="9"/>
        <v xml:space="preserve"> </v>
      </c>
      <c r="L95" s="2" t="str">
        <f t="shared" si="6"/>
        <v xml:space="preserve"> </v>
      </c>
      <c r="M95" s="2" t="str">
        <f t="shared" si="7"/>
        <v xml:space="preserve"> </v>
      </c>
    </row>
    <row r="96" spans="1:13" x14ac:dyDescent="0.25">
      <c r="A96" s="34" t="str">
        <f t="shared" si="5"/>
        <v xml:space="preserve"> </v>
      </c>
      <c r="D96" s="33"/>
      <c r="E96" s="33"/>
      <c r="J96" s="14">
        <f t="shared" si="8"/>
        <v>0</v>
      </c>
      <c r="K96" s="2" t="str">
        <f t="shared" si="9"/>
        <v xml:space="preserve"> </v>
      </c>
      <c r="L96" s="2" t="str">
        <f t="shared" si="6"/>
        <v xml:space="preserve"> </v>
      </c>
      <c r="M96" s="2" t="str">
        <f t="shared" si="7"/>
        <v xml:space="preserve"> </v>
      </c>
    </row>
    <row r="97" spans="1:13" x14ac:dyDescent="0.25">
      <c r="A97" s="34" t="str">
        <f t="shared" si="5"/>
        <v xml:space="preserve"> </v>
      </c>
      <c r="D97" s="33"/>
      <c r="E97" s="33"/>
      <c r="J97" s="14">
        <f t="shared" si="8"/>
        <v>0</v>
      </c>
      <c r="K97" s="2" t="str">
        <f t="shared" si="9"/>
        <v xml:space="preserve"> </v>
      </c>
      <c r="L97" s="2" t="str">
        <f t="shared" si="6"/>
        <v xml:space="preserve"> </v>
      </c>
      <c r="M97" s="2" t="str">
        <f t="shared" si="7"/>
        <v xml:space="preserve"> </v>
      </c>
    </row>
    <row r="98" spans="1:13" x14ac:dyDescent="0.25">
      <c r="A98" s="34" t="str">
        <f t="shared" si="5"/>
        <v xml:space="preserve"> </v>
      </c>
      <c r="D98" s="33"/>
      <c r="E98" s="33"/>
      <c r="J98" s="14">
        <f t="shared" si="8"/>
        <v>0</v>
      </c>
      <c r="K98" s="2" t="str">
        <f t="shared" si="9"/>
        <v xml:space="preserve"> </v>
      </c>
      <c r="L98" s="2" t="str">
        <f t="shared" si="6"/>
        <v xml:space="preserve"> </v>
      </c>
      <c r="M98" s="2" t="str">
        <f t="shared" si="7"/>
        <v xml:space="preserve"> </v>
      </c>
    </row>
    <row r="99" spans="1:13" x14ac:dyDescent="0.25">
      <c r="A99" s="34" t="str">
        <f t="shared" si="5"/>
        <v xml:space="preserve"> </v>
      </c>
      <c r="D99" s="33"/>
      <c r="E99" s="33"/>
      <c r="J99" s="14">
        <f t="shared" si="8"/>
        <v>0</v>
      </c>
      <c r="K99" s="2" t="str">
        <f t="shared" si="9"/>
        <v xml:space="preserve"> </v>
      </c>
      <c r="L99" s="2" t="str">
        <f t="shared" si="6"/>
        <v xml:space="preserve"> </v>
      </c>
      <c r="M99" s="2" t="str">
        <f t="shared" si="7"/>
        <v xml:space="preserve"> </v>
      </c>
    </row>
    <row r="100" spans="1:13" x14ac:dyDescent="0.25">
      <c r="A100" s="34" t="str">
        <f t="shared" si="5"/>
        <v xml:space="preserve"> </v>
      </c>
      <c r="D100" s="33"/>
      <c r="E100" s="33"/>
      <c r="J100" s="14">
        <f t="shared" si="8"/>
        <v>0</v>
      </c>
      <c r="K100" s="2" t="str">
        <f t="shared" si="9"/>
        <v xml:space="preserve"> </v>
      </c>
      <c r="L100" s="2" t="str">
        <f t="shared" si="6"/>
        <v xml:space="preserve"> </v>
      </c>
      <c r="M100" s="2" t="str">
        <f t="shared" si="7"/>
        <v xml:space="preserve"> </v>
      </c>
    </row>
    <row r="101" spans="1:13" x14ac:dyDescent="0.25">
      <c r="A101" s="34" t="str">
        <f t="shared" si="5"/>
        <v xml:space="preserve"> </v>
      </c>
      <c r="D101" s="33"/>
      <c r="E101" s="33"/>
      <c r="J101" s="14">
        <f t="shared" si="8"/>
        <v>0</v>
      </c>
      <c r="K101" s="2" t="str">
        <f t="shared" si="9"/>
        <v xml:space="preserve"> </v>
      </c>
      <c r="L101" s="2" t="str">
        <f t="shared" si="6"/>
        <v xml:space="preserve"> </v>
      </c>
      <c r="M101" s="2" t="str">
        <f t="shared" si="7"/>
        <v xml:space="preserve"> </v>
      </c>
    </row>
    <row r="102" spans="1:13" x14ac:dyDescent="0.25">
      <c r="A102" s="34" t="str">
        <f t="shared" si="5"/>
        <v xml:space="preserve"> </v>
      </c>
      <c r="D102" s="33"/>
      <c r="E102" s="33"/>
      <c r="J102" s="14">
        <f t="shared" si="8"/>
        <v>0</v>
      </c>
      <c r="K102" s="2" t="str">
        <f t="shared" si="9"/>
        <v xml:space="preserve"> </v>
      </c>
      <c r="L102" s="2" t="str">
        <f t="shared" si="6"/>
        <v xml:space="preserve"> </v>
      </c>
      <c r="M102" s="2" t="str">
        <f t="shared" si="7"/>
        <v xml:space="preserve"> </v>
      </c>
    </row>
    <row r="103" spans="1:13" x14ac:dyDescent="0.25">
      <c r="A103" s="34" t="str">
        <f t="shared" si="5"/>
        <v xml:space="preserve"> </v>
      </c>
      <c r="D103" s="33"/>
      <c r="E103" s="33"/>
      <c r="J103" s="14">
        <f t="shared" si="8"/>
        <v>0</v>
      </c>
      <c r="K103" s="2" t="str">
        <f t="shared" si="9"/>
        <v xml:space="preserve"> </v>
      </c>
      <c r="L103" s="2" t="str">
        <f t="shared" si="6"/>
        <v xml:space="preserve"> </v>
      </c>
      <c r="M103" s="2" t="str">
        <f t="shared" si="7"/>
        <v xml:space="preserve"> </v>
      </c>
    </row>
    <row r="104" spans="1:13" x14ac:dyDescent="0.25">
      <c r="A104" s="34" t="str">
        <f t="shared" si="5"/>
        <v xml:space="preserve"> </v>
      </c>
      <c r="D104" s="33"/>
      <c r="E104" s="33"/>
      <c r="J104" s="14">
        <f t="shared" si="8"/>
        <v>0</v>
      </c>
      <c r="K104" s="2" t="str">
        <f t="shared" si="9"/>
        <v xml:space="preserve"> </v>
      </c>
      <c r="L104" s="2" t="str">
        <f t="shared" si="6"/>
        <v xml:space="preserve"> </v>
      </c>
      <c r="M104" s="2" t="str">
        <f t="shared" si="7"/>
        <v xml:space="preserve"> </v>
      </c>
    </row>
    <row r="105" spans="1:13" x14ac:dyDescent="0.25">
      <c r="A105" s="34" t="str">
        <f t="shared" si="5"/>
        <v xml:space="preserve"> </v>
      </c>
      <c r="D105" s="33"/>
      <c r="E105" s="33"/>
      <c r="J105" s="14">
        <f t="shared" si="8"/>
        <v>0</v>
      </c>
      <c r="K105" s="2" t="str">
        <f t="shared" si="9"/>
        <v xml:space="preserve"> </v>
      </c>
      <c r="L105" s="2" t="str">
        <f t="shared" si="6"/>
        <v xml:space="preserve"> </v>
      </c>
      <c r="M105" s="2" t="str">
        <f t="shared" si="7"/>
        <v xml:space="preserve"> </v>
      </c>
    </row>
    <row r="106" spans="1:13" x14ac:dyDescent="0.25">
      <c r="A106" s="34" t="str">
        <f t="shared" si="5"/>
        <v xml:space="preserve"> </v>
      </c>
      <c r="D106" s="33"/>
      <c r="E106" s="33"/>
      <c r="J106" s="14">
        <f t="shared" si="8"/>
        <v>0</v>
      </c>
      <c r="K106" s="2" t="str">
        <f t="shared" si="9"/>
        <v xml:space="preserve"> </v>
      </c>
      <c r="L106" s="2" t="str">
        <f t="shared" si="6"/>
        <v xml:space="preserve"> </v>
      </c>
      <c r="M106" s="2" t="str">
        <f t="shared" si="7"/>
        <v xml:space="preserve"> </v>
      </c>
    </row>
    <row r="107" spans="1:13" x14ac:dyDescent="0.25">
      <c r="A107" s="34" t="str">
        <f t="shared" si="5"/>
        <v xml:space="preserve"> </v>
      </c>
      <c r="D107" s="33"/>
      <c r="E107" s="33"/>
      <c r="J107" s="14">
        <f t="shared" si="8"/>
        <v>0</v>
      </c>
      <c r="K107" s="2" t="str">
        <f t="shared" si="9"/>
        <v xml:space="preserve"> </v>
      </c>
      <c r="L107" s="2" t="str">
        <f t="shared" si="6"/>
        <v xml:space="preserve"> </v>
      </c>
      <c r="M107" s="2" t="str">
        <f t="shared" si="7"/>
        <v xml:space="preserve"> </v>
      </c>
    </row>
    <row r="108" spans="1:13" x14ac:dyDescent="0.25">
      <c r="A108" s="34" t="str">
        <f t="shared" si="5"/>
        <v xml:space="preserve"> </v>
      </c>
      <c r="D108" s="33"/>
      <c r="E108" s="33"/>
      <c r="J108" s="14">
        <f t="shared" si="8"/>
        <v>0</v>
      </c>
      <c r="K108" s="2" t="str">
        <f t="shared" si="9"/>
        <v xml:space="preserve"> </v>
      </c>
      <c r="L108" s="2" t="str">
        <f t="shared" si="6"/>
        <v xml:space="preserve"> </v>
      </c>
      <c r="M108" s="2" t="str">
        <f t="shared" si="7"/>
        <v xml:space="preserve"> </v>
      </c>
    </row>
    <row r="109" spans="1:13" x14ac:dyDescent="0.25">
      <c r="A109" s="34" t="str">
        <f t="shared" si="5"/>
        <v xml:space="preserve"> </v>
      </c>
      <c r="D109" s="33"/>
      <c r="E109" s="33"/>
      <c r="J109" s="14">
        <f t="shared" si="8"/>
        <v>0</v>
      </c>
      <c r="K109" s="2" t="str">
        <f t="shared" si="9"/>
        <v xml:space="preserve"> </v>
      </c>
      <c r="L109" s="2" t="str">
        <f t="shared" si="6"/>
        <v xml:space="preserve"> </v>
      </c>
      <c r="M109" s="2" t="str">
        <f t="shared" si="7"/>
        <v xml:space="preserve"> </v>
      </c>
    </row>
    <row r="110" spans="1:13" x14ac:dyDescent="0.25">
      <c r="A110" s="34" t="str">
        <f t="shared" si="5"/>
        <v xml:space="preserve"> </v>
      </c>
      <c r="B110" s="17"/>
      <c r="D110" s="33"/>
      <c r="E110" s="33"/>
      <c r="J110" s="14">
        <f t="shared" si="8"/>
        <v>0</v>
      </c>
      <c r="K110" s="2" t="str">
        <f t="shared" si="9"/>
        <v xml:space="preserve"> </v>
      </c>
      <c r="L110" s="2" t="str">
        <f t="shared" si="6"/>
        <v xml:space="preserve"> </v>
      </c>
      <c r="M110" s="2" t="str">
        <f t="shared" si="7"/>
        <v xml:space="preserve"> </v>
      </c>
    </row>
    <row r="111" spans="1:13" x14ac:dyDescent="0.25">
      <c r="A111" s="34" t="str">
        <f t="shared" si="5"/>
        <v xml:space="preserve"> </v>
      </c>
      <c r="D111" s="33"/>
      <c r="E111" s="33"/>
      <c r="J111" s="14">
        <f t="shared" si="8"/>
        <v>0</v>
      </c>
      <c r="K111" s="2" t="str">
        <f t="shared" si="9"/>
        <v xml:space="preserve"> </v>
      </c>
      <c r="L111" s="2" t="str">
        <f t="shared" si="6"/>
        <v xml:space="preserve"> </v>
      </c>
      <c r="M111" s="2" t="str">
        <f t="shared" si="7"/>
        <v xml:space="preserve"> </v>
      </c>
    </row>
    <row r="112" spans="1:13" x14ac:dyDescent="0.25">
      <c r="A112" s="34" t="str">
        <f t="shared" si="5"/>
        <v xml:space="preserve"> </v>
      </c>
      <c r="D112" s="33"/>
      <c r="E112" s="33"/>
      <c r="J112" s="14">
        <f t="shared" si="8"/>
        <v>0</v>
      </c>
      <c r="K112" s="2" t="str">
        <f t="shared" si="9"/>
        <v xml:space="preserve"> </v>
      </c>
      <c r="L112" s="2" t="str">
        <f t="shared" si="6"/>
        <v xml:space="preserve"> </v>
      </c>
      <c r="M112" s="2" t="str">
        <f t="shared" si="7"/>
        <v xml:space="preserve"> </v>
      </c>
    </row>
    <row r="113" spans="1:13" x14ac:dyDescent="0.25">
      <c r="A113" s="34" t="str">
        <f t="shared" si="5"/>
        <v xml:space="preserve"> </v>
      </c>
      <c r="D113" s="33"/>
      <c r="E113" s="33"/>
      <c r="J113" s="14">
        <f t="shared" si="8"/>
        <v>0</v>
      </c>
      <c r="K113" s="2" t="str">
        <f t="shared" si="9"/>
        <v xml:space="preserve"> </v>
      </c>
      <c r="L113" s="2" t="str">
        <f t="shared" si="6"/>
        <v xml:space="preserve"> </v>
      </c>
      <c r="M113" s="2" t="str">
        <f t="shared" si="7"/>
        <v xml:space="preserve"> </v>
      </c>
    </row>
    <row r="114" spans="1:13" x14ac:dyDescent="0.25">
      <c r="A114" s="34" t="str">
        <f t="shared" si="5"/>
        <v xml:space="preserve"> </v>
      </c>
      <c r="D114" s="33"/>
      <c r="E114" s="33"/>
      <c r="J114" s="14">
        <f t="shared" si="8"/>
        <v>0</v>
      </c>
      <c r="K114" s="2" t="str">
        <f t="shared" si="9"/>
        <v xml:space="preserve"> </v>
      </c>
      <c r="L114" s="2" t="str">
        <f t="shared" si="6"/>
        <v xml:space="preserve"> </v>
      </c>
      <c r="M114" s="2" t="str">
        <f t="shared" si="7"/>
        <v xml:space="preserve"> </v>
      </c>
    </row>
    <row r="115" spans="1:13" x14ac:dyDescent="0.25">
      <c r="A115" s="34" t="str">
        <f t="shared" si="5"/>
        <v xml:space="preserve"> </v>
      </c>
      <c r="D115" s="33"/>
      <c r="E115" s="33"/>
      <c r="J115" s="14">
        <f t="shared" si="8"/>
        <v>0</v>
      </c>
      <c r="K115" s="2" t="str">
        <f t="shared" si="9"/>
        <v xml:space="preserve"> </v>
      </c>
      <c r="L115" s="2" t="str">
        <f t="shared" si="6"/>
        <v xml:space="preserve"> </v>
      </c>
      <c r="M115" s="2" t="str">
        <f t="shared" si="7"/>
        <v xml:space="preserve"> </v>
      </c>
    </row>
    <row r="116" spans="1:13" x14ac:dyDescent="0.25">
      <c r="A116" s="34" t="str">
        <f t="shared" si="5"/>
        <v xml:space="preserve"> </v>
      </c>
      <c r="D116" s="33"/>
      <c r="E116" s="33"/>
      <c r="J116" s="14">
        <f t="shared" si="8"/>
        <v>0</v>
      </c>
      <c r="K116" s="2" t="str">
        <f t="shared" si="9"/>
        <v xml:space="preserve"> </v>
      </c>
      <c r="L116" s="2" t="str">
        <f t="shared" si="6"/>
        <v xml:space="preserve"> </v>
      </c>
      <c r="M116" s="2" t="str">
        <f t="shared" si="7"/>
        <v xml:space="preserve"> </v>
      </c>
    </row>
    <row r="117" spans="1:13" x14ac:dyDescent="0.25">
      <c r="A117" s="34" t="str">
        <f t="shared" si="5"/>
        <v xml:space="preserve"> </v>
      </c>
      <c r="D117" s="33"/>
      <c r="E117" s="33"/>
      <c r="J117" s="14">
        <f t="shared" si="8"/>
        <v>0</v>
      </c>
      <c r="K117" s="2" t="str">
        <f t="shared" si="9"/>
        <v xml:space="preserve"> </v>
      </c>
      <c r="L117" s="2" t="str">
        <f t="shared" si="6"/>
        <v xml:space="preserve"> </v>
      </c>
      <c r="M117" s="2" t="str">
        <f t="shared" si="7"/>
        <v xml:space="preserve"> </v>
      </c>
    </row>
    <row r="118" spans="1:13" x14ac:dyDescent="0.25">
      <c r="A118" s="34" t="str">
        <f t="shared" si="5"/>
        <v xml:space="preserve"> </v>
      </c>
      <c r="D118" s="33"/>
      <c r="E118" s="33"/>
      <c r="J118" s="14">
        <f t="shared" si="8"/>
        <v>0</v>
      </c>
      <c r="K118" s="2" t="str">
        <f t="shared" si="9"/>
        <v xml:space="preserve"> </v>
      </c>
      <c r="L118" s="2" t="str">
        <f t="shared" si="6"/>
        <v xml:space="preserve"> </v>
      </c>
      <c r="M118" s="2" t="str">
        <f t="shared" si="7"/>
        <v xml:space="preserve"> </v>
      </c>
    </row>
    <row r="119" spans="1:13" x14ac:dyDescent="0.25">
      <c r="A119" s="34" t="str">
        <f t="shared" si="5"/>
        <v xml:space="preserve"> </v>
      </c>
      <c r="D119" s="33"/>
      <c r="E119" s="33"/>
      <c r="J119" s="14">
        <f t="shared" si="8"/>
        <v>0</v>
      </c>
      <c r="K119" s="2" t="str">
        <f t="shared" si="9"/>
        <v xml:space="preserve"> </v>
      </c>
      <c r="L119" s="2" t="str">
        <f t="shared" si="6"/>
        <v xml:space="preserve"> </v>
      </c>
      <c r="M119" s="2" t="str">
        <f t="shared" si="7"/>
        <v xml:space="preserve"> </v>
      </c>
    </row>
    <row r="120" spans="1:13" x14ac:dyDescent="0.25">
      <c r="A120" s="34" t="str">
        <f t="shared" si="5"/>
        <v xml:space="preserve"> </v>
      </c>
      <c r="D120" s="33"/>
      <c r="E120" s="33"/>
      <c r="J120" s="14">
        <f t="shared" si="8"/>
        <v>0</v>
      </c>
      <c r="K120" s="2" t="str">
        <f t="shared" si="9"/>
        <v xml:space="preserve"> </v>
      </c>
      <c r="L120" s="2" t="str">
        <f t="shared" si="6"/>
        <v xml:space="preserve"> </v>
      </c>
      <c r="M120" s="2" t="str">
        <f t="shared" si="7"/>
        <v xml:space="preserve"> </v>
      </c>
    </row>
    <row r="121" spans="1:13" x14ac:dyDescent="0.25">
      <c r="A121" s="34" t="str">
        <f t="shared" si="5"/>
        <v xml:space="preserve"> </v>
      </c>
      <c r="D121" s="33"/>
      <c r="E121" s="33"/>
      <c r="J121" s="14">
        <f t="shared" si="8"/>
        <v>0</v>
      </c>
      <c r="K121" s="2" t="str">
        <f t="shared" si="9"/>
        <v xml:space="preserve"> </v>
      </c>
      <c r="L121" s="2" t="str">
        <f t="shared" si="6"/>
        <v xml:space="preserve"> </v>
      </c>
      <c r="M121" s="2" t="str">
        <f t="shared" si="7"/>
        <v xml:space="preserve"> </v>
      </c>
    </row>
    <row r="122" spans="1:13" x14ac:dyDescent="0.25">
      <c r="A122" s="34" t="str">
        <f t="shared" si="5"/>
        <v xml:space="preserve"> </v>
      </c>
      <c r="D122" s="33"/>
      <c r="E122" s="33"/>
      <c r="J122" s="14">
        <f t="shared" si="8"/>
        <v>0</v>
      </c>
      <c r="K122" s="2" t="str">
        <f t="shared" si="9"/>
        <v xml:space="preserve"> </v>
      </c>
      <c r="L122" s="2" t="str">
        <f t="shared" si="6"/>
        <v xml:space="preserve"> </v>
      </c>
      <c r="M122" s="2" t="str">
        <f t="shared" si="7"/>
        <v xml:space="preserve"> </v>
      </c>
    </row>
    <row r="123" spans="1:13" x14ac:dyDescent="0.25">
      <c r="A123" s="34" t="str">
        <f t="shared" si="5"/>
        <v xml:space="preserve"> </v>
      </c>
      <c r="D123" s="33"/>
      <c r="E123" s="33"/>
      <c r="J123" s="14">
        <f t="shared" si="8"/>
        <v>0</v>
      </c>
      <c r="K123" s="2" t="str">
        <f t="shared" si="9"/>
        <v xml:space="preserve"> </v>
      </c>
      <c r="L123" s="2" t="str">
        <f t="shared" si="6"/>
        <v xml:space="preserve"> </v>
      </c>
      <c r="M123" s="2" t="str">
        <f t="shared" si="7"/>
        <v xml:space="preserve"> </v>
      </c>
    </row>
    <row r="124" spans="1:13" x14ac:dyDescent="0.25">
      <c r="A124" s="34" t="str">
        <f t="shared" si="5"/>
        <v xml:space="preserve"> </v>
      </c>
      <c r="C124" s="40"/>
      <c r="D124" s="33"/>
      <c r="E124" s="33"/>
      <c r="J124" s="14">
        <f t="shared" si="8"/>
        <v>0</v>
      </c>
      <c r="K124" s="2" t="str">
        <f t="shared" si="9"/>
        <v xml:space="preserve"> </v>
      </c>
      <c r="L124" s="2" t="str">
        <f t="shared" si="6"/>
        <v xml:space="preserve"> </v>
      </c>
      <c r="M124" s="2" t="str">
        <f t="shared" si="7"/>
        <v xml:space="preserve"> </v>
      </c>
    </row>
    <row r="125" spans="1:13" x14ac:dyDescent="0.25">
      <c r="A125" s="34" t="str">
        <f t="shared" si="5"/>
        <v xml:space="preserve"> </v>
      </c>
      <c r="D125" s="33"/>
      <c r="E125" s="33"/>
      <c r="J125" s="14">
        <f t="shared" si="8"/>
        <v>0</v>
      </c>
      <c r="K125" s="2" t="str">
        <f t="shared" si="9"/>
        <v xml:space="preserve"> </v>
      </c>
      <c r="L125" s="2" t="str">
        <f t="shared" si="6"/>
        <v xml:space="preserve"> </v>
      </c>
      <c r="M125" s="2" t="str">
        <f t="shared" si="7"/>
        <v xml:space="preserve"> </v>
      </c>
    </row>
    <row r="126" spans="1:13" x14ac:dyDescent="0.25">
      <c r="A126" s="34" t="str">
        <f t="shared" si="5"/>
        <v xml:space="preserve"> </v>
      </c>
      <c r="D126" s="33"/>
      <c r="E126" s="33"/>
      <c r="J126" s="14">
        <f t="shared" si="8"/>
        <v>0</v>
      </c>
      <c r="K126" s="2" t="str">
        <f t="shared" si="9"/>
        <v xml:space="preserve"> </v>
      </c>
      <c r="L126" s="2" t="str">
        <f t="shared" si="6"/>
        <v xml:space="preserve"> </v>
      </c>
      <c r="M126" s="2" t="str">
        <f t="shared" si="7"/>
        <v xml:space="preserve"> </v>
      </c>
    </row>
    <row r="127" spans="1:13" x14ac:dyDescent="0.25">
      <c r="A127" s="34" t="str">
        <f t="shared" si="5"/>
        <v xml:space="preserve"> </v>
      </c>
      <c r="D127" s="33"/>
      <c r="E127" s="33"/>
      <c r="J127" s="14">
        <f t="shared" si="8"/>
        <v>0</v>
      </c>
      <c r="K127" s="2" t="str">
        <f t="shared" si="9"/>
        <v xml:space="preserve"> </v>
      </c>
      <c r="L127" s="2" t="str">
        <f t="shared" si="6"/>
        <v xml:space="preserve"> </v>
      </c>
      <c r="M127" s="2" t="str">
        <f t="shared" si="7"/>
        <v xml:space="preserve"> </v>
      </c>
    </row>
    <row r="128" spans="1:13" x14ac:dyDescent="0.25">
      <c r="A128" s="34" t="str">
        <f t="shared" si="5"/>
        <v xml:space="preserve"> </v>
      </c>
      <c r="D128" s="33"/>
      <c r="E128" s="33"/>
      <c r="J128" s="14">
        <f t="shared" si="8"/>
        <v>0</v>
      </c>
      <c r="K128" s="2" t="str">
        <f t="shared" si="9"/>
        <v xml:space="preserve"> </v>
      </c>
      <c r="L128" s="2" t="str">
        <f t="shared" si="6"/>
        <v xml:space="preserve"> </v>
      </c>
      <c r="M128" s="2" t="str">
        <f t="shared" si="7"/>
        <v xml:space="preserve"> </v>
      </c>
    </row>
    <row r="129" spans="1:13" x14ac:dyDescent="0.25">
      <c r="A129" s="34" t="str">
        <f t="shared" si="5"/>
        <v xml:space="preserve"> </v>
      </c>
      <c r="D129" s="33"/>
      <c r="E129" s="33"/>
      <c r="J129" s="14">
        <f t="shared" si="8"/>
        <v>0</v>
      </c>
      <c r="K129" s="2" t="str">
        <f t="shared" si="9"/>
        <v xml:space="preserve"> </v>
      </c>
      <c r="L129" s="2" t="str">
        <f t="shared" si="6"/>
        <v xml:space="preserve"> </v>
      </c>
      <c r="M129" s="2" t="str">
        <f t="shared" si="7"/>
        <v xml:space="preserve"> </v>
      </c>
    </row>
    <row r="130" spans="1:13" x14ac:dyDescent="0.25">
      <c r="A130" s="34" t="str">
        <f t="shared" si="5"/>
        <v xml:space="preserve"> </v>
      </c>
      <c r="D130" s="33"/>
      <c r="E130" s="33"/>
      <c r="J130" s="14">
        <f t="shared" si="8"/>
        <v>0</v>
      </c>
      <c r="K130" s="2" t="str">
        <f t="shared" si="9"/>
        <v xml:space="preserve"> </v>
      </c>
      <c r="L130" s="2" t="str">
        <f t="shared" si="6"/>
        <v xml:space="preserve"> </v>
      </c>
      <c r="M130" s="2" t="str">
        <f t="shared" si="7"/>
        <v xml:space="preserve"> </v>
      </c>
    </row>
    <row r="131" spans="1:13" x14ac:dyDescent="0.25">
      <c r="A131" s="34" t="str">
        <f t="shared" si="5"/>
        <v xml:space="preserve"> </v>
      </c>
      <c r="D131" s="33"/>
      <c r="E131" s="33"/>
      <c r="J131" s="14">
        <f t="shared" si="8"/>
        <v>0</v>
      </c>
      <c r="K131" s="2" t="str">
        <f t="shared" si="9"/>
        <v xml:space="preserve"> </v>
      </c>
      <c r="L131" s="2" t="str">
        <f t="shared" si="6"/>
        <v xml:space="preserve"> </v>
      </c>
      <c r="M131" s="2" t="str">
        <f t="shared" si="7"/>
        <v xml:space="preserve"> </v>
      </c>
    </row>
    <row r="132" spans="1:13" x14ac:dyDescent="0.25">
      <c r="A132" s="34" t="str">
        <f t="shared" si="5"/>
        <v xml:space="preserve"> </v>
      </c>
      <c r="D132" s="33"/>
      <c r="E132" s="33"/>
      <c r="J132" s="14">
        <f t="shared" si="8"/>
        <v>0</v>
      </c>
      <c r="K132" s="2" t="str">
        <f t="shared" si="9"/>
        <v xml:space="preserve"> </v>
      </c>
      <c r="L132" s="2" t="str">
        <f t="shared" si="6"/>
        <v xml:space="preserve"> </v>
      </c>
      <c r="M132" s="2" t="str">
        <f t="shared" si="7"/>
        <v xml:space="preserve"> </v>
      </c>
    </row>
    <row r="133" spans="1:13" x14ac:dyDescent="0.25">
      <c r="A133" s="34" t="str">
        <f t="shared" si="5"/>
        <v xml:space="preserve"> </v>
      </c>
      <c r="D133" s="33"/>
      <c r="E133" s="33"/>
      <c r="J133" s="14">
        <f t="shared" si="8"/>
        <v>0</v>
      </c>
      <c r="K133" s="2" t="str">
        <f t="shared" si="9"/>
        <v xml:space="preserve"> </v>
      </c>
      <c r="L133" s="2" t="str">
        <f t="shared" si="6"/>
        <v xml:space="preserve"> </v>
      </c>
      <c r="M133" s="2" t="str">
        <f t="shared" si="7"/>
        <v xml:space="preserve"> </v>
      </c>
    </row>
    <row r="134" spans="1:13" x14ac:dyDescent="0.25">
      <c r="A134" s="34" t="str">
        <f t="shared" si="5"/>
        <v xml:space="preserve"> </v>
      </c>
      <c r="D134" s="33"/>
      <c r="E134" s="33"/>
      <c r="J134" s="14">
        <f t="shared" si="8"/>
        <v>0</v>
      </c>
      <c r="K134" s="2" t="str">
        <f t="shared" si="9"/>
        <v xml:space="preserve"> </v>
      </c>
      <c r="L134" s="2" t="str">
        <f t="shared" si="6"/>
        <v xml:space="preserve"> </v>
      </c>
      <c r="M134" s="2" t="str">
        <f t="shared" si="7"/>
        <v xml:space="preserve"> </v>
      </c>
    </row>
    <row r="135" spans="1:13" x14ac:dyDescent="0.25">
      <c r="A135" s="34" t="str">
        <f t="shared" si="5"/>
        <v xml:space="preserve"> </v>
      </c>
      <c r="D135" s="33"/>
      <c r="E135" s="33"/>
      <c r="J135" s="14">
        <f t="shared" si="8"/>
        <v>0</v>
      </c>
      <c r="K135" s="2" t="str">
        <f t="shared" si="9"/>
        <v xml:space="preserve"> </v>
      </c>
      <c r="L135" s="2" t="str">
        <f t="shared" si="6"/>
        <v xml:space="preserve"> </v>
      </c>
      <c r="M135" s="2" t="str">
        <f t="shared" si="7"/>
        <v xml:space="preserve"> </v>
      </c>
    </row>
    <row r="136" spans="1:13" x14ac:dyDescent="0.25">
      <c r="A136" s="34" t="str">
        <f t="shared" si="5"/>
        <v xml:space="preserve"> </v>
      </c>
      <c r="D136" s="33"/>
      <c r="E136" s="33"/>
      <c r="J136" s="14">
        <f t="shared" si="8"/>
        <v>0</v>
      </c>
      <c r="K136" s="2" t="str">
        <f t="shared" si="9"/>
        <v xml:space="preserve"> </v>
      </c>
      <c r="L136" s="2" t="str">
        <f t="shared" si="6"/>
        <v xml:space="preserve"> </v>
      </c>
      <c r="M136" s="2" t="str">
        <f t="shared" si="7"/>
        <v xml:space="preserve"> </v>
      </c>
    </row>
    <row r="137" spans="1:13" x14ac:dyDescent="0.25">
      <c r="A137" s="34" t="str">
        <f t="shared" si="5"/>
        <v xml:space="preserve"> </v>
      </c>
      <c r="D137" s="33"/>
      <c r="E137" s="33"/>
      <c r="J137" s="14">
        <f t="shared" si="8"/>
        <v>0</v>
      </c>
      <c r="K137" s="2" t="str">
        <f t="shared" si="9"/>
        <v xml:space="preserve"> </v>
      </c>
      <c r="L137" s="2" t="str">
        <f t="shared" si="6"/>
        <v xml:space="preserve"> </v>
      </c>
      <c r="M137" s="2" t="str">
        <f t="shared" si="7"/>
        <v xml:space="preserve"> </v>
      </c>
    </row>
    <row r="138" spans="1:13" x14ac:dyDescent="0.25">
      <c r="A138" s="34" t="str">
        <f t="shared" si="5"/>
        <v xml:space="preserve"> </v>
      </c>
      <c r="D138" s="33"/>
      <c r="E138" s="33"/>
      <c r="J138" s="14">
        <f t="shared" si="8"/>
        <v>0</v>
      </c>
      <c r="K138" s="2" t="str">
        <f t="shared" si="9"/>
        <v xml:space="preserve"> </v>
      </c>
      <c r="L138" s="2" t="str">
        <f t="shared" si="6"/>
        <v xml:space="preserve"> </v>
      </c>
      <c r="M138" s="2" t="str">
        <f t="shared" si="7"/>
        <v xml:space="preserve"> </v>
      </c>
    </row>
    <row r="139" spans="1:13" x14ac:dyDescent="0.25">
      <c r="A139" s="34" t="str">
        <f t="shared" si="5"/>
        <v xml:space="preserve"> </v>
      </c>
      <c r="D139" s="33"/>
      <c r="E139" s="33"/>
      <c r="J139" s="14">
        <f t="shared" si="8"/>
        <v>0</v>
      </c>
      <c r="K139" s="2" t="str">
        <f t="shared" si="9"/>
        <v xml:space="preserve"> </v>
      </c>
      <c r="L139" s="2" t="str">
        <f t="shared" si="6"/>
        <v xml:space="preserve"> </v>
      </c>
      <c r="M139" s="2" t="str">
        <f t="shared" si="7"/>
        <v xml:space="preserve"> </v>
      </c>
    </row>
    <row r="140" spans="1:13" x14ac:dyDescent="0.25">
      <c r="A140" s="34" t="str">
        <f t="shared" si="5"/>
        <v xml:space="preserve"> </v>
      </c>
      <c r="D140" s="33"/>
      <c r="E140" s="33"/>
      <c r="J140" s="14">
        <f t="shared" si="8"/>
        <v>0</v>
      </c>
      <c r="K140" s="2" t="str">
        <f t="shared" si="9"/>
        <v xml:space="preserve"> </v>
      </c>
      <c r="L140" s="2" t="str">
        <f t="shared" si="6"/>
        <v xml:space="preserve"> </v>
      </c>
      <c r="M140" s="2" t="str">
        <f t="shared" si="7"/>
        <v xml:space="preserve"> </v>
      </c>
    </row>
    <row r="141" spans="1:13" x14ac:dyDescent="0.25">
      <c r="A141" s="34" t="str">
        <f t="shared" si="5"/>
        <v xml:space="preserve"> </v>
      </c>
      <c r="D141" s="33"/>
      <c r="E141" s="33"/>
      <c r="J141" s="14">
        <f t="shared" si="8"/>
        <v>0</v>
      </c>
      <c r="K141" s="2" t="str">
        <f t="shared" si="9"/>
        <v xml:space="preserve"> </v>
      </c>
      <c r="L141" s="2" t="str">
        <f t="shared" si="6"/>
        <v xml:space="preserve"> </v>
      </c>
      <c r="M141" s="2" t="str">
        <f t="shared" si="7"/>
        <v xml:space="preserve"> </v>
      </c>
    </row>
    <row r="142" spans="1:13" x14ac:dyDescent="0.25">
      <c r="A142" s="34" t="str">
        <f t="shared" si="5"/>
        <v xml:space="preserve"> </v>
      </c>
      <c r="D142" s="33"/>
      <c r="E142" s="33"/>
      <c r="J142" s="14">
        <f t="shared" si="8"/>
        <v>0</v>
      </c>
      <c r="K142" s="2" t="str">
        <f t="shared" si="9"/>
        <v xml:space="preserve"> </v>
      </c>
      <c r="L142" s="2" t="str">
        <f t="shared" si="6"/>
        <v xml:space="preserve"> </v>
      </c>
      <c r="M142" s="2" t="str">
        <f t="shared" si="7"/>
        <v xml:space="preserve"> </v>
      </c>
    </row>
    <row r="143" spans="1:13" x14ac:dyDescent="0.25">
      <c r="A143" s="34" t="str">
        <f t="shared" ref="A143:A206" si="10">IF(COUNTIF(K143:M143,"ERROR")&gt;0,"ERROR"," ")</f>
        <v xml:space="preserve"> </v>
      </c>
      <c r="D143" s="33"/>
      <c r="E143" s="33"/>
      <c r="J143" s="14">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x14ac:dyDescent="0.25">
      <c r="A144" s="34" t="str">
        <f t="shared" si="10"/>
        <v xml:space="preserve"> </v>
      </c>
      <c r="D144" s="33"/>
      <c r="E144" s="33"/>
      <c r="J144" s="14">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4" t="str">
        <f t="shared" si="10"/>
        <v xml:space="preserve"> </v>
      </c>
      <c r="D145" s="33"/>
      <c r="E145" s="33"/>
      <c r="J145" s="14">
        <f t="shared" si="13"/>
        <v>0</v>
      </c>
      <c r="K145" s="2" t="str">
        <f t="shared" si="14"/>
        <v xml:space="preserve"> </v>
      </c>
      <c r="L145" s="2" t="str">
        <f t="shared" si="11"/>
        <v xml:space="preserve"> </v>
      </c>
      <c r="M145" s="2" t="str">
        <f t="shared" si="12"/>
        <v xml:space="preserve"> </v>
      </c>
    </row>
    <row r="146" spans="1:13" x14ac:dyDescent="0.25">
      <c r="A146" s="34" t="str">
        <f t="shared" si="10"/>
        <v xml:space="preserve"> </v>
      </c>
      <c r="D146" s="33"/>
      <c r="E146" s="33"/>
      <c r="J146" s="14">
        <f t="shared" si="13"/>
        <v>0</v>
      </c>
      <c r="K146" s="2" t="str">
        <f t="shared" si="14"/>
        <v xml:space="preserve"> </v>
      </c>
      <c r="L146" s="2" t="str">
        <f t="shared" si="11"/>
        <v xml:space="preserve"> </v>
      </c>
      <c r="M146" s="2" t="str">
        <f t="shared" si="12"/>
        <v xml:space="preserve"> </v>
      </c>
    </row>
    <row r="147" spans="1:13" x14ac:dyDescent="0.25">
      <c r="A147" s="34" t="str">
        <f t="shared" si="10"/>
        <v xml:space="preserve"> </v>
      </c>
      <c r="D147" s="33"/>
      <c r="E147" s="33"/>
      <c r="J147" s="14">
        <f t="shared" si="13"/>
        <v>0</v>
      </c>
      <c r="K147" s="2" t="str">
        <f t="shared" si="14"/>
        <v xml:space="preserve"> </v>
      </c>
      <c r="L147" s="2" t="str">
        <f t="shared" si="11"/>
        <v xml:space="preserve"> </v>
      </c>
      <c r="M147" s="2" t="str">
        <f t="shared" si="12"/>
        <v xml:space="preserve"> </v>
      </c>
    </row>
    <row r="148" spans="1:13" x14ac:dyDescent="0.25">
      <c r="A148" s="34" t="str">
        <f t="shared" si="10"/>
        <v xml:space="preserve"> </v>
      </c>
      <c r="D148" s="33"/>
      <c r="E148" s="33"/>
      <c r="J148" s="14">
        <f t="shared" si="13"/>
        <v>0</v>
      </c>
      <c r="K148" s="2" t="str">
        <f t="shared" si="14"/>
        <v xml:space="preserve"> </v>
      </c>
      <c r="L148" s="2" t="str">
        <f t="shared" si="11"/>
        <v xml:space="preserve"> </v>
      </c>
      <c r="M148" s="2" t="str">
        <f t="shared" si="12"/>
        <v xml:space="preserve"> </v>
      </c>
    </row>
    <row r="149" spans="1:13" x14ac:dyDescent="0.25">
      <c r="A149" s="34" t="str">
        <f t="shared" si="10"/>
        <v xml:space="preserve"> </v>
      </c>
      <c r="D149" s="33"/>
      <c r="E149" s="33"/>
      <c r="J149" s="14">
        <f t="shared" si="13"/>
        <v>0</v>
      </c>
      <c r="K149" s="2" t="str">
        <f t="shared" si="14"/>
        <v xml:space="preserve"> </v>
      </c>
      <c r="L149" s="2" t="str">
        <f t="shared" si="11"/>
        <v xml:space="preserve"> </v>
      </c>
      <c r="M149" s="2" t="str">
        <f t="shared" si="12"/>
        <v xml:space="preserve"> </v>
      </c>
    </row>
    <row r="150" spans="1:13" x14ac:dyDescent="0.25">
      <c r="A150" s="34" t="str">
        <f t="shared" si="10"/>
        <v xml:space="preserve"> </v>
      </c>
      <c r="D150" s="33"/>
      <c r="E150" s="33"/>
      <c r="J150" s="14">
        <f t="shared" si="13"/>
        <v>0</v>
      </c>
      <c r="K150" s="2" t="str">
        <f t="shared" si="14"/>
        <v xml:space="preserve"> </v>
      </c>
      <c r="L150" s="2" t="str">
        <f t="shared" si="11"/>
        <v xml:space="preserve"> </v>
      </c>
      <c r="M150" s="2" t="str">
        <f t="shared" si="12"/>
        <v xml:space="preserve"> </v>
      </c>
    </row>
    <row r="151" spans="1:13" x14ac:dyDescent="0.25">
      <c r="A151" s="34" t="str">
        <f t="shared" si="10"/>
        <v xml:space="preserve"> </v>
      </c>
      <c r="D151" s="33"/>
      <c r="E151" s="33"/>
      <c r="J151" s="14">
        <f t="shared" si="13"/>
        <v>0</v>
      </c>
      <c r="K151" s="2" t="str">
        <f t="shared" si="14"/>
        <v xml:space="preserve"> </v>
      </c>
      <c r="L151" s="2" t="str">
        <f t="shared" si="11"/>
        <v xml:space="preserve"> </v>
      </c>
      <c r="M151" s="2" t="str">
        <f t="shared" si="12"/>
        <v xml:space="preserve"> </v>
      </c>
    </row>
    <row r="152" spans="1:13" x14ac:dyDescent="0.25">
      <c r="A152" s="34" t="str">
        <f t="shared" si="10"/>
        <v xml:space="preserve"> </v>
      </c>
      <c r="D152" s="33"/>
      <c r="E152" s="33"/>
      <c r="J152" s="14">
        <f t="shared" si="13"/>
        <v>0</v>
      </c>
      <c r="K152" s="2" t="str">
        <f t="shared" si="14"/>
        <v xml:space="preserve"> </v>
      </c>
      <c r="L152" s="2" t="str">
        <f t="shared" si="11"/>
        <v xml:space="preserve"> </v>
      </c>
      <c r="M152" s="2" t="str">
        <f t="shared" si="12"/>
        <v xml:space="preserve"> </v>
      </c>
    </row>
    <row r="153" spans="1:13" x14ac:dyDescent="0.25">
      <c r="A153" s="34" t="str">
        <f t="shared" si="10"/>
        <v xml:space="preserve"> </v>
      </c>
      <c r="D153" s="33"/>
      <c r="E153" s="33"/>
      <c r="J153" s="14">
        <f t="shared" si="13"/>
        <v>0</v>
      </c>
      <c r="K153" s="2" t="str">
        <f t="shared" si="14"/>
        <v xml:space="preserve"> </v>
      </c>
      <c r="L153" s="2" t="str">
        <f t="shared" si="11"/>
        <v xml:space="preserve"> </v>
      </c>
      <c r="M153" s="2" t="str">
        <f t="shared" si="12"/>
        <v xml:space="preserve"> </v>
      </c>
    </row>
    <row r="154" spans="1:13" x14ac:dyDescent="0.25">
      <c r="A154" s="34" t="str">
        <f t="shared" si="10"/>
        <v xml:space="preserve"> </v>
      </c>
      <c r="D154" s="33"/>
      <c r="E154" s="33"/>
      <c r="J154" s="14">
        <f t="shared" si="13"/>
        <v>0</v>
      </c>
      <c r="K154" s="2" t="str">
        <f t="shared" si="14"/>
        <v xml:space="preserve"> </v>
      </c>
      <c r="L154" s="2" t="str">
        <f t="shared" si="11"/>
        <v xml:space="preserve"> </v>
      </c>
      <c r="M154" s="2" t="str">
        <f t="shared" si="12"/>
        <v xml:space="preserve"> </v>
      </c>
    </row>
    <row r="155" spans="1:13" x14ac:dyDescent="0.25">
      <c r="A155" s="34" t="str">
        <f t="shared" si="10"/>
        <v xml:space="preserve"> </v>
      </c>
      <c r="D155" s="33"/>
      <c r="E155" s="33"/>
      <c r="J155" s="14">
        <f t="shared" si="13"/>
        <v>0</v>
      </c>
      <c r="K155" s="2" t="str">
        <f t="shared" si="14"/>
        <v xml:space="preserve"> </v>
      </c>
      <c r="L155" s="2" t="str">
        <f t="shared" si="11"/>
        <v xml:space="preserve"> </v>
      </c>
      <c r="M155" s="2" t="str">
        <f t="shared" si="12"/>
        <v xml:space="preserve"> </v>
      </c>
    </row>
    <row r="156" spans="1:13" x14ac:dyDescent="0.25">
      <c r="A156" s="34" t="str">
        <f t="shared" si="10"/>
        <v xml:space="preserve"> </v>
      </c>
      <c r="D156" s="33"/>
      <c r="E156" s="33"/>
      <c r="J156" s="14">
        <f t="shared" si="13"/>
        <v>0</v>
      </c>
      <c r="K156" s="2" t="str">
        <f t="shared" si="14"/>
        <v xml:space="preserve"> </v>
      </c>
      <c r="L156" s="2" t="str">
        <f t="shared" si="11"/>
        <v xml:space="preserve"> </v>
      </c>
      <c r="M156" s="2" t="str">
        <f t="shared" si="12"/>
        <v xml:space="preserve"> </v>
      </c>
    </row>
    <row r="157" spans="1:13" x14ac:dyDescent="0.25">
      <c r="A157" s="34" t="str">
        <f t="shared" si="10"/>
        <v xml:space="preserve"> </v>
      </c>
      <c r="D157" s="33"/>
      <c r="E157" s="33"/>
      <c r="J157" s="14">
        <f t="shared" si="13"/>
        <v>0</v>
      </c>
      <c r="K157" s="2" t="str">
        <f t="shared" si="14"/>
        <v xml:space="preserve"> </v>
      </c>
      <c r="L157" s="2" t="str">
        <f t="shared" si="11"/>
        <v xml:space="preserve"> </v>
      </c>
      <c r="M157" s="2" t="str">
        <f t="shared" si="12"/>
        <v xml:space="preserve"> </v>
      </c>
    </row>
    <row r="158" spans="1:13" x14ac:dyDescent="0.25">
      <c r="A158" s="34" t="str">
        <f t="shared" si="10"/>
        <v xml:space="preserve"> </v>
      </c>
      <c r="D158" s="33"/>
      <c r="E158" s="33"/>
      <c r="J158" s="14">
        <f t="shared" si="13"/>
        <v>0</v>
      </c>
      <c r="K158" s="2" t="str">
        <f t="shared" si="14"/>
        <v xml:space="preserve"> </v>
      </c>
      <c r="L158" s="2" t="str">
        <f t="shared" si="11"/>
        <v xml:space="preserve"> </v>
      </c>
      <c r="M158" s="2" t="str">
        <f t="shared" si="12"/>
        <v xml:space="preserve"> </v>
      </c>
    </row>
    <row r="159" spans="1:13" x14ac:dyDescent="0.25">
      <c r="A159" s="34" t="str">
        <f t="shared" si="10"/>
        <v xml:space="preserve"> </v>
      </c>
      <c r="D159" s="33"/>
      <c r="E159" s="33"/>
      <c r="J159" s="14">
        <f t="shared" si="13"/>
        <v>0</v>
      </c>
      <c r="K159" s="2" t="str">
        <f t="shared" si="14"/>
        <v xml:space="preserve"> </v>
      </c>
      <c r="L159" s="2" t="str">
        <f t="shared" si="11"/>
        <v xml:space="preserve"> </v>
      </c>
      <c r="M159" s="2" t="str">
        <f t="shared" si="12"/>
        <v xml:space="preserve"> </v>
      </c>
    </row>
    <row r="160" spans="1:13" x14ac:dyDescent="0.25">
      <c r="A160" s="34" t="str">
        <f t="shared" si="10"/>
        <v xml:space="preserve"> </v>
      </c>
      <c r="D160" s="33"/>
      <c r="E160" s="33"/>
      <c r="J160" s="14">
        <f t="shared" si="13"/>
        <v>0</v>
      </c>
      <c r="K160" s="2" t="str">
        <f t="shared" si="14"/>
        <v xml:space="preserve"> </v>
      </c>
      <c r="L160" s="2" t="str">
        <f t="shared" si="11"/>
        <v xml:space="preserve"> </v>
      </c>
      <c r="M160" s="2" t="str">
        <f t="shared" si="12"/>
        <v xml:space="preserve"> </v>
      </c>
    </row>
    <row r="161" spans="1:13" x14ac:dyDescent="0.25">
      <c r="A161" s="34" t="str">
        <f t="shared" si="10"/>
        <v xml:space="preserve"> </v>
      </c>
      <c r="D161" s="33"/>
      <c r="E161" s="33"/>
      <c r="J161" s="14">
        <f t="shared" si="13"/>
        <v>0</v>
      </c>
      <c r="K161" s="2" t="str">
        <f t="shared" si="14"/>
        <v xml:space="preserve"> </v>
      </c>
      <c r="L161" s="2" t="str">
        <f t="shared" si="11"/>
        <v xml:space="preserve"> </v>
      </c>
      <c r="M161" s="2" t="str">
        <f t="shared" si="12"/>
        <v xml:space="preserve"> </v>
      </c>
    </row>
    <row r="162" spans="1:13" x14ac:dyDescent="0.25">
      <c r="A162" s="34" t="str">
        <f t="shared" si="10"/>
        <v xml:space="preserve"> </v>
      </c>
      <c r="D162" s="33"/>
      <c r="E162" s="33"/>
      <c r="J162" s="14">
        <f t="shared" si="13"/>
        <v>0</v>
      </c>
      <c r="K162" s="2" t="str">
        <f t="shared" si="14"/>
        <v xml:space="preserve"> </v>
      </c>
      <c r="L162" s="2" t="str">
        <f t="shared" si="11"/>
        <v xml:space="preserve"> </v>
      </c>
      <c r="M162" s="2" t="str">
        <f t="shared" si="12"/>
        <v xml:space="preserve"> </v>
      </c>
    </row>
    <row r="163" spans="1:13" x14ac:dyDescent="0.25">
      <c r="A163" s="34" t="str">
        <f t="shared" si="10"/>
        <v xml:space="preserve"> </v>
      </c>
      <c r="D163" s="33"/>
      <c r="E163" s="33"/>
      <c r="J163" s="14">
        <f t="shared" si="13"/>
        <v>0</v>
      </c>
      <c r="K163" s="2" t="str">
        <f t="shared" si="14"/>
        <v xml:space="preserve"> </v>
      </c>
      <c r="L163" s="2" t="str">
        <f t="shared" si="11"/>
        <v xml:space="preserve"> </v>
      </c>
      <c r="M163" s="2" t="str">
        <f t="shared" si="12"/>
        <v xml:space="preserve"> </v>
      </c>
    </row>
    <row r="164" spans="1:13" x14ac:dyDescent="0.25">
      <c r="A164" s="34" t="str">
        <f t="shared" si="10"/>
        <v xml:space="preserve"> </v>
      </c>
      <c r="D164" s="33"/>
      <c r="E164" s="33"/>
      <c r="J164" s="14">
        <f t="shared" si="13"/>
        <v>0</v>
      </c>
      <c r="K164" s="2" t="str">
        <f t="shared" si="14"/>
        <v xml:space="preserve"> </v>
      </c>
      <c r="L164" s="2" t="str">
        <f t="shared" si="11"/>
        <v xml:space="preserve"> </v>
      </c>
      <c r="M164" s="2" t="str">
        <f t="shared" si="12"/>
        <v xml:space="preserve"> </v>
      </c>
    </row>
    <row r="165" spans="1:13" x14ac:dyDescent="0.25">
      <c r="A165" s="34" t="str">
        <f t="shared" si="10"/>
        <v xml:space="preserve"> </v>
      </c>
      <c r="D165" s="33"/>
      <c r="E165" s="33"/>
      <c r="J165" s="14">
        <f t="shared" si="13"/>
        <v>0</v>
      </c>
      <c r="K165" s="2" t="str">
        <f t="shared" si="14"/>
        <v xml:space="preserve"> </v>
      </c>
      <c r="L165" s="2" t="str">
        <f t="shared" si="11"/>
        <v xml:space="preserve"> </v>
      </c>
      <c r="M165" s="2" t="str">
        <f t="shared" si="12"/>
        <v xml:space="preserve"> </v>
      </c>
    </row>
    <row r="166" spans="1:13" x14ac:dyDescent="0.25">
      <c r="A166" s="34" t="str">
        <f t="shared" si="10"/>
        <v xml:space="preserve"> </v>
      </c>
      <c r="D166" s="33"/>
      <c r="E166" s="33"/>
      <c r="J166" s="14">
        <f t="shared" si="13"/>
        <v>0</v>
      </c>
      <c r="K166" s="2" t="str">
        <f t="shared" si="14"/>
        <v xml:space="preserve"> </v>
      </c>
      <c r="L166" s="2" t="str">
        <f t="shared" si="11"/>
        <v xml:space="preserve"> </v>
      </c>
      <c r="M166" s="2" t="str">
        <f t="shared" si="12"/>
        <v xml:space="preserve"> </v>
      </c>
    </row>
    <row r="167" spans="1:13" x14ac:dyDescent="0.25">
      <c r="A167" s="34" t="str">
        <f t="shared" si="10"/>
        <v xml:space="preserve"> </v>
      </c>
      <c r="D167" s="33"/>
      <c r="E167" s="33"/>
      <c r="J167" s="14">
        <f t="shared" si="13"/>
        <v>0</v>
      </c>
      <c r="K167" s="2" t="str">
        <f t="shared" si="14"/>
        <v xml:space="preserve"> </v>
      </c>
      <c r="L167" s="2" t="str">
        <f t="shared" si="11"/>
        <v xml:space="preserve"> </v>
      </c>
      <c r="M167" s="2" t="str">
        <f t="shared" si="12"/>
        <v xml:space="preserve"> </v>
      </c>
    </row>
    <row r="168" spans="1:13" x14ac:dyDescent="0.25">
      <c r="A168" s="34" t="str">
        <f t="shared" si="10"/>
        <v xml:space="preserve"> </v>
      </c>
      <c r="D168" s="33"/>
      <c r="E168" s="33"/>
      <c r="J168" s="14">
        <f t="shared" si="13"/>
        <v>0</v>
      </c>
      <c r="K168" s="2" t="str">
        <f t="shared" si="14"/>
        <v xml:space="preserve"> </v>
      </c>
      <c r="L168" s="2" t="str">
        <f t="shared" si="11"/>
        <v xml:space="preserve"> </v>
      </c>
      <c r="M168" s="2" t="str">
        <f t="shared" si="12"/>
        <v xml:space="preserve"> </v>
      </c>
    </row>
    <row r="169" spans="1:13" x14ac:dyDescent="0.25">
      <c r="A169" s="34" t="str">
        <f t="shared" si="10"/>
        <v xml:space="preserve"> </v>
      </c>
      <c r="D169" s="33"/>
      <c r="E169" s="33"/>
      <c r="J169" s="14">
        <f t="shared" si="13"/>
        <v>0</v>
      </c>
      <c r="K169" s="2" t="str">
        <f t="shared" si="14"/>
        <v xml:space="preserve"> </v>
      </c>
      <c r="L169" s="2" t="str">
        <f t="shared" si="11"/>
        <v xml:space="preserve"> </v>
      </c>
      <c r="M169" s="2" t="str">
        <f t="shared" si="12"/>
        <v xml:space="preserve"> </v>
      </c>
    </row>
    <row r="170" spans="1:13" x14ac:dyDescent="0.25">
      <c r="A170" s="34" t="str">
        <f t="shared" si="10"/>
        <v xml:space="preserve"> </v>
      </c>
      <c r="D170" s="33"/>
      <c r="E170" s="33"/>
      <c r="J170" s="14">
        <f t="shared" si="13"/>
        <v>0</v>
      </c>
      <c r="K170" s="2" t="str">
        <f t="shared" si="14"/>
        <v xml:space="preserve"> </v>
      </c>
      <c r="L170" s="2" t="str">
        <f t="shared" si="11"/>
        <v xml:space="preserve"> </v>
      </c>
      <c r="M170" s="2" t="str">
        <f t="shared" si="12"/>
        <v xml:space="preserve"> </v>
      </c>
    </row>
    <row r="171" spans="1:13" x14ac:dyDescent="0.25">
      <c r="A171" s="34" t="str">
        <f t="shared" si="10"/>
        <v xml:space="preserve"> </v>
      </c>
      <c r="D171" s="33"/>
      <c r="E171" s="33"/>
      <c r="J171" s="14">
        <f t="shared" si="13"/>
        <v>0</v>
      </c>
      <c r="K171" s="2" t="str">
        <f t="shared" si="14"/>
        <v xml:space="preserve"> </v>
      </c>
      <c r="L171" s="2" t="str">
        <f t="shared" si="11"/>
        <v xml:space="preserve"> </v>
      </c>
      <c r="M171" s="2" t="str">
        <f t="shared" si="12"/>
        <v xml:space="preserve"> </v>
      </c>
    </row>
    <row r="172" spans="1:13" x14ac:dyDescent="0.25">
      <c r="A172" s="34" t="str">
        <f t="shared" si="10"/>
        <v xml:space="preserve"> </v>
      </c>
      <c r="D172" s="33"/>
      <c r="E172" s="33"/>
      <c r="J172" s="14">
        <f t="shared" si="13"/>
        <v>0</v>
      </c>
      <c r="K172" s="2" t="str">
        <f t="shared" si="14"/>
        <v xml:space="preserve"> </v>
      </c>
      <c r="L172" s="2" t="str">
        <f t="shared" si="11"/>
        <v xml:space="preserve"> </v>
      </c>
      <c r="M172" s="2" t="str">
        <f t="shared" si="12"/>
        <v xml:space="preserve"> </v>
      </c>
    </row>
    <row r="173" spans="1:13" x14ac:dyDescent="0.25">
      <c r="A173" s="34" t="str">
        <f t="shared" si="10"/>
        <v xml:space="preserve"> </v>
      </c>
      <c r="D173" s="33"/>
      <c r="E173" s="33"/>
      <c r="J173" s="14">
        <f t="shared" si="13"/>
        <v>0</v>
      </c>
      <c r="K173" s="2" t="str">
        <f t="shared" si="14"/>
        <v xml:space="preserve"> </v>
      </c>
      <c r="L173" s="2" t="str">
        <f t="shared" si="11"/>
        <v xml:space="preserve"> </v>
      </c>
      <c r="M173" s="2" t="str">
        <f t="shared" si="12"/>
        <v xml:space="preserve"> </v>
      </c>
    </row>
    <row r="174" spans="1:13" x14ac:dyDescent="0.25">
      <c r="A174" s="34" t="str">
        <f t="shared" si="10"/>
        <v xml:space="preserve"> </v>
      </c>
      <c r="D174" s="33"/>
      <c r="E174" s="33"/>
      <c r="J174" s="14">
        <f t="shared" si="13"/>
        <v>0</v>
      </c>
      <c r="K174" s="2" t="str">
        <f t="shared" si="14"/>
        <v xml:space="preserve"> </v>
      </c>
      <c r="L174" s="2" t="str">
        <f t="shared" si="11"/>
        <v xml:space="preserve"> </v>
      </c>
      <c r="M174" s="2" t="str">
        <f t="shared" si="12"/>
        <v xml:space="preserve"> </v>
      </c>
    </row>
    <row r="175" spans="1:13" x14ac:dyDescent="0.25">
      <c r="A175" s="34" t="str">
        <f t="shared" si="10"/>
        <v xml:space="preserve"> </v>
      </c>
      <c r="D175" s="33"/>
      <c r="E175" s="33"/>
      <c r="J175" s="14">
        <f t="shared" si="13"/>
        <v>0</v>
      </c>
      <c r="K175" s="2" t="str">
        <f t="shared" si="14"/>
        <v xml:space="preserve"> </v>
      </c>
      <c r="L175" s="2" t="str">
        <f t="shared" si="11"/>
        <v xml:space="preserve"> </v>
      </c>
      <c r="M175" s="2" t="str">
        <f t="shared" si="12"/>
        <v xml:space="preserve"> </v>
      </c>
    </row>
    <row r="176" spans="1:13" x14ac:dyDescent="0.25">
      <c r="A176" s="34" t="str">
        <f t="shared" si="10"/>
        <v xml:space="preserve"> </v>
      </c>
      <c r="D176" s="33"/>
      <c r="E176" s="33"/>
      <c r="J176" s="14">
        <f t="shared" si="13"/>
        <v>0</v>
      </c>
      <c r="K176" s="2" t="str">
        <f t="shared" si="14"/>
        <v xml:space="preserve"> </v>
      </c>
      <c r="L176" s="2" t="str">
        <f t="shared" si="11"/>
        <v xml:space="preserve"> </v>
      </c>
      <c r="M176" s="2" t="str">
        <f t="shared" si="12"/>
        <v xml:space="preserve"> </v>
      </c>
    </row>
    <row r="177" spans="1:13" x14ac:dyDescent="0.25">
      <c r="A177" s="34" t="str">
        <f t="shared" si="10"/>
        <v xml:space="preserve"> </v>
      </c>
      <c r="D177" s="33"/>
      <c r="E177" s="33"/>
      <c r="J177" s="14">
        <f t="shared" si="13"/>
        <v>0</v>
      </c>
      <c r="K177" s="2" t="str">
        <f t="shared" si="14"/>
        <v xml:space="preserve"> </v>
      </c>
      <c r="L177" s="2" t="str">
        <f t="shared" si="11"/>
        <v xml:space="preserve"> </v>
      </c>
      <c r="M177" s="2" t="str">
        <f t="shared" si="12"/>
        <v xml:space="preserve"> </v>
      </c>
    </row>
    <row r="178" spans="1:13" x14ac:dyDescent="0.25">
      <c r="A178" s="34" t="str">
        <f t="shared" si="10"/>
        <v xml:space="preserve"> </v>
      </c>
      <c r="D178" s="33"/>
      <c r="E178" s="33"/>
      <c r="J178" s="14">
        <f t="shared" si="13"/>
        <v>0</v>
      </c>
      <c r="K178" s="2" t="str">
        <f t="shared" si="14"/>
        <v xml:space="preserve"> </v>
      </c>
      <c r="L178" s="2" t="str">
        <f t="shared" si="11"/>
        <v xml:space="preserve"> </v>
      </c>
      <c r="M178" s="2" t="str">
        <f t="shared" si="12"/>
        <v xml:space="preserve"> </v>
      </c>
    </row>
    <row r="179" spans="1:13" x14ac:dyDescent="0.25">
      <c r="A179" s="34" t="str">
        <f t="shared" si="10"/>
        <v xml:space="preserve"> </v>
      </c>
      <c r="D179" s="33"/>
      <c r="E179" s="33"/>
      <c r="J179" s="14">
        <f t="shared" si="13"/>
        <v>0</v>
      </c>
      <c r="K179" s="2" t="str">
        <f t="shared" si="14"/>
        <v xml:space="preserve"> </v>
      </c>
      <c r="L179" s="2" t="str">
        <f t="shared" si="11"/>
        <v xml:space="preserve"> </v>
      </c>
      <c r="M179" s="2" t="str">
        <f t="shared" si="12"/>
        <v xml:space="preserve"> </v>
      </c>
    </row>
    <row r="180" spans="1:13" x14ac:dyDescent="0.25">
      <c r="A180" s="34" t="str">
        <f t="shared" si="10"/>
        <v xml:space="preserve"> </v>
      </c>
      <c r="D180" s="33"/>
      <c r="E180" s="33"/>
      <c r="J180" s="14">
        <f t="shared" si="13"/>
        <v>0</v>
      </c>
      <c r="K180" s="2" t="str">
        <f t="shared" si="14"/>
        <v xml:space="preserve"> </v>
      </c>
      <c r="L180" s="2" t="str">
        <f t="shared" si="11"/>
        <v xml:space="preserve"> </v>
      </c>
      <c r="M180" s="2" t="str">
        <f t="shared" si="12"/>
        <v xml:space="preserve"> </v>
      </c>
    </row>
    <row r="181" spans="1:13" x14ac:dyDescent="0.25">
      <c r="A181" s="34" t="str">
        <f t="shared" si="10"/>
        <v xml:space="preserve"> </v>
      </c>
      <c r="D181" s="33"/>
      <c r="E181" s="33"/>
      <c r="J181" s="14">
        <f t="shared" si="13"/>
        <v>0</v>
      </c>
      <c r="K181" s="2" t="str">
        <f t="shared" si="14"/>
        <v xml:space="preserve"> </v>
      </c>
      <c r="L181" s="2" t="str">
        <f t="shared" si="11"/>
        <v xml:space="preserve"> </v>
      </c>
      <c r="M181" s="2" t="str">
        <f t="shared" si="12"/>
        <v xml:space="preserve"> </v>
      </c>
    </row>
    <row r="182" spans="1:13" x14ac:dyDescent="0.25">
      <c r="A182" s="34" t="str">
        <f t="shared" si="10"/>
        <v xml:space="preserve"> </v>
      </c>
      <c r="D182" s="33"/>
      <c r="E182" s="33"/>
      <c r="J182" s="14">
        <f t="shared" si="13"/>
        <v>0</v>
      </c>
      <c r="K182" s="2" t="str">
        <f t="shared" si="14"/>
        <v xml:space="preserve"> </v>
      </c>
      <c r="L182" s="2" t="str">
        <f t="shared" si="11"/>
        <v xml:space="preserve"> </v>
      </c>
      <c r="M182" s="2" t="str">
        <f t="shared" si="12"/>
        <v xml:space="preserve"> </v>
      </c>
    </row>
    <row r="183" spans="1:13" x14ac:dyDescent="0.25">
      <c r="A183" s="34" t="str">
        <f t="shared" si="10"/>
        <v xml:space="preserve"> </v>
      </c>
      <c r="D183" s="33"/>
      <c r="E183" s="33"/>
      <c r="J183" s="14">
        <f t="shared" si="13"/>
        <v>0</v>
      </c>
      <c r="K183" s="2" t="str">
        <f t="shared" si="14"/>
        <v xml:space="preserve"> </v>
      </c>
      <c r="L183" s="2" t="str">
        <f t="shared" si="11"/>
        <v xml:space="preserve"> </v>
      </c>
      <c r="M183" s="2" t="str">
        <f t="shared" si="12"/>
        <v xml:space="preserve"> </v>
      </c>
    </row>
    <row r="184" spans="1:13" x14ac:dyDescent="0.25">
      <c r="A184" s="34" t="str">
        <f t="shared" si="10"/>
        <v xml:space="preserve"> </v>
      </c>
      <c r="D184" s="33"/>
      <c r="E184" s="33"/>
      <c r="J184" s="14">
        <f t="shared" si="13"/>
        <v>0</v>
      </c>
      <c r="K184" s="2" t="str">
        <f t="shared" si="14"/>
        <v xml:space="preserve"> </v>
      </c>
      <c r="L184" s="2" t="str">
        <f t="shared" si="11"/>
        <v xml:space="preserve"> </v>
      </c>
      <c r="M184" s="2" t="str">
        <f t="shared" si="12"/>
        <v xml:space="preserve"> </v>
      </c>
    </row>
    <row r="185" spans="1:13" x14ac:dyDescent="0.25">
      <c r="A185" s="34" t="str">
        <f t="shared" si="10"/>
        <v xml:space="preserve"> </v>
      </c>
      <c r="D185" s="33"/>
      <c r="E185" s="33"/>
      <c r="J185" s="14">
        <f t="shared" si="13"/>
        <v>0</v>
      </c>
      <c r="K185" s="2" t="str">
        <f t="shared" si="14"/>
        <v xml:space="preserve"> </v>
      </c>
      <c r="L185" s="2" t="str">
        <f t="shared" si="11"/>
        <v xml:space="preserve"> </v>
      </c>
      <c r="M185" s="2" t="str">
        <f t="shared" si="12"/>
        <v xml:space="preserve"> </v>
      </c>
    </row>
    <row r="186" spans="1:13" x14ac:dyDescent="0.25">
      <c r="A186" s="34" t="str">
        <f t="shared" si="10"/>
        <v xml:space="preserve"> </v>
      </c>
      <c r="D186" s="33"/>
      <c r="E186" s="33"/>
      <c r="J186" s="14">
        <f t="shared" si="13"/>
        <v>0</v>
      </c>
      <c r="K186" s="2" t="str">
        <f t="shared" si="14"/>
        <v xml:space="preserve"> </v>
      </c>
      <c r="L186" s="2" t="str">
        <f t="shared" si="11"/>
        <v xml:space="preserve"> </v>
      </c>
      <c r="M186" s="2" t="str">
        <f t="shared" si="12"/>
        <v xml:space="preserve"> </v>
      </c>
    </row>
    <row r="187" spans="1:13" x14ac:dyDescent="0.25">
      <c r="A187" s="34" t="str">
        <f t="shared" si="10"/>
        <v xml:space="preserve"> </v>
      </c>
      <c r="D187" s="33"/>
      <c r="E187" s="33"/>
      <c r="J187" s="14">
        <f t="shared" si="13"/>
        <v>0</v>
      </c>
      <c r="K187" s="2" t="str">
        <f t="shared" si="14"/>
        <v xml:space="preserve"> </v>
      </c>
      <c r="L187" s="2" t="str">
        <f t="shared" si="11"/>
        <v xml:space="preserve"> </v>
      </c>
      <c r="M187" s="2" t="str">
        <f t="shared" si="12"/>
        <v xml:space="preserve"> </v>
      </c>
    </row>
    <row r="188" spans="1:13" x14ac:dyDescent="0.25">
      <c r="A188" s="34" t="str">
        <f t="shared" si="10"/>
        <v xml:space="preserve"> </v>
      </c>
      <c r="D188" s="33"/>
      <c r="E188" s="33"/>
      <c r="J188" s="14">
        <f t="shared" si="13"/>
        <v>0</v>
      </c>
      <c r="K188" s="2" t="str">
        <f t="shared" si="14"/>
        <v xml:space="preserve"> </v>
      </c>
      <c r="L188" s="2" t="str">
        <f t="shared" si="11"/>
        <v xml:space="preserve"> </v>
      </c>
      <c r="M188" s="2" t="str">
        <f t="shared" si="12"/>
        <v xml:space="preserve"> </v>
      </c>
    </row>
    <row r="189" spans="1:13" x14ac:dyDescent="0.25">
      <c r="A189" s="34" t="str">
        <f t="shared" si="10"/>
        <v xml:space="preserve"> </v>
      </c>
      <c r="D189" s="33"/>
      <c r="E189" s="33"/>
      <c r="J189" s="14">
        <f t="shared" si="13"/>
        <v>0</v>
      </c>
      <c r="K189" s="2" t="str">
        <f t="shared" si="14"/>
        <v xml:space="preserve"> </v>
      </c>
      <c r="L189" s="2" t="str">
        <f t="shared" si="11"/>
        <v xml:space="preserve"> </v>
      </c>
      <c r="M189" s="2" t="str">
        <f t="shared" si="12"/>
        <v xml:space="preserve"> </v>
      </c>
    </row>
    <row r="190" spans="1:13" x14ac:dyDescent="0.25">
      <c r="A190" s="34" t="str">
        <f t="shared" si="10"/>
        <v xml:space="preserve"> </v>
      </c>
      <c r="D190" s="33"/>
      <c r="E190" s="33"/>
      <c r="J190" s="14">
        <f t="shared" si="13"/>
        <v>0</v>
      </c>
      <c r="K190" s="2" t="str">
        <f t="shared" si="14"/>
        <v xml:space="preserve"> </v>
      </c>
      <c r="L190" s="2" t="str">
        <f t="shared" si="11"/>
        <v xml:space="preserve"> </v>
      </c>
      <c r="M190" s="2" t="str">
        <f t="shared" si="12"/>
        <v xml:space="preserve"> </v>
      </c>
    </row>
    <row r="191" spans="1:13" x14ac:dyDescent="0.25">
      <c r="A191" s="34" t="str">
        <f t="shared" si="10"/>
        <v xml:space="preserve"> </v>
      </c>
      <c r="D191" s="33"/>
      <c r="E191" s="33"/>
      <c r="J191" s="14">
        <f t="shared" si="13"/>
        <v>0</v>
      </c>
      <c r="K191" s="2" t="str">
        <f t="shared" si="14"/>
        <v xml:space="preserve"> </v>
      </c>
      <c r="L191" s="2" t="str">
        <f t="shared" si="11"/>
        <v xml:space="preserve"> </v>
      </c>
      <c r="M191" s="2" t="str">
        <f t="shared" si="12"/>
        <v xml:space="preserve"> </v>
      </c>
    </row>
    <row r="192" spans="1:13" x14ac:dyDescent="0.25">
      <c r="A192" s="34" t="str">
        <f t="shared" si="10"/>
        <v xml:space="preserve"> </v>
      </c>
      <c r="D192" s="33"/>
      <c r="E192" s="33"/>
      <c r="J192" s="14">
        <f t="shared" si="13"/>
        <v>0</v>
      </c>
      <c r="K192" s="2" t="str">
        <f t="shared" si="14"/>
        <v xml:space="preserve"> </v>
      </c>
      <c r="L192" s="2" t="str">
        <f t="shared" si="11"/>
        <v xml:space="preserve"> </v>
      </c>
      <c r="M192" s="2" t="str">
        <f t="shared" si="12"/>
        <v xml:space="preserve"> </v>
      </c>
    </row>
    <row r="193" spans="1:13" x14ac:dyDescent="0.25">
      <c r="A193" s="34" t="str">
        <f t="shared" si="10"/>
        <v xml:space="preserve"> </v>
      </c>
      <c r="D193" s="33"/>
      <c r="E193" s="33"/>
      <c r="J193" s="14">
        <f t="shared" si="13"/>
        <v>0</v>
      </c>
      <c r="K193" s="2" t="str">
        <f t="shared" si="14"/>
        <v xml:space="preserve"> </v>
      </c>
      <c r="L193" s="2" t="str">
        <f t="shared" si="11"/>
        <v xml:space="preserve"> </v>
      </c>
      <c r="M193" s="2" t="str">
        <f t="shared" si="12"/>
        <v xml:space="preserve"> </v>
      </c>
    </row>
    <row r="194" spans="1:13" x14ac:dyDescent="0.25">
      <c r="A194" s="34" t="str">
        <f t="shared" si="10"/>
        <v xml:space="preserve"> </v>
      </c>
      <c r="D194" s="33"/>
      <c r="E194" s="33"/>
      <c r="J194" s="14">
        <f t="shared" si="13"/>
        <v>0</v>
      </c>
      <c r="K194" s="2" t="str">
        <f t="shared" si="14"/>
        <v xml:space="preserve"> </v>
      </c>
      <c r="L194" s="2" t="str">
        <f t="shared" si="11"/>
        <v xml:space="preserve"> </v>
      </c>
      <c r="M194" s="2" t="str">
        <f t="shared" si="12"/>
        <v xml:space="preserve"> </v>
      </c>
    </row>
    <row r="195" spans="1:13" x14ac:dyDescent="0.25">
      <c r="A195" s="34" t="str">
        <f t="shared" si="10"/>
        <v xml:space="preserve"> </v>
      </c>
      <c r="D195" s="33"/>
      <c r="E195" s="33"/>
      <c r="J195" s="14">
        <f t="shared" si="13"/>
        <v>0</v>
      </c>
      <c r="K195" s="2" t="str">
        <f t="shared" si="14"/>
        <v xml:space="preserve"> </v>
      </c>
      <c r="L195" s="2" t="str">
        <f t="shared" si="11"/>
        <v xml:space="preserve"> </v>
      </c>
      <c r="M195" s="2" t="str">
        <f t="shared" si="12"/>
        <v xml:space="preserve"> </v>
      </c>
    </row>
    <row r="196" spans="1:13" x14ac:dyDescent="0.25">
      <c r="A196" s="34" t="str">
        <f t="shared" si="10"/>
        <v xml:space="preserve"> </v>
      </c>
      <c r="D196" s="33"/>
      <c r="E196" s="33"/>
      <c r="J196" s="14">
        <f t="shared" si="13"/>
        <v>0</v>
      </c>
      <c r="K196" s="2" t="str">
        <f t="shared" si="14"/>
        <v xml:space="preserve"> </v>
      </c>
      <c r="L196" s="2" t="str">
        <f t="shared" si="11"/>
        <v xml:space="preserve"> </v>
      </c>
      <c r="M196" s="2" t="str">
        <f t="shared" si="12"/>
        <v xml:space="preserve"> </v>
      </c>
    </row>
    <row r="197" spans="1:13" x14ac:dyDescent="0.25">
      <c r="A197" s="34" t="str">
        <f t="shared" si="10"/>
        <v xml:space="preserve"> </v>
      </c>
      <c r="D197" s="33"/>
      <c r="E197" s="33"/>
      <c r="J197" s="14">
        <f t="shared" si="13"/>
        <v>0</v>
      </c>
      <c r="K197" s="2" t="str">
        <f t="shared" si="14"/>
        <v xml:space="preserve"> </v>
      </c>
      <c r="L197" s="2" t="str">
        <f t="shared" si="11"/>
        <v xml:space="preserve"> </v>
      </c>
      <c r="M197" s="2" t="str">
        <f t="shared" si="12"/>
        <v xml:space="preserve"> </v>
      </c>
    </row>
    <row r="198" spans="1:13" x14ac:dyDescent="0.25">
      <c r="A198" s="34" t="str">
        <f t="shared" si="10"/>
        <v xml:space="preserve"> </v>
      </c>
      <c r="D198" s="33"/>
      <c r="E198" s="33"/>
      <c r="J198" s="14">
        <f t="shared" si="13"/>
        <v>0</v>
      </c>
      <c r="K198" s="2" t="str">
        <f t="shared" si="14"/>
        <v xml:space="preserve"> </v>
      </c>
      <c r="L198" s="2" t="str">
        <f t="shared" si="11"/>
        <v xml:space="preserve"> </v>
      </c>
      <c r="M198" s="2" t="str">
        <f t="shared" si="12"/>
        <v xml:space="preserve"> </v>
      </c>
    </row>
    <row r="199" spans="1:13" x14ac:dyDescent="0.25">
      <c r="A199" s="34" t="str">
        <f t="shared" si="10"/>
        <v xml:space="preserve"> </v>
      </c>
      <c r="D199" s="33"/>
      <c r="E199" s="33"/>
      <c r="J199" s="14">
        <f t="shared" si="13"/>
        <v>0</v>
      </c>
      <c r="K199" s="2" t="str">
        <f t="shared" si="14"/>
        <v xml:space="preserve"> </v>
      </c>
      <c r="L199" s="2" t="str">
        <f t="shared" si="11"/>
        <v xml:space="preserve"> </v>
      </c>
      <c r="M199" s="2" t="str">
        <f t="shared" si="12"/>
        <v xml:space="preserve"> </v>
      </c>
    </row>
    <row r="200" spans="1:13" x14ac:dyDescent="0.25">
      <c r="A200" s="34" t="str">
        <f t="shared" si="10"/>
        <v xml:space="preserve"> </v>
      </c>
      <c r="D200" s="33"/>
      <c r="E200" s="33"/>
      <c r="J200" s="14">
        <f t="shared" si="13"/>
        <v>0</v>
      </c>
      <c r="K200" s="2" t="str">
        <f t="shared" si="14"/>
        <v xml:space="preserve"> </v>
      </c>
      <c r="L200" s="2" t="str">
        <f t="shared" si="11"/>
        <v xml:space="preserve"> </v>
      </c>
      <c r="M200" s="2" t="str">
        <f t="shared" si="12"/>
        <v xml:space="preserve"> </v>
      </c>
    </row>
    <row r="201" spans="1:13" x14ac:dyDescent="0.25">
      <c r="A201" s="34" t="str">
        <f t="shared" si="10"/>
        <v xml:space="preserve"> </v>
      </c>
      <c r="D201" s="33"/>
      <c r="E201" s="33"/>
      <c r="J201" s="14">
        <f t="shared" si="13"/>
        <v>0</v>
      </c>
      <c r="K201" s="2" t="str">
        <f t="shared" si="14"/>
        <v xml:space="preserve"> </v>
      </c>
      <c r="L201" s="2" t="str">
        <f t="shared" si="11"/>
        <v xml:space="preserve"> </v>
      </c>
      <c r="M201" s="2" t="str">
        <f t="shared" si="12"/>
        <v xml:space="preserve"> </v>
      </c>
    </row>
    <row r="202" spans="1:13" x14ac:dyDescent="0.25">
      <c r="A202" s="34" t="str">
        <f t="shared" si="10"/>
        <v xml:space="preserve"> </v>
      </c>
      <c r="D202" s="33"/>
      <c r="E202" s="33"/>
      <c r="J202" s="14">
        <f t="shared" si="13"/>
        <v>0</v>
      </c>
      <c r="K202" s="2" t="str">
        <f t="shared" si="14"/>
        <v xml:space="preserve"> </v>
      </c>
      <c r="L202" s="2" t="str">
        <f t="shared" si="11"/>
        <v xml:space="preserve"> </v>
      </c>
      <c r="M202" s="2" t="str">
        <f t="shared" si="12"/>
        <v xml:space="preserve"> </v>
      </c>
    </row>
    <row r="203" spans="1:13" x14ac:dyDescent="0.25">
      <c r="A203" s="34" t="str">
        <f t="shared" si="10"/>
        <v xml:space="preserve"> </v>
      </c>
      <c r="D203" s="33"/>
      <c r="E203" s="33"/>
      <c r="J203" s="14">
        <f t="shared" si="13"/>
        <v>0</v>
      </c>
      <c r="K203" s="2" t="str">
        <f t="shared" si="14"/>
        <v xml:space="preserve"> </v>
      </c>
      <c r="L203" s="2" t="str">
        <f t="shared" si="11"/>
        <v xml:space="preserve"> </v>
      </c>
      <c r="M203" s="2" t="str">
        <f t="shared" si="12"/>
        <v xml:space="preserve"> </v>
      </c>
    </row>
    <row r="204" spans="1:13" x14ac:dyDescent="0.25">
      <c r="A204" s="34" t="str">
        <f t="shared" si="10"/>
        <v xml:space="preserve"> </v>
      </c>
      <c r="D204" s="33"/>
      <c r="E204" s="33"/>
      <c r="J204" s="14">
        <f t="shared" si="13"/>
        <v>0</v>
      </c>
      <c r="K204" s="2" t="str">
        <f t="shared" si="14"/>
        <v xml:space="preserve"> </v>
      </c>
      <c r="L204" s="2" t="str">
        <f t="shared" si="11"/>
        <v xml:space="preserve"> </v>
      </c>
      <c r="M204" s="2" t="str">
        <f t="shared" si="12"/>
        <v xml:space="preserve"> </v>
      </c>
    </row>
    <row r="205" spans="1:13" x14ac:dyDescent="0.25">
      <c r="A205" s="34" t="str">
        <f t="shared" si="10"/>
        <v xml:space="preserve"> </v>
      </c>
      <c r="D205" s="33"/>
      <c r="E205" s="33"/>
      <c r="J205" s="14">
        <f t="shared" si="13"/>
        <v>0</v>
      </c>
      <c r="K205" s="2" t="str">
        <f t="shared" si="14"/>
        <v xml:space="preserve"> </v>
      </c>
      <c r="L205" s="2" t="str">
        <f t="shared" si="11"/>
        <v xml:space="preserve"> </v>
      </c>
      <c r="M205" s="2" t="str">
        <f t="shared" si="12"/>
        <v xml:space="preserve"> </v>
      </c>
    </row>
    <row r="206" spans="1:13" x14ac:dyDescent="0.25">
      <c r="A206" s="34" t="str">
        <f t="shared" si="10"/>
        <v xml:space="preserve"> </v>
      </c>
      <c r="D206" s="33"/>
      <c r="E206" s="33"/>
      <c r="J206" s="14">
        <f t="shared" si="13"/>
        <v>0</v>
      </c>
      <c r="K206" s="2" t="str">
        <f t="shared" si="14"/>
        <v xml:space="preserve"> </v>
      </c>
      <c r="L206" s="2" t="str">
        <f t="shared" si="11"/>
        <v xml:space="preserve"> </v>
      </c>
      <c r="M206" s="2" t="str">
        <f t="shared" si="12"/>
        <v xml:space="preserve"> </v>
      </c>
    </row>
    <row r="207" spans="1:13" x14ac:dyDescent="0.25">
      <c r="A207" s="34" t="str">
        <f t="shared" ref="A207:A270" si="15">IF(COUNTIF(K207:M207,"ERROR")&gt;0,"ERROR"," ")</f>
        <v xml:space="preserve"> </v>
      </c>
      <c r="D207" s="33"/>
      <c r="E207" s="33"/>
      <c r="J207" s="14">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x14ac:dyDescent="0.25">
      <c r="A208" s="34" t="str">
        <f t="shared" si="15"/>
        <v xml:space="preserve"> </v>
      </c>
      <c r="D208" s="33"/>
      <c r="E208" s="33"/>
      <c r="J208" s="14">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4" t="str">
        <f t="shared" si="15"/>
        <v xml:space="preserve"> </v>
      </c>
      <c r="D209" s="33"/>
      <c r="E209" s="33"/>
      <c r="J209" s="14">
        <f t="shared" si="18"/>
        <v>0</v>
      </c>
      <c r="K209" s="2" t="str">
        <f t="shared" si="19"/>
        <v xml:space="preserve"> </v>
      </c>
      <c r="L209" s="2" t="str">
        <f t="shared" si="16"/>
        <v xml:space="preserve"> </v>
      </c>
      <c r="M209" s="2" t="str">
        <f t="shared" si="17"/>
        <v xml:space="preserve"> </v>
      </c>
    </row>
    <row r="210" spans="1:13" x14ac:dyDescent="0.25">
      <c r="A210" s="34" t="str">
        <f t="shared" si="15"/>
        <v xml:space="preserve"> </v>
      </c>
      <c r="D210" s="33"/>
      <c r="E210" s="33"/>
      <c r="J210" s="14">
        <f t="shared" si="18"/>
        <v>0</v>
      </c>
      <c r="K210" s="2" t="str">
        <f t="shared" si="19"/>
        <v xml:space="preserve"> </v>
      </c>
      <c r="L210" s="2" t="str">
        <f t="shared" si="16"/>
        <v xml:space="preserve"> </v>
      </c>
      <c r="M210" s="2" t="str">
        <f t="shared" si="17"/>
        <v xml:space="preserve"> </v>
      </c>
    </row>
    <row r="211" spans="1:13" x14ac:dyDescent="0.25">
      <c r="A211" s="34" t="str">
        <f t="shared" si="15"/>
        <v xml:space="preserve"> </v>
      </c>
      <c r="D211" s="33"/>
      <c r="E211" s="33"/>
      <c r="J211" s="14">
        <f t="shared" si="18"/>
        <v>0</v>
      </c>
      <c r="K211" s="2" t="str">
        <f t="shared" si="19"/>
        <v xml:space="preserve"> </v>
      </c>
      <c r="L211" s="2" t="str">
        <f t="shared" si="16"/>
        <v xml:space="preserve"> </v>
      </c>
      <c r="M211" s="2" t="str">
        <f t="shared" si="17"/>
        <v xml:space="preserve"> </v>
      </c>
    </row>
    <row r="212" spans="1:13" x14ac:dyDescent="0.25">
      <c r="A212" s="34" t="str">
        <f t="shared" si="15"/>
        <v xml:space="preserve"> </v>
      </c>
      <c r="D212" s="33"/>
      <c r="E212" s="33"/>
      <c r="J212" s="14">
        <f t="shared" si="18"/>
        <v>0</v>
      </c>
      <c r="K212" s="2" t="str">
        <f t="shared" si="19"/>
        <v xml:space="preserve"> </v>
      </c>
      <c r="L212" s="2" t="str">
        <f t="shared" si="16"/>
        <v xml:space="preserve"> </v>
      </c>
      <c r="M212" s="2" t="str">
        <f t="shared" si="17"/>
        <v xml:space="preserve"> </v>
      </c>
    </row>
    <row r="213" spans="1:13" x14ac:dyDescent="0.25">
      <c r="A213" s="34" t="str">
        <f t="shared" si="15"/>
        <v xml:space="preserve"> </v>
      </c>
      <c r="D213" s="33"/>
      <c r="E213" s="33"/>
      <c r="J213" s="14">
        <f t="shared" si="18"/>
        <v>0</v>
      </c>
      <c r="K213" s="2" t="str">
        <f t="shared" si="19"/>
        <v xml:space="preserve"> </v>
      </c>
      <c r="L213" s="2" t="str">
        <f t="shared" si="16"/>
        <v xml:space="preserve"> </v>
      </c>
      <c r="M213" s="2" t="str">
        <f t="shared" si="17"/>
        <v xml:space="preserve"> </v>
      </c>
    </row>
    <row r="214" spans="1:13" x14ac:dyDescent="0.25">
      <c r="A214" s="34" t="str">
        <f t="shared" si="15"/>
        <v xml:space="preserve"> </v>
      </c>
      <c r="D214" s="33"/>
      <c r="E214" s="33"/>
      <c r="J214" s="14">
        <f t="shared" si="18"/>
        <v>0</v>
      </c>
      <c r="K214" s="2" t="str">
        <f t="shared" si="19"/>
        <v xml:space="preserve"> </v>
      </c>
      <c r="L214" s="2" t="str">
        <f t="shared" si="16"/>
        <v xml:space="preserve"> </v>
      </c>
      <c r="M214" s="2" t="str">
        <f t="shared" si="17"/>
        <v xml:space="preserve"> </v>
      </c>
    </row>
    <row r="215" spans="1:13" x14ac:dyDescent="0.25">
      <c r="A215" s="34" t="str">
        <f t="shared" si="15"/>
        <v xml:space="preserve"> </v>
      </c>
      <c r="D215" s="33"/>
      <c r="E215" s="33"/>
      <c r="J215" s="14">
        <f t="shared" si="18"/>
        <v>0</v>
      </c>
      <c r="K215" s="2" t="str">
        <f t="shared" si="19"/>
        <v xml:space="preserve"> </v>
      </c>
      <c r="L215" s="2" t="str">
        <f t="shared" si="16"/>
        <v xml:space="preserve"> </v>
      </c>
      <c r="M215" s="2" t="str">
        <f t="shared" si="17"/>
        <v xml:space="preserve"> </v>
      </c>
    </row>
    <row r="216" spans="1:13" x14ac:dyDescent="0.25">
      <c r="A216" s="34" t="str">
        <f t="shared" si="15"/>
        <v xml:space="preserve"> </v>
      </c>
      <c r="D216" s="33"/>
      <c r="E216" s="33"/>
      <c r="J216" s="14">
        <f t="shared" si="18"/>
        <v>0</v>
      </c>
      <c r="K216" s="2" t="str">
        <f t="shared" si="19"/>
        <v xml:space="preserve"> </v>
      </c>
      <c r="L216" s="2" t="str">
        <f t="shared" si="16"/>
        <v xml:space="preserve"> </v>
      </c>
      <c r="M216" s="2" t="str">
        <f t="shared" si="17"/>
        <v xml:space="preserve"> </v>
      </c>
    </row>
    <row r="217" spans="1:13" x14ac:dyDescent="0.25">
      <c r="A217" s="34" t="str">
        <f t="shared" si="15"/>
        <v xml:space="preserve"> </v>
      </c>
      <c r="D217" s="33"/>
      <c r="E217" s="33"/>
      <c r="J217" s="14">
        <f t="shared" si="18"/>
        <v>0</v>
      </c>
      <c r="K217" s="2" t="str">
        <f t="shared" si="19"/>
        <v xml:space="preserve"> </v>
      </c>
      <c r="L217" s="2" t="str">
        <f t="shared" si="16"/>
        <v xml:space="preserve"> </v>
      </c>
      <c r="M217" s="2" t="str">
        <f t="shared" si="17"/>
        <v xml:space="preserve"> </v>
      </c>
    </row>
    <row r="218" spans="1:13" x14ac:dyDescent="0.25">
      <c r="A218" s="34" t="str">
        <f t="shared" si="15"/>
        <v xml:space="preserve"> </v>
      </c>
      <c r="D218" s="33"/>
      <c r="E218" s="33"/>
      <c r="J218" s="14">
        <f t="shared" si="18"/>
        <v>0</v>
      </c>
      <c r="K218" s="2" t="str">
        <f t="shared" si="19"/>
        <v xml:space="preserve"> </v>
      </c>
      <c r="L218" s="2" t="str">
        <f t="shared" si="16"/>
        <v xml:space="preserve"> </v>
      </c>
      <c r="M218" s="2" t="str">
        <f t="shared" si="17"/>
        <v xml:space="preserve"> </v>
      </c>
    </row>
    <row r="219" spans="1:13" x14ac:dyDescent="0.25">
      <c r="A219" s="34" t="str">
        <f t="shared" si="15"/>
        <v xml:space="preserve"> </v>
      </c>
      <c r="D219" s="33"/>
      <c r="E219" s="33"/>
      <c r="J219" s="14">
        <f t="shared" si="18"/>
        <v>0</v>
      </c>
      <c r="K219" s="2" t="str">
        <f t="shared" si="19"/>
        <v xml:space="preserve"> </v>
      </c>
      <c r="L219" s="2" t="str">
        <f t="shared" si="16"/>
        <v xml:space="preserve"> </v>
      </c>
      <c r="M219" s="2" t="str">
        <f t="shared" si="17"/>
        <v xml:space="preserve"> </v>
      </c>
    </row>
    <row r="220" spans="1:13" x14ac:dyDescent="0.25">
      <c r="A220" s="34" t="str">
        <f t="shared" si="15"/>
        <v xml:space="preserve"> </v>
      </c>
      <c r="D220" s="33"/>
      <c r="E220" s="33"/>
      <c r="J220" s="14">
        <f t="shared" si="18"/>
        <v>0</v>
      </c>
      <c r="K220" s="2" t="str">
        <f t="shared" si="19"/>
        <v xml:space="preserve"> </v>
      </c>
      <c r="L220" s="2" t="str">
        <f t="shared" si="16"/>
        <v xml:space="preserve"> </v>
      </c>
      <c r="M220" s="2" t="str">
        <f t="shared" si="17"/>
        <v xml:space="preserve"> </v>
      </c>
    </row>
    <row r="221" spans="1:13" x14ac:dyDescent="0.25">
      <c r="A221" s="34" t="str">
        <f t="shared" si="15"/>
        <v xml:space="preserve"> </v>
      </c>
      <c r="D221" s="33"/>
      <c r="E221" s="33"/>
      <c r="J221" s="14">
        <f t="shared" si="18"/>
        <v>0</v>
      </c>
      <c r="K221" s="2" t="str">
        <f t="shared" si="19"/>
        <v xml:space="preserve"> </v>
      </c>
      <c r="L221" s="2" t="str">
        <f t="shared" si="16"/>
        <v xml:space="preserve"> </v>
      </c>
      <c r="M221" s="2" t="str">
        <f t="shared" si="17"/>
        <v xml:space="preserve"> </v>
      </c>
    </row>
    <row r="222" spans="1:13" x14ac:dyDescent="0.25">
      <c r="A222" s="34" t="str">
        <f t="shared" si="15"/>
        <v xml:space="preserve"> </v>
      </c>
      <c r="D222" s="33"/>
      <c r="E222" s="33"/>
      <c r="J222" s="14">
        <f t="shared" si="18"/>
        <v>0</v>
      </c>
      <c r="K222" s="2" t="str">
        <f t="shared" si="19"/>
        <v xml:space="preserve"> </v>
      </c>
      <c r="L222" s="2" t="str">
        <f t="shared" si="16"/>
        <v xml:space="preserve"> </v>
      </c>
      <c r="M222" s="2" t="str">
        <f t="shared" si="17"/>
        <v xml:space="preserve"> </v>
      </c>
    </row>
    <row r="223" spans="1:13" x14ac:dyDescent="0.25">
      <c r="A223" s="34" t="str">
        <f t="shared" si="15"/>
        <v xml:space="preserve"> </v>
      </c>
      <c r="D223" s="33"/>
      <c r="E223" s="33"/>
      <c r="J223" s="14">
        <f t="shared" si="18"/>
        <v>0</v>
      </c>
      <c r="K223" s="2" t="str">
        <f t="shared" si="19"/>
        <v xml:space="preserve"> </v>
      </c>
      <c r="L223" s="2" t="str">
        <f t="shared" si="16"/>
        <v xml:space="preserve"> </v>
      </c>
      <c r="M223" s="2" t="str">
        <f t="shared" si="17"/>
        <v xml:space="preserve"> </v>
      </c>
    </row>
    <row r="224" spans="1:13" x14ac:dyDescent="0.25">
      <c r="A224" s="34" t="str">
        <f t="shared" si="15"/>
        <v xml:space="preserve"> </v>
      </c>
      <c r="D224" s="33"/>
      <c r="E224" s="33"/>
      <c r="J224" s="14">
        <f t="shared" si="18"/>
        <v>0</v>
      </c>
      <c r="K224" s="2" t="str">
        <f t="shared" si="19"/>
        <v xml:space="preserve"> </v>
      </c>
      <c r="L224" s="2" t="str">
        <f t="shared" si="16"/>
        <v xml:space="preserve"> </v>
      </c>
      <c r="M224" s="2" t="str">
        <f t="shared" si="17"/>
        <v xml:space="preserve"> </v>
      </c>
    </row>
    <row r="225" spans="1:13" x14ac:dyDescent="0.25">
      <c r="A225" s="34" t="str">
        <f t="shared" si="15"/>
        <v xml:space="preserve"> </v>
      </c>
      <c r="D225" s="33"/>
      <c r="E225" s="33"/>
      <c r="J225" s="14">
        <f t="shared" si="18"/>
        <v>0</v>
      </c>
      <c r="K225" s="2" t="str">
        <f t="shared" si="19"/>
        <v xml:space="preserve"> </v>
      </c>
      <c r="L225" s="2" t="str">
        <f t="shared" si="16"/>
        <v xml:space="preserve"> </v>
      </c>
      <c r="M225" s="2" t="str">
        <f t="shared" si="17"/>
        <v xml:space="preserve"> </v>
      </c>
    </row>
    <row r="226" spans="1:13" x14ac:dyDescent="0.25">
      <c r="A226" s="34" t="str">
        <f t="shared" si="15"/>
        <v xml:space="preserve"> </v>
      </c>
      <c r="D226" s="33"/>
      <c r="E226" s="33"/>
      <c r="J226" s="14">
        <f t="shared" si="18"/>
        <v>0</v>
      </c>
      <c r="K226" s="2" t="str">
        <f t="shared" si="19"/>
        <v xml:space="preserve"> </v>
      </c>
      <c r="L226" s="2" t="str">
        <f t="shared" si="16"/>
        <v xml:space="preserve"> </v>
      </c>
      <c r="M226" s="2" t="str">
        <f t="shared" si="17"/>
        <v xml:space="preserve"> </v>
      </c>
    </row>
    <row r="227" spans="1:13" x14ac:dyDescent="0.25">
      <c r="A227" s="34" t="str">
        <f t="shared" si="15"/>
        <v xml:space="preserve"> </v>
      </c>
      <c r="D227" s="33"/>
      <c r="E227" s="33"/>
      <c r="J227" s="14">
        <f t="shared" si="18"/>
        <v>0</v>
      </c>
      <c r="K227" s="2" t="str">
        <f t="shared" si="19"/>
        <v xml:space="preserve"> </v>
      </c>
      <c r="L227" s="2" t="str">
        <f t="shared" si="16"/>
        <v xml:space="preserve"> </v>
      </c>
      <c r="M227" s="2" t="str">
        <f t="shared" si="17"/>
        <v xml:space="preserve"> </v>
      </c>
    </row>
    <row r="228" spans="1:13" x14ac:dyDescent="0.25">
      <c r="A228" s="34" t="str">
        <f t="shared" si="15"/>
        <v xml:space="preserve"> </v>
      </c>
      <c r="D228" s="33"/>
      <c r="E228" s="33"/>
      <c r="J228" s="14">
        <f t="shared" si="18"/>
        <v>0</v>
      </c>
      <c r="K228" s="2" t="str">
        <f t="shared" si="19"/>
        <v xml:space="preserve"> </v>
      </c>
      <c r="L228" s="2" t="str">
        <f t="shared" si="16"/>
        <v xml:space="preserve"> </v>
      </c>
      <c r="M228" s="2" t="str">
        <f t="shared" si="17"/>
        <v xml:space="preserve"> </v>
      </c>
    </row>
    <row r="229" spans="1:13" x14ac:dyDescent="0.25">
      <c r="A229" s="34" t="str">
        <f t="shared" si="15"/>
        <v xml:space="preserve"> </v>
      </c>
      <c r="D229" s="33"/>
      <c r="E229" s="33"/>
      <c r="J229" s="14">
        <f t="shared" si="18"/>
        <v>0</v>
      </c>
      <c r="K229" s="2" t="str">
        <f t="shared" si="19"/>
        <v xml:space="preserve"> </v>
      </c>
      <c r="L229" s="2" t="str">
        <f t="shared" si="16"/>
        <v xml:space="preserve"> </v>
      </c>
      <c r="M229" s="2" t="str">
        <f t="shared" si="17"/>
        <v xml:space="preserve"> </v>
      </c>
    </row>
    <row r="230" spans="1:13" x14ac:dyDescent="0.25">
      <c r="A230" s="34" t="str">
        <f t="shared" si="15"/>
        <v xml:space="preserve"> </v>
      </c>
      <c r="D230" s="33"/>
      <c r="E230" s="33"/>
      <c r="J230" s="14">
        <f t="shared" si="18"/>
        <v>0</v>
      </c>
      <c r="K230" s="2" t="str">
        <f t="shared" si="19"/>
        <v xml:space="preserve"> </v>
      </c>
      <c r="L230" s="2" t="str">
        <f t="shared" si="16"/>
        <v xml:space="preserve"> </v>
      </c>
      <c r="M230" s="2" t="str">
        <f t="shared" si="17"/>
        <v xml:space="preserve"> </v>
      </c>
    </row>
    <row r="231" spans="1:13" x14ac:dyDescent="0.25">
      <c r="A231" s="34" t="str">
        <f t="shared" si="15"/>
        <v xml:space="preserve"> </v>
      </c>
      <c r="D231" s="33"/>
      <c r="E231" s="33"/>
      <c r="J231" s="14">
        <f t="shared" si="18"/>
        <v>0</v>
      </c>
      <c r="K231" s="2" t="str">
        <f t="shared" si="19"/>
        <v xml:space="preserve"> </v>
      </c>
      <c r="L231" s="2" t="str">
        <f t="shared" si="16"/>
        <v xml:space="preserve"> </v>
      </c>
      <c r="M231" s="2" t="str">
        <f t="shared" si="17"/>
        <v xml:space="preserve"> </v>
      </c>
    </row>
    <row r="232" spans="1:13" x14ac:dyDescent="0.25">
      <c r="A232" s="34" t="str">
        <f t="shared" si="15"/>
        <v xml:space="preserve"> </v>
      </c>
      <c r="D232" s="33"/>
      <c r="E232" s="33"/>
      <c r="J232" s="14">
        <f t="shared" si="18"/>
        <v>0</v>
      </c>
      <c r="K232" s="2" t="str">
        <f t="shared" si="19"/>
        <v xml:space="preserve"> </v>
      </c>
      <c r="L232" s="2" t="str">
        <f t="shared" si="16"/>
        <v xml:space="preserve"> </v>
      </c>
      <c r="M232" s="2" t="str">
        <f t="shared" si="17"/>
        <v xml:space="preserve"> </v>
      </c>
    </row>
    <row r="233" spans="1:13" x14ac:dyDescent="0.25">
      <c r="A233" s="34" t="str">
        <f t="shared" si="15"/>
        <v xml:space="preserve"> </v>
      </c>
      <c r="D233" s="33"/>
      <c r="E233" s="33"/>
      <c r="J233" s="14">
        <f t="shared" si="18"/>
        <v>0</v>
      </c>
      <c r="K233" s="2" t="str">
        <f t="shared" si="19"/>
        <v xml:space="preserve"> </v>
      </c>
      <c r="L233" s="2" t="str">
        <f t="shared" si="16"/>
        <v xml:space="preserve"> </v>
      </c>
      <c r="M233" s="2" t="str">
        <f t="shared" si="17"/>
        <v xml:space="preserve"> </v>
      </c>
    </row>
    <row r="234" spans="1:13" x14ac:dyDescent="0.25">
      <c r="A234" s="34" t="str">
        <f t="shared" si="15"/>
        <v xml:space="preserve"> </v>
      </c>
      <c r="D234" s="33"/>
      <c r="E234" s="33"/>
      <c r="J234" s="14">
        <f t="shared" si="18"/>
        <v>0</v>
      </c>
      <c r="K234" s="2" t="str">
        <f t="shared" si="19"/>
        <v xml:space="preserve"> </v>
      </c>
      <c r="L234" s="2" t="str">
        <f t="shared" si="16"/>
        <v xml:space="preserve"> </v>
      </c>
      <c r="M234" s="2" t="str">
        <f t="shared" si="17"/>
        <v xml:space="preserve"> </v>
      </c>
    </row>
    <row r="235" spans="1:13" x14ac:dyDescent="0.25">
      <c r="A235" s="34" t="str">
        <f t="shared" si="15"/>
        <v xml:space="preserve"> </v>
      </c>
      <c r="D235" s="33"/>
      <c r="E235" s="33"/>
      <c r="J235" s="14">
        <f t="shared" si="18"/>
        <v>0</v>
      </c>
      <c r="K235" s="2" t="str">
        <f t="shared" si="19"/>
        <v xml:space="preserve"> </v>
      </c>
      <c r="L235" s="2" t="str">
        <f t="shared" si="16"/>
        <v xml:space="preserve"> </v>
      </c>
      <c r="M235" s="2" t="str">
        <f t="shared" si="17"/>
        <v xml:space="preserve"> </v>
      </c>
    </row>
    <row r="236" spans="1:13" x14ac:dyDescent="0.25">
      <c r="A236" s="34" t="str">
        <f t="shared" si="15"/>
        <v xml:space="preserve"> </v>
      </c>
      <c r="D236" s="33"/>
      <c r="E236" s="33"/>
      <c r="J236" s="14">
        <f t="shared" si="18"/>
        <v>0</v>
      </c>
      <c r="K236" s="2" t="str">
        <f t="shared" si="19"/>
        <v xml:space="preserve"> </v>
      </c>
      <c r="L236" s="2" t="str">
        <f t="shared" si="16"/>
        <v xml:space="preserve"> </v>
      </c>
      <c r="M236" s="2" t="str">
        <f t="shared" si="17"/>
        <v xml:space="preserve"> </v>
      </c>
    </row>
    <row r="237" spans="1:13" x14ac:dyDescent="0.25">
      <c r="A237" s="34" t="str">
        <f t="shared" si="15"/>
        <v xml:space="preserve"> </v>
      </c>
      <c r="D237" s="33"/>
      <c r="E237" s="33"/>
      <c r="J237" s="14">
        <f t="shared" si="18"/>
        <v>0</v>
      </c>
      <c r="K237" s="2" t="str">
        <f t="shared" si="19"/>
        <v xml:space="preserve"> </v>
      </c>
      <c r="L237" s="2" t="str">
        <f t="shared" si="16"/>
        <v xml:space="preserve"> </v>
      </c>
      <c r="M237" s="2" t="str">
        <f t="shared" si="17"/>
        <v xml:space="preserve"> </v>
      </c>
    </row>
    <row r="238" spans="1:13" x14ac:dyDescent="0.25">
      <c r="A238" s="34" t="str">
        <f t="shared" si="15"/>
        <v xml:space="preserve"> </v>
      </c>
      <c r="D238" s="33"/>
      <c r="E238" s="33"/>
      <c r="J238" s="14">
        <f t="shared" si="18"/>
        <v>0</v>
      </c>
      <c r="K238" s="2" t="str">
        <f t="shared" si="19"/>
        <v xml:space="preserve"> </v>
      </c>
      <c r="L238" s="2" t="str">
        <f t="shared" si="16"/>
        <v xml:space="preserve"> </v>
      </c>
      <c r="M238" s="2" t="str">
        <f t="shared" si="17"/>
        <v xml:space="preserve"> </v>
      </c>
    </row>
    <row r="239" spans="1:13" x14ac:dyDescent="0.25">
      <c r="A239" s="34" t="str">
        <f t="shared" si="15"/>
        <v xml:space="preserve"> </v>
      </c>
      <c r="D239" s="33"/>
      <c r="E239" s="33"/>
      <c r="J239" s="14">
        <f t="shared" si="18"/>
        <v>0</v>
      </c>
      <c r="K239" s="2" t="str">
        <f t="shared" si="19"/>
        <v xml:space="preserve"> </v>
      </c>
      <c r="L239" s="2" t="str">
        <f t="shared" si="16"/>
        <v xml:space="preserve"> </v>
      </c>
      <c r="M239" s="2" t="str">
        <f t="shared" si="17"/>
        <v xml:space="preserve"> </v>
      </c>
    </row>
    <row r="240" spans="1:13" x14ac:dyDescent="0.25">
      <c r="A240" s="34" t="str">
        <f t="shared" si="15"/>
        <v xml:space="preserve"> </v>
      </c>
      <c r="D240" s="33"/>
      <c r="E240" s="33"/>
      <c r="J240" s="14">
        <f t="shared" si="18"/>
        <v>0</v>
      </c>
      <c r="K240" s="2" t="str">
        <f t="shared" si="19"/>
        <v xml:space="preserve"> </v>
      </c>
      <c r="L240" s="2" t="str">
        <f t="shared" si="16"/>
        <v xml:space="preserve"> </v>
      </c>
      <c r="M240" s="2" t="str">
        <f t="shared" si="17"/>
        <v xml:space="preserve"> </v>
      </c>
    </row>
    <row r="241" spans="1:13" x14ac:dyDescent="0.25">
      <c r="A241" s="34" t="str">
        <f t="shared" si="15"/>
        <v xml:space="preserve"> </v>
      </c>
      <c r="D241" s="33"/>
      <c r="E241" s="33"/>
      <c r="J241" s="14">
        <f t="shared" si="18"/>
        <v>0</v>
      </c>
      <c r="K241" s="2" t="str">
        <f t="shared" si="19"/>
        <v xml:space="preserve"> </v>
      </c>
      <c r="L241" s="2" t="str">
        <f t="shared" si="16"/>
        <v xml:space="preserve"> </v>
      </c>
      <c r="M241" s="2" t="str">
        <f t="shared" si="17"/>
        <v xml:space="preserve"> </v>
      </c>
    </row>
    <row r="242" spans="1:13" x14ac:dyDescent="0.25">
      <c r="A242" s="34" t="str">
        <f t="shared" si="15"/>
        <v xml:space="preserve"> </v>
      </c>
      <c r="D242" s="33"/>
      <c r="E242" s="33"/>
      <c r="J242" s="14">
        <f t="shared" si="18"/>
        <v>0</v>
      </c>
      <c r="K242" s="2" t="str">
        <f t="shared" si="19"/>
        <v xml:space="preserve"> </v>
      </c>
      <c r="L242" s="2" t="str">
        <f t="shared" si="16"/>
        <v xml:space="preserve"> </v>
      </c>
      <c r="M242" s="2" t="str">
        <f t="shared" si="17"/>
        <v xml:space="preserve"> </v>
      </c>
    </row>
    <row r="243" spans="1:13" x14ac:dyDescent="0.25">
      <c r="A243" s="34" t="str">
        <f t="shared" si="15"/>
        <v xml:space="preserve"> </v>
      </c>
      <c r="D243" s="33"/>
      <c r="E243" s="33"/>
      <c r="J243" s="14">
        <f t="shared" si="18"/>
        <v>0</v>
      </c>
      <c r="K243" s="2" t="str">
        <f t="shared" si="19"/>
        <v xml:space="preserve"> </v>
      </c>
      <c r="L243" s="2" t="str">
        <f t="shared" si="16"/>
        <v xml:space="preserve"> </v>
      </c>
      <c r="M243" s="2" t="str">
        <f t="shared" si="17"/>
        <v xml:space="preserve"> </v>
      </c>
    </row>
    <row r="244" spans="1:13" x14ac:dyDescent="0.25">
      <c r="A244" s="34" t="str">
        <f t="shared" si="15"/>
        <v xml:space="preserve"> </v>
      </c>
      <c r="D244" s="33"/>
      <c r="E244" s="33"/>
      <c r="J244" s="14">
        <f t="shared" si="18"/>
        <v>0</v>
      </c>
      <c r="K244" s="2" t="str">
        <f t="shared" si="19"/>
        <v xml:space="preserve"> </v>
      </c>
      <c r="L244" s="2" t="str">
        <f t="shared" si="16"/>
        <v xml:space="preserve"> </v>
      </c>
      <c r="M244" s="2" t="str">
        <f t="shared" si="17"/>
        <v xml:space="preserve"> </v>
      </c>
    </row>
    <row r="245" spans="1:13" x14ac:dyDescent="0.25">
      <c r="A245" s="34" t="str">
        <f t="shared" si="15"/>
        <v xml:space="preserve"> </v>
      </c>
      <c r="D245" s="33"/>
      <c r="E245" s="33"/>
      <c r="J245" s="14">
        <f t="shared" si="18"/>
        <v>0</v>
      </c>
      <c r="K245" s="2" t="str">
        <f t="shared" si="19"/>
        <v xml:space="preserve"> </v>
      </c>
      <c r="L245" s="2" t="str">
        <f t="shared" si="16"/>
        <v xml:space="preserve"> </v>
      </c>
      <c r="M245" s="2" t="str">
        <f t="shared" si="17"/>
        <v xml:space="preserve"> </v>
      </c>
    </row>
    <row r="246" spans="1:13" x14ac:dyDescent="0.25">
      <c r="A246" s="34" t="str">
        <f t="shared" si="15"/>
        <v xml:space="preserve"> </v>
      </c>
      <c r="D246" s="33"/>
      <c r="E246" s="33"/>
      <c r="J246" s="14">
        <f t="shared" si="18"/>
        <v>0</v>
      </c>
      <c r="K246" s="2" t="str">
        <f t="shared" si="19"/>
        <v xml:space="preserve"> </v>
      </c>
      <c r="L246" s="2" t="str">
        <f t="shared" si="16"/>
        <v xml:space="preserve"> </v>
      </c>
      <c r="M246" s="2" t="str">
        <f t="shared" si="17"/>
        <v xml:space="preserve"> </v>
      </c>
    </row>
    <row r="247" spans="1:13" x14ac:dyDescent="0.25">
      <c r="A247" s="34" t="str">
        <f t="shared" si="15"/>
        <v xml:space="preserve"> </v>
      </c>
      <c r="D247" s="33"/>
      <c r="E247" s="33"/>
      <c r="J247" s="14">
        <f t="shared" si="18"/>
        <v>0</v>
      </c>
      <c r="K247" s="2" t="str">
        <f t="shared" si="19"/>
        <v xml:space="preserve"> </v>
      </c>
      <c r="L247" s="2" t="str">
        <f t="shared" si="16"/>
        <v xml:space="preserve"> </v>
      </c>
      <c r="M247" s="2" t="str">
        <f t="shared" si="17"/>
        <v xml:space="preserve"> </v>
      </c>
    </row>
    <row r="248" spans="1:13" x14ac:dyDescent="0.25">
      <c r="A248" s="34" t="str">
        <f t="shared" si="15"/>
        <v xml:space="preserve"> </v>
      </c>
      <c r="D248" s="33"/>
      <c r="E248" s="33"/>
      <c r="J248" s="14">
        <f t="shared" si="18"/>
        <v>0</v>
      </c>
      <c r="K248" s="2" t="str">
        <f t="shared" si="19"/>
        <v xml:space="preserve"> </v>
      </c>
      <c r="L248" s="2" t="str">
        <f t="shared" si="16"/>
        <v xml:space="preserve"> </v>
      </c>
      <c r="M248" s="2" t="str">
        <f t="shared" si="17"/>
        <v xml:space="preserve"> </v>
      </c>
    </row>
    <row r="249" spans="1:13" x14ac:dyDescent="0.25">
      <c r="A249" s="34" t="str">
        <f t="shared" si="15"/>
        <v xml:space="preserve"> </v>
      </c>
      <c r="D249" s="33"/>
      <c r="E249" s="33"/>
      <c r="J249" s="14">
        <f t="shared" si="18"/>
        <v>0</v>
      </c>
      <c r="K249" s="2" t="str">
        <f t="shared" si="19"/>
        <v xml:space="preserve"> </v>
      </c>
      <c r="L249" s="2" t="str">
        <f t="shared" si="16"/>
        <v xml:space="preserve"> </v>
      </c>
      <c r="M249" s="2" t="str">
        <f t="shared" si="17"/>
        <v xml:space="preserve"> </v>
      </c>
    </row>
    <row r="250" spans="1:13" x14ac:dyDescent="0.25">
      <c r="A250" s="34" t="str">
        <f t="shared" si="15"/>
        <v xml:space="preserve"> </v>
      </c>
      <c r="D250" s="33"/>
      <c r="E250" s="33"/>
      <c r="J250" s="14">
        <f t="shared" si="18"/>
        <v>0</v>
      </c>
      <c r="K250" s="2" t="str">
        <f t="shared" si="19"/>
        <v xml:space="preserve"> </v>
      </c>
      <c r="L250" s="2" t="str">
        <f t="shared" si="16"/>
        <v xml:space="preserve"> </v>
      </c>
      <c r="M250" s="2" t="str">
        <f t="shared" si="17"/>
        <v xml:space="preserve"> </v>
      </c>
    </row>
    <row r="251" spans="1:13" x14ac:dyDescent="0.25">
      <c r="A251" s="34" t="str">
        <f t="shared" si="15"/>
        <v xml:space="preserve"> </v>
      </c>
      <c r="D251" s="33"/>
      <c r="E251" s="33"/>
      <c r="J251" s="14">
        <f t="shared" si="18"/>
        <v>0</v>
      </c>
      <c r="K251" s="2" t="str">
        <f t="shared" si="19"/>
        <v xml:space="preserve"> </v>
      </c>
      <c r="L251" s="2" t="str">
        <f t="shared" si="16"/>
        <v xml:space="preserve"> </v>
      </c>
      <c r="M251" s="2" t="str">
        <f t="shared" si="17"/>
        <v xml:space="preserve"> </v>
      </c>
    </row>
    <row r="252" spans="1:13" x14ac:dyDescent="0.25">
      <c r="A252" s="34" t="str">
        <f t="shared" si="15"/>
        <v xml:space="preserve"> </v>
      </c>
      <c r="D252" s="33"/>
      <c r="E252" s="33"/>
      <c r="J252" s="14">
        <f t="shared" si="18"/>
        <v>0</v>
      </c>
      <c r="K252" s="2" t="str">
        <f t="shared" si="19"/>
        <v xml:space="preserve"> </v>
      </c>
      <c r="L252" s="2" t="str">
        <f t="shared" si="16"/>
        <v xml:space="preserve"> </v>
      </c>
      <c r="M252" s="2" t="str">
        <f t="shared" si="17"/>
        <v xml:space="preserve"> </v>
      </c>
    </row>
    <row r="253" spans="1:13" x14ac:dyDescent="0.25">
      <c r="A253" s="34" t="str">
        <f t="shared" si="15"/>
        <v xml:space="preserve"> </v>
      </c>
      <c r="D253" s="33"/>
      <c r="E253" s="33"/>
      <c r="J253" s="14">
        <f t="shared" si="18"/>
        <v>0</v>
      </c>
      <c r="K253" s="2" t="str">
        <f t="shared" si="19"/>
        <v xml:space="preserve"> </v>
      </c>
      <c r="L253" s="2" t="str">
        <f t="shared" si="16"/>
        <v xml:space="preserve"> </v>
      </c>
      <c r="M253" s="2" t="str">
        <f t="shared" si="17"/>
        <v xml:space="preserve"> </v>
      </c>
    </row>
    <row r="254" spans="1:13" x14ac:dyDescent="0.25">
      <c r="A254" s="34" t="str">
        <f t="shared" si="15"/>
        <v xml:space="preserve"> </v>
      </c>
      <c r="D254" s="33"/>
      <c r="E254" s="33"/>
      <c r="J254" s="14">
        <f t="shared" si="18"/>
        <v>0</v>
      </c>
      <c r="K254" s="2" t="str">
        <f t="shared" si="19"/>
        <v xml:space="preserve"> </v>
      </c>
      <c r="L254" s="2" t="str">
        <f t="shared" si="16"/>
        <v xml:space="preserve"> </v>
      </c>
      <c r="M254" s="2" t="str">
        <f t="shared" si="17"/>
        <v xml:space="preserve"> </v>
      </c>
    </row>
    <row r="255" spans="1:13" x14ac:dyDescent="0.25">
      <c r="A255" s="34" t="str">
        <f t="shared" si="15"/>
        <v xml:space="preserve"> </v>
      </c>
      <c r="D255" s="33"/>
      <c r="E255" s="33"/>
      <c r="J255" s="14">
        <f t="shared" si="18"/>
        <v>0</v>
      </c>
      <c r="K255" s="2" t="str">
        <f t="shared" si="19"/>
        <v xml:space="preserve"> </v>
      </c>
      <c r="L255" s="2" t="str">
        <f t="shared" si="16"/>
        <v xml:space="preserve"> </v>
      </c>
      <c r="M255" s="2" t="str">
        <f t="shared" si="17"/>
        <v xml:space="preserve"> </v>
      </c>
    </row>
    <row r="256" spans="1:13" x14ac:dyDescent="0.25">
      <c r="A256" s="34" t="str">
        <f t="shared" si="15"/>
        <v xml:space="preserve"> </v>
      </c>
      <c r="D256" s="33"/>
      <c r="E256" s="33"/>
      <c r="J256" s="14">
        <f t="shared" si="18"/>
        <v>0</v>
      </c>
      <c r="K256" s="2" t="str">
        <f t="shared" si="19"/>
        <v xml:space="preserve"> </v>
      </c>
      <c r="L256" s="2" t="str">
        <f t="shared" si="16"/>
        <v xml:space="preserve"> </v>
      </c>
      <c r="M256" s="2" t="str">
        <f t="shared" si="17"/>
        <v xml:space="preserve"> </v>
      </c>
    </row>
    <row r="257" spans="1:13" x14ac:dyDescent="0.25">
      <c r="A257" s="34" t="str">
        <f t="shared" si="15"/>
        <v xml:space="preserve"> </v>
      </c>
      <c r="D257" s="33"/>
      <c r="E257" s="33"/>
      <c r="J257" s="14">
        <f t="shared" si="18"/>
        <v>0</v>
      </c>
      <c r="K257" s="2" t="str">
        <f t="shared" si="19"/>
        <v xml:space="preserve"> </v>
      </c>
      <c r="L257" s="2" t="str">
        <f t="shared" si="16"/>
        <v xml:space="preserve"> </v>
      </c>
      <c r="M257" s="2" t="str">
        <f t="shared" si="17"/>
        <v xml:space="preserve"> </v>
      </c>
    </row>
    <row r="258" spans="1:13" x14ac:dyDescent="0.25">
      <c r="A258" s="34" t="str">
        <f t="shared" si="15"/>
        <v xml:space="preserve"> </v>
      </c>
      <c r="D258" s="33"/>
      <c r="E258" s="33"/>
      <c r="J258" s="14">
        <f t="shared" si="18"/>
        <v>0</v>
      </c>
      <c r="K258" s="2" t="str">
        <f t="shared" si="19"/>
        <v xml:space="preserve"> </v>
      </c>
      <c r="L258" s="2" t="str">
        <f t="shared" si="16"/>
        <v xml:space="preserve"> </v>
      </c>
      <c r="M258" s="2" t="str">
        <f t="shared" si="17"/>
        <v xml:space="preserve"> </v>
      </c>
    </row>
    <row r="259" spans="1:13" x14ac:dyDescent="0.25">
      <c r="A259" s="34" t="str">
        <f t="shared" si="15"/>
        <v xml:space="preserve"> </v>
      </c>
      <c r="D259" s="33"/>
      <c r="E259" s="33"/>
      <c r="J259" s="14">
        <f t="shared" si="18"/>
        <v>0</v>
      </c>
      <c r="K259" s="2" t="str">
        <f t="shared" si="19"/>
        <v xml:space="preserve"> </v>
      </c>
      <c r="L259" s="2" t="str">
        <f t="shared" si="16"/>
        <v xml:space="preserve"> </v>
      </c>
      <c r="M259" s="2" t="str">
        <f t="shared" si="17"/>
        <v xml:space="preserve"> </v>
      </c>
    </row>
    <row r="260" spans="1:13" x14ac:dyDescent="0.25">
      <c r="A260" s="34" t="str">
        <f t="shared" si="15"/>
        <v xml:space="preserve"> </v>
      </c>
      <c r="D260" s="33"/>
      <c r="E260" s="33"/>
      <c r="J260" s="14">
        <f t="shared" si="18"/>
        <v>0</v>
      </c>
      <c r="K260" s="2" t="str">
        <f t="shared" si="19"/>
        <v xml:space="preserve"> </v>
      </c>
      <c r="L260" s="2" t="str">
        <f t="shared" si="16"/>
        <v xml:space="preserve"> </v>
      </c>
      <c r="M260" s="2" t="str">
        <f t="shared" si="17"/>
        <v xml:space="preserve"> </v>
      </c>
    </row>
    <row r="261" spans="1:13" x14ac:dyDescent="0.25">
      <c r="A261" s="34" t="str">
        <f t="shared" si="15"/>
        <v xml:space="preserve"> </v>
      </c>
      <c r="D261" s="33"/>
      <c r="E261" s="33"/>
      <c r="J261" s="14">
        <f t="shared" si="18"/>
        <v>0</v>
      </c>
      <c r="K261" s="2" t="str">
        <f t="shared" si="19"/>
        <v xml:space="preserve"> </v>
      </c>
      <c r="L261" s="2" t="str">
        <f t="shared" si="16"/>
        <v xml:space="preserve"> </v>
      </c>
      <c r="M261" s="2" t="str">
        <f t="shared" si="17"/>
        <v xml:space="preserve"> </v>
      </c>
    </row>
    <row r="262" spans="1:13" x14ac:dyDescent="0.25">
      <c r="A262" s="34" t="str">
        <f t="shared" si="15"/>
        <v xml:space="preserve"> </v>
      </c>
      <c r="D262" s="33"/>
      <c r="E262" s="33"/>
      <c r="J262" s="14">
        <f t="shared" si="18"/>
        <v>0</v>
      </c>
      <c r="K262" s="2" t="str">
        <f t="shared" si="19"/>
        <v xml:space="preserve"> </v>
      </c>
      <c r="L262" s="2" t="str">
        <f t="shared" si="16"/>
        <v xml:space="preserve"> </v>
      </c>
      <c r="M262" s="2" t="str">
        <f t="shared" si="17"/>
        <v xml:space="preserve"> </v>
      </c>
    </row>
    <row r="263" spans="1:13" x14ac:dyDescent="0.25">
      <c r="A263" s="34" t="str">
        <f t="shared" si="15"/>
        <v xml:space="preserve"> </v>
      </c>
      <c r="D263" s="33"/>
      <c r="E263" s="33"/>
      <c r="J263" s="14">
        <f t="shared" si="18"/>
        <v>0</v>
      </c>
      <c r="K263" s="2" t="str">
        <f t="shared" si="19"/>
        <v xml:space="preserve"> </v>
      </c>
      <c r="L263" s="2" t="str">
        <f t="shared" si="16"/>
        <v xml:space="preserve"> </v>
      </c>
      <c r="M263" s="2" t="str">
        <f t="shared" si="17"/>
        <v xml:space="preserve"> </v>
      </c>
    </row>
    <row r="264" spans="1:13" x14ac:dyDescent="0.25">
      <c r="A264" s="34" t="str">
        <f t="shared" si="15"/>
        <v xml:space="preserve"> </v>
      </c>
      <c r="D264" s="33"/>
      <c r="E264" s="33"/>
      <c r="J264" s="14">
        <f t="shared" si="18"/>
        <v>0</v>
      </c>
      <c r="K264" s="2" t="str">
        <f t="shared" si="19"/>
        <v xml:space="preserve"> </v>
      </c>
      <c r="L264" s="2" t="str">
        <f t="shared" si="16"/>
        <v xml:space="preserve"> </v>
      </c>
      <c r="M264" s="2" t="str">
        <f t="shared" si="17"/>
        <v xml:space="preserve"> </v>
      </c>
    </row>
    <row r="265" spans="1:13" x14ac:dyDescent="0.25">
      <c r="A265" s="34" t="str">
        <f t="shared" si="15"/>
        <v xml:space="preserve"> </v>
      </c>
      <c r="D265" s="33"/>
      <c r="E265" s="33"/>
      <c r="J265" s="14">
        <f t="shared" si="18"/>
        <v>0</v>
      </c>
      <c r="K265" s="2" t="str">
        <f t="shared" si="19"/>
        <v xml:space="preserve"> </v>
      </c>
      <c r="L265" s="2" t="str">
        <f t="shared" si="16"/>
        <v xml:space="preserve"> </v>
      </c>
      <c r="M265" s="2" t="str">
        <f t="shared" si="17"/>
        <v xml:space="preserve"> </v>
      </c>
    </row>
    <row r="266" spans="1:13" x14ac:dyDescent="0.25">
      <c r="A266" s="34" t="str">
        <f t="shared" si="15"/>
        <v xml:space="preserve"> </v>
      </c>
      <c r="D266" s="33"/>
      <c r="E266" s="33"/>
      <c r="J266" s="14">
        <f t="shared" si="18"/>
        <v>0</v>
      </c>
      <c r="K266" s="2" t="str">
        <f t="shared" si="19"/>
        <v xml:space="preserve"> </v>
      </c>
      <c r="L266" s="2" t="str">
        <f t="shared" si="16"/>
        <v xml:space="preserve"> </v>
      </c>
      <c r="M266" s="2" t="str">
        <f t="shared" si="17"/>
        <v xml:space="preserve"> </v>
      </c>
    </row>
    <row r="267" spans="1:13" x14ac:dyDescent="0.25">
      <c r="A267" s="34" t="str">
        <f t="shared" si="15"/>
        <v xml:space="preserve"> </v>
      </c>
      <c r="D267" s="33"/>
      <c r="E267" s="33"/>
      <c r="J267" s="14">
        <f t="shared" si="18"/>
        <v>0</v>
      </c>
      <c r="K267" s="2" t="str">
        <f t="shared" si="19"/>
        <v xml:space="preserve"> </v>
      </c>
      <c r="L267" s="2" t="str">
        <f t="shared" si="16"/>
        <v xml:space="preserve"> </v>
      </c>
      <c r="M267" s="2" t="str">
        <f t="shared" si="17"/>
        <v xml:space="preserve"> </v>
      </c>
    </row>
    <row r="268" spans="1:13" x14ac:dyDescent="0.25">
      <c r="A268" s="34" t="str">
        <f t="shared" si="15"/>
        <v xml:space="preserve"> </v>
      </c>
      <c r="D268" s="33"/>
      <c r="E268" s="33"/>
      <c r="J268" s="14">
        <f t="shared" si="18"/>
        <v>0</v>
      </c>
      <c r="K268" s="2" t="str">
        <f t="shared" si="19"/>
        <v xml:space="preserve"> </v>
      </c>
      <c r="L268" s="2" t="str">
        <f t="shared" si="16"/>
        <v xml:space="preserve"> </v>
      </c>
      <c r="M268" s="2" t="str">
        <f t="shared" si="17"/>
        <v xml:space="preserve"> </v>
      </c>
    </row>
    <row r="269" spans="1:13" x14ac:dyDescent="0.25">
      <c r="A269" s="34" t="str">
        <f t="shared" si="15"/>
        <v xml:space="preserve"> </v>
      </c>
      <c r="D269" s="33"/>
      <c r="E269" s="33"/>
      <c r="J269" s="14">
        <f t="shared" si="18"/>
        <v>0</v>
      </c>
      <c r="K269" s="2" t="str">
        <f t="shared" si="19"/>
        <v xml:space="preserve"> </v>
      </c>
      <c r="L269" s="2" t="str">
        <f t="shared" si="16"/>
        <v xml:space="preserve"> </v>
      </c>
      <c r="M269" s="2" t="str">
        <f t="shared" si="17"/>
        <v xml:space="preserve"> </v>
      </c>
    </row>
    <row r="270" spans="1:13" x14ac:dyDescent="0.25">
      <c r="A270" s="34" t="str">
        <f t="shared" si="15"/>
        <v xml:space="preserve"> </v>
      </c>
      <c r="D270" s="33"/>
      <c r="E270" s="33"/>
      <c r="J270" s="14">
        <f t="shared" si="18"/>
        <v>0</v>
      </c>
      <c r="K270" s="2" t="str">
        <f t="shared" si="19"/>
        <v xml:space="preserve"> </v>
      </c>
      <c r="L270" s="2" t="str">
        <f t="shared" si="16"/>
        <v xml:space="preserve"> </v>
      </c>
      <c r="M270" s="2" t="str">
        <f t="shared" si="17"/>
        <v xml:space="preserve"> </v>
      </c>
    </row>
    <row r="271" spans="1:13" x14ac:dyDescent="0.25">
      <c r="A271" s="34" t="str">
        <f t="shared" ref="A271:A334" si="20">IF(COUNTIF(K271:M271,"ERROR")&gt;0,"ERROR"," ")</f>
        <v xml:space="preserve"> </v>
      </c>
      <c r="D271" s="33"/>
      <c r="E271" s="33"/>
      <c r="J271" s="14">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x14ac:dyDescent="0.25">
      <c r="A272" s="34" t="str">
        <f t="shared" si="20"/>
        <v xml:space="preserve"> </v>
      </c>
      <c r="D272" s="33"/>
      <c r="E272" s="33"/>
      <c r="J272" s="14">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4" t="str">
        <f t="shared" si="20"/>
        <v xml:space="preserve"> </v>
      </c>
      <c r="D273" s="33"/>
      <c r="E273" s="33"/>
      <c r="J273" s="14">
        <f t="shared" si="23"/>
        <v>0</v>
      </c>
      <c r="K273" s="2" t="str">
        <f t="shared" si="24"/>
        <v xml:space="preserve"> </v>
      </c>
      <c r="L273" s="2" t="str">
        <f t="shared" si="21"/>
        <v xml:space="preserve"> </v>
      </c>
      <c r="M273" s="2" t="str">
        <f t="shared" si="22"/>
        <v xml:space="preserve"> </v>
      </c>
    </row>
    <row r="274" spans="1:13" x14ac:dyDescent="0.25">
      <c r="A274" s="34" t="str">
        <f t="shared" si="20"/>
        <v xml:space="preserve"> </v>
      </c>
      <c r="D274" s="33"/>
      <c r="E274" s="33"/>
      <c r="J274" s="14">
        <f t="shared" si="23"/>
        <v>0</v>
      </c>
      <c r="K274" s="2" t="str">
        <f t="shared" si="24"/>
        <v xml:space="preserve"> </v>
      </c>
      <c r="L274" s="2" t="str">
        <f t="shared" si="21"/>
        <v xml:space="preserve"> </v>
      </c>
      <c r="M274" s="2" t="str">
        <f t="shared" si="22"/>
        <v xml:space="preserve"> </v>
      </c>
    </row>
    <row r="275" spans="1:13" x14ac:dyDescent="0.25">
      <c r="A275" s="34" t="str">
        <f t="shared" si="20"/>
        <v xml:space="preserve"> </v>
      </c>
      <c r="D275" s="33"/>
      <c r="E275" s="33"/>
      <c r="J275" s="14">
        <f t="shared" si="23"/>
        <v>0</v>
      </c>
      <c r="K275" s="2" t="str">
        <f t="shared" si="24"/>
        <v xml:space="preserve"> </v>
      </c>
      <c r="L275" s="2" t="str">
        <f t="shared" si="21"/>
        <v xml:space="preserve"> </v>
      </c>
      <c r="M275" s="2" t="str">
        <f t="shared" si="22"/>
        <v xml:space="preserve"> </v>
      </c>
    </row>
    <row r="276" spans="1:13" x14ac:dyDescent="0.25">
      <c r="A276" s="34" t="str">
        <f t="shared" si="20"/>
        <v xml:space="preserve"> </v>
      </c>
      <c r="D276" s="33"/>
      <c r="E276" s="33"/>
      <c r="J276" s="14">
        <f t="shared" si="23"/>
        <v>0</v>
      </c>
      <c r="K276" s="2" t="str">
        <f t="shared" si="24"/>
        <v xml:space="preserve"> </v>
      </c>
      <c r="L276" s="2" t="str">
        <f t="shared" si="21"/>
        <v xml:space="preserve"> </v>
      </c>
      <c r="M276" s="2" t="str">
        <f t="shared" si="22"/>
        <v xml:space="preserve"> </v>
      </c>
    </row>
    <row r="277" spans="1:13" x14ac:dyDescent="0.25">
      <c r="A277" s="34" t="str">
        <f t="shared" si="20"/>
        <v xml:space="preserve"> </v>
      </c>
      <c r="D277" s="33"/>
      <c r="E277" s="33"/>
      <c r="J277" s="14">
        <f t="shared" si="23"/>
        <v>0</v>
      </c>
      <c r="K277" s="2" t="str">
        <f t="shared" si="24"/>
        <v xml:space="preserve"> </v>
      </c>
      <c r="L277" s="2" t="str">
        <f t="shared" si="21"/>
        <v xml:space="preserve"> </v>
      </c>
      <c r="M277" s="2" t="str">
        <f t="shared" si="22"/>
        <v xml:space="preserve"> </v>
      </c>
    </row>
    <row r="278" spans="1:13" x14ac:dyDescent="0.25">
      <c r="A278" s="34" t="str">
        <f t="shared" si="20"/>
        <v xml:space="preserve"> </v>
      </c>
      <c r="D278" s="33"/>
      <c r="E278" s="33"/>
      <c r="J278" s="14">
        <f t="shared" si="23"/>
        <v>0</v>
      </c>
      <c r="K278" s="2" t="str">
        <f t="shared" si="24"/>
        <v xml:space="preserve"> </v>
      </c>
      <c r="L278" s="2" t="str">
        <f t="shared" si="21"/>
        <v xml:space="preserve"> </v>
      </c>
      <c r="M278" s="2" t="str">
        <f t="shared" si="22"/>
        <v xml:space="preserve"> </v>
      </c>
    </row>
    <row r="279" spans="1:13" x14ac:dyDescent="0.25">
      <c r="A279" s="34" t="str">
        <f t="shared" si="20"/>
        <v xml:space="preserve"> </v>
      </c>
      <c r="D279" s="33"/>
      <c r="E279" s="33"/>
      <c r="J279" s="14">
        <f t="shared" si="23"/>
        <v>0</v>
      </c>
      <c r="K279" s="2" t="str">
        <f t="shared" si="24"/>
        <v xml:space="preserve"> </v>
      </c>
      <c r="L279" s="2" t="str">
        <f t="shared" si="21"/>
        <v xml:space="preserve"> </v>
      </c>
      <c r="M279" s="2" t="str">
        <f t="shared" si="22"/>
        <v xml:space="preserve"> </v>
      </c>
    </row>
    <row r="280" spans="1:13" x14ac:dyDescent="0.25">
      <c r="A280" s="34" t="str">
        <f t="shared" si="20"/>
        <v xml:space="preserve"> </v>
      </c>
      <c r="D280" s="33"/>
      <c r="E280" s="33"/>
      <c r="J280" s="14">
        <f t="shared" si="23"/>
        <v>0</v>
      </c>
      <c r="K280" s="2" t="str">
        <f t="shared" si="24"/>
        <v xml:space="preserve"> </v>
      </c>
      <c r="L280" s="2" t="str">
        <f t="shared" si="21"/>
        <v xml:space="preserve"> </v>
      </c>
      <c r="M280" s="2" t="str">
        <f t="shared" si="22"/>
        <v xml:space="preserve"> </v>
      </c>
    </row>
    <row r="281" spans="1:13" x14ac:dyDescent="0.25">
      <c r="A281" s="34" t="str">
        <f t="shared" si="20"/>
        <v xml:space="preserve"> </v>
      </c>
      <c r="D281" s="33"/>
      <c r="E281" s="33"/>
      <c r="J281" s="14">
        <f t="shared" si="23"/>
        <v>0</v>
      </c>
      <c r="K281" s="2" t="str">
        <f t="shared" si="24"/>
        <v xml:space="preserve"> </v>
      </c>
      <c r="L281" s="2" t="str">
        <f t="shared" si="21"/>
        <v xml:space="preserve"> </v>
      </c>
      <c r="M281" s="2" t="str">
        <f t="shared" si="22"/>
        <v xml:space="preserve"> </v>
      </c>
    </row>
    <row r="282" spans="1:13" x14ac:dyDescent="0.25">
      <c r="A282" s="34" t="str">
        <f t="shared" si="20"/>
        <v xml:space="preserve"> </v>
      </c>
      <c r="D282" s="33"/>
      <c r="E282" s="33"/>
      <c r="J282" s="14">
        <f t="shared" si="23"/>
        <v>0</v>
      </c>
      <c r="K282" s="2" t="str">
        <f t="shared" si="24"/>
        <v xml:space="preserve"> </v>
      </c>
      <c r="L282" s="2" t="str">
        <f t="shared" si="21"/>
        <v xml:space="preserve"> </v>
      </c>
      <c r="M282" s="2" t="str">
        <f t="shared" si="22"/>
        <v xml:space="preserve"> </v>
      </c>
    </row>
    <row r="283" spans="1:13" x14ac:dyDescent="0.25">
      <c r="A283" s="34" t="str">
        <f t="shared" si="20"/>
        <v xml:space="preserve"> </v>
      </c>
      <c r="D283" s="33"/>
      <c r="E283" s="33"/>
      <c r="J283" s="14">
        <f t="shared" si="23"/>
        <v>0</v>
      </c>
      <c r="K283" s="2" t="str">
        <f t="shared" si="24"/>
        <v xml:space="preserve"> </v>
      </c>
      <c r="L283" s="2" t="str">
        <f t="shared" si="21"/>
        <v xml:space="preserve"> </v>
      </c>
      <c r="M283" s="2" t="str">
        <f t="shared" si="22"/>
        <v xml:space="preserve"> </v>
      </c>
    </row>
    <row r="284" spans="1:13" x14ac:dyDescent="0.25">
      <c r="A284" s="34" t="str">
        <f t="shared" si="20"/>
        <v xml:space="preserve"> </v>
      </c>
      <c r="D284" s="33"/>
      <c r="E284" s="33"/>
      <c r="J284" s="14">
        <f t="shared" si="23"/>
        <v>0</v>
      </c>
      <c r="K284" s="2" t="str">
        <f t="shared" si="24"/>
        <v xml:space="preserve"> </v>
      </c>
      <c r="L284" s="2" t="str">
        <f t="shared" si="21"/>
        <v xml:space="preserve"> </v>
      </c>
      <c r="M284" s="2" t="str">
        <f t="shared" si="22"/>
        <v xml:space="preserve"> </v>
      </c>
    </row>
    <row r="285" spans="1:13" x14ac:dyDescent="0.25">
      <c r="A285" s="34" t="str">
        <f t="shared" si="20"/>
        <v xml:space="preserve"> </v>
      </c>
      <c r="D285" s="33"/>
      <c r="E285" s="33"/>
      <c r="J285" s="14">
        <f t="shared" si="23"/>
        <v>0</v>
      </c>
      <c r="K285" s="2" t="str">
        <f t="shared" si="24"/>
        <v xml:space="preserve"> </v>
      </c>
      <c r="L285" s="2" t="str">
        <f t="shared" si="21"/>
        <v xml:space="preserve"> </v>
      </c>
      <c r="M285" s="2" t="str">
        <f t="shared" si="22"/>
        <v xml:space="preserve"> </v>
      </c>
    </row>
    <row r="286" spans="1:13" x14ac:dyDescent="0.25">
      <c r="A286" s="34" t="str">
        <f t="shared" si="20"/>
        <v xml:space="preserve"> </v>
      </c>
      <c r="D286" s="33"/>
      <c r="E286" s="33"/>
      <c r="J286" s="14">
        <f t="shared" si="23"/>
        <v>0</v>
      </c>
      <c r="K286" s="2" t="str">
        <f t="shared" si="24"/>
        <v xml:space="preserve"> </v>
      </c>
      <c r="L286" s="2" t="str">
        <f t="shared" si="21"/>
        <v xml:space="preserve"> </v>
      </c>
      <c r="M286" s="2" t="str">
        <f t="shared" si="22"/>
        <v xml:space="preserve"> </v>
      </c>
    </row>
    <row r="287" spans="1:13" x14ac:dyDescent="0.25">
      <c r="A287" s="34" t="str">
        <f t="shared" si="20"/>
        <v xml:space="preserve"> </v>
      </c>
      <c r="D287" s="33"/>
      <c r="E287" s="33"/>
      <c r="J287" s="14">
        <f t="shared" si="23"/>
        <v>0</v>
      </c>
      <c r="K287" s="2" t="str">
        <f t="shared" si="24"/>
        <v xml:space="preserve"> </v>
      </c>
      <c r="L287" s="2" t="str">
        <f t="shared" si="21"/>
        <v xml:space="preserve"> </v>
      </c>
      <c r="M287" s="2" t="str">
        <f t="shared" si="22"/>
        <v xml:space="preserve"> </v>
      </c>
    </row>
    <row r="288" spans="1:13" x14ac:dyDescent="0.25">
      <c r="A288" s="34" t="str">
        <f t="shared" si="20"/>
        <v xml:space="preserve"> </v>
      </c>
      <c r="D288" s="33"/>
      <c r="E288" s="33"/>
      <c r="J288" s="14">
        <f t="shared" si="23"/>
        <v>0</v>
      </c>
      <c r="K288" s="2" t="str">
        <f t="shared" si="24"/>
        <v xml:space="preserve"> </v>
      </c>
      <c r="L288" s="2" t="str">
        <f t="shared" si="21"/>
        <v xml:space="preserve"> </v>
      </c>
      <c r="M288" s="2" t="str">
        <f t="shared" si="22"/>
        <v xml:space="preserve"> </v>
      </c>
    </row>
    <row r="289" spans="1:13" x14ac:dyDescent="0.25">
      <c r="A289" s="34" t="str">
        <f t="shared" si="20"/>
        <v xml:space="preserve"> </v>
      </c>
      <c r="D289" s="33"/>
      <c r="E289" s="33"/>
      <c r="J289" s="14">
        <f t="shared" si="23"/>
        <v>0</v>
      </c>
      <c r="K289" s="2" t="str">
        <f t="shared" si="24"/>
        <v xml:space="preserve"> </v>
      </c>
      <c r="L289" s="2" t="str">
        <f t="shared" si="21"/>
        <v xml:space="preserve"> </v>
      </c>
      <c r="M289" s="2" t="str">
        <f t="shared" si="22"/>
        <v xml:space="preserve"> </v>
      </c>
    </row>
    <row r="290" spans="1:13" x14ac:dyDescent="0.25">
      <c r="A290" s="34" t="str">
        <f t="shared" si="20"/>
        <v xml:space="preserve"> </v>
      </c>
      <c r="D290" s="33"/>
      <c r="E290" s="33"/>
      <c r="J290" s="14">
        <f t="shared" si="23"/>
        <v>0</v>
      </c>
      <c r="K290" s="2" t="str">
        <f t="shared" si="24"/>
        <v xml:space="preserve"> </v>
      </c>
      <c r="L290" s="2" t="str">
        <f t="shared" si="21"/>
        <v xml:space="preserve"> </v>
      </c>
      <c r="M290" s="2" t="str">
        <f t="shared" si="22"/>
        <v xml:space="preserve"> </v>
      </c>
    </row>
    <row r="291" spans="1:13" x14ac:dyDescent="0.25">
      <c r="A291" s="34" t="str">
        <f t="shared" si="20"/>
        <v xml:space="preserve"> </v>
      </c>
      <c r="D291" s="33"/>
      <c r="E291" s="33"/>
      <c r="J291" s="14">
        <f t="shared" si="23"/>
        <v>0</v>
      </c>
      <c r="K291" s="2" t="str">
        <f t="shared" si="24"/>
        <v xml:space="preserve"> </v>
      </c>
      <c r="L291" s="2" t="str">
        <f t="shared" si="21"/>
        <v xml:space="preserve"> </v>
      </c>
      <c r="M291" s="2" t="str">
        <f t="shared" si="22"/>
        <v xml:space="preserve"> </v>
      </c>
    </row>
    <row r="292" spans="1:13" x14ac:dyDescent="0.25">
      <c r="A292" s="34" t="str">
        <f t="shared" si="20"/>
        <v xml:space="preserve"> </v>
      </c>
      <c r="D292" s="33"/>
      <c r="E292" s="33"/>
      <c r="J292" s="14">
        <f t="shared" si="23"/>
        <v>0</v>
      </c>
      <c r="K292" s="2" t="str">
        <f t="shared" si="24"/>
        <v xml:space="preserve"> </v>
      </c>
      <c r="L292" s="2" t="str">
        <f t="shared" si="21"/>
        <v xml:space="preserve"> </v>
      </c>
      <c r="M292" s="2" t="str">
        <f t="shared" si="22"/>
        <v xml:space="preserve"> </v>
      </c>
    </row>
    <row r="293" spans="1:13" x14ac:dyDescent="0.25">
      <c r="A293" s="34" t="str">
        <f t="shared" si="20"/>
        <v xml:space="preserve"> </v>
      </c>
      <c r="D293" s="33"/>
      <c r="E293" s="33"/>
      <c r="J293" s="14">
        <f t="shared" si="23"/>
        <v>0</v>
      </c>
      <c r="K293" s="2" t="str">
        <f t="shared" si="24"/>
        <v xml:space="preserve"> </v>
      </c>
      <c r="L293" s="2" t="str">
        <f t="shared" si="21"/>
        <v xml:space="preserve"> </v>
      </c>
      <c r="M293" s="2" t="str">
        <f t="shared" si="22"/>
        <v xml:space="preserve"> </v>
      </c>
    </row>
    <row r="294" spans="1:13" x14ac:dyDescent="0.25">
      <c r="A294" s="34" t="str">
        <f t="shared" si="20"/>
        <v xml:space="preserve"> </v>
      </c>
      <c r="D294" s="33"/>
      <c r="E294" s="33"/>
      <c r="J294" s="14">
        <f t="shared" si="23"/>
        <v>0</v>
      </c>
      <c r="K294" s="2" t="str">
        <f t="shared" si="24"/>
        <v xml:space="preserve"> </v>
      </c>
      <c r="L294" s="2" t="str">
        <f t="shared" si="21"/>
        <v xml:space="preserve"> </v>
      </c>
      <c r="M294" s="2" t="str">
        <f t="shared" si="22"/>
        <v xml:space="preserve"> </v>
      </c>
    </row>
    <row r="295" spans="1:13" x14ac:dyDescent="0.25">
      <c r="A295" s="34" t="str">
        <f t="shared" si="20"/>
        <v xml:space="preserve"> </v>
      </c>
      <c r="D295" s="33"/>
      <c r="E295" s="33"/>
      <c r="J295" s="14">
        <f t="shared" si="23"/>
        <v>0</v>
      </c>
      <c r="K295" s="2" t="str">
        <f t="shared" si="24"/>
        <v xml:space="preserve"> </v>
      </c>
      <c r="L295" s="2" t="str">
        <f t="shared" si="21"/>
        <v xml:space="preserve"> </v>
      </c>
      <c r="M295" s="2" t="str">
        <f t="shared" si="22"/>
        <v xml:space="preserve"> </v>
      </c>
    </row>
    <row r="296" spans="1:13" x14ac:dyDescent="0.25">
      <c r="A296" s="34" t="str">
        <f t="shared" si="20"/>
        <v xml:space="preserve"> </v>
      </c>
      <c r="D296" s="33"/>
      <c r="E296" s="33"/>
      <c r="J296" s="14">
        <f t="shared" si="23"/>
        <v>0</v>
      </c>
      <c r="K296" s="2" t="str">
        <f t="shared" si="24"/>
        <v xml:space="preserve"> </v>
      </c>
      <c r="L296" s="2" t="str">
        <f t="shared" si="21"/>
        <v xml:space="preserve"> </v>
      </c>
      <c r="M296" s="2" t="str">
        <f t="shared" si="22"/>
        <v xml:space="preserve"> </v>
      </c>
    </row>
    <row r="297" spans="1:13" x14ac:dyDescent="0.25">
      <c r="A297" s="34" t="str">
        <f t="shared" si="20"/>
        <v xml:space="preserve"> </v>
      </c>
      <c r="D297" s="33"/>
      <c r="E297" s="33"/>
      <c r="J297" s="14">
        <f t="shared" si="23"/>
        <v>0</v>
      </c>
      <c r="K297" s="2" t="str">
        <f t="shared" si="24"/>
        <v xml:space="preserve"> </v>
      </c>
      <c r="L297" s="2" t="str">
        <f t="shared" si="21"/>
        <v xml:space="preserve"> </v>
      </c>
      <c r="M297" s="2" t="str">
        <f t="shared" si="22"/>
        <v xml:space="preserve"> </v>
      </c>
    </row>
    <row r="298" spans="1:13" x14ac:dyDescent="0.25">
      <c r="A298" s="34" t="str">
        <f t="shared" si="20"/>
        <v xml:space="preserve"> </v>
      </c>
      <c r="D298" s="33"/>
      <c r="E298" s="33"/>
      <c r="J298" s="14">
        <f t="shared" si="23"/>
        <v>0</v>
      </c>
      <c r="K298" s="2" t="str">
        <f t="shared" si="24"/>
        <v xml:space="preserve"> </v>
      </c>
      <c r="L298" s="2" t="str">
        <f t="shared" si="21"/>
        <v xml:space="preserve"> </v>
      </c>
      <c r="M298" s="2" t="str">
        <f t="shared" si="22"/>
        <v xml:space="preserve"> </v>
      </c>
    </row>
    <row r="299" spans="1:13" x14ac:dyDescent="0.25">
      <c r="A299" s="34" t="str">
        <f t="shared" si="20"/>
        <v xml:space="preserve"> </v>
      </c>
      <c r="D299" s="33"/>
      <c r="E299" s="33"/>
      <c r="J299" s="14">
        <f t="shared" si="23"/>
        <v>0</v>
      </c>
      <c r="K299" s="2" t="str">
        <f t="shared" si="24"/>
        <v xml:space="preserve"> </v>
      </c>
      <c r="L299" s="2" t="str">
        <f t="shared" si="21"/>
        <v xml:space="preserve"> </v>
      </c>
      <c r="M299" s="2" t="str">
        <f t="shared" si="22"/>
        <v xml:space="preserve"> </v>
      </c>
    </row>
    <row r="300" spans="1:13" x14ac:dyDescent="0.25">
      <c r="A300" s="34" t="str">
        <f t="shared" si="20"/>
        <v xml:space="preserve"> </v>
      </c>
      <c r="D300" s="33"/>
      <c r="E300" s="33"/>
      <c r="J300" s="14">
        <f t="shared" si="23"/>
        <v>0</v>
      </c>
      <c r="K300" s="2" t="str">
        <f t="shared" si="24"/>
        <v xml:space="preserve"> </v>
      </c>
      <c r="L300" s="2" t="str">
        <f t="shared" si="21"/>
        <v xml:space="preserve"> </v>
      </c>
      <c r="M300" s="2" t="str">
        <f t="shared" si="22"/>
        <v xml:space="preserve"> </v>
      </c>
    </row>
    <row r="301" spans="1:13" x14ac:dyDescent="0.25">
      <c r="A301" s="34" t="str">
        <f t="shared" si="20"/>
        <v xml:space="preserve"> </v>
      </c>
      <c r="D301" s="33"/>
      <c r="E301" s="33"/>
      <c r="J301" s="14">
        <f t="shared" si="23"/>
        <v>0</v>
      </c>
      <c r="K301" s="2" t="str">
        <f t="shared" si="24"/>
        <v xml:space="preserve"> </v>
      </c>
      <c r="L301" s="2" t="str">
        <f t="shared" si="21"/>
        <v xml:space="preserve"> </v>
      </c>
      <c r="M301" s="2" t="str">
        <f t="shared" si="22"/>
        <v xml:space="preserve"> </v>
      </c>
    </row>
    <row r="302" spans="1:13" x14ac:dyDescent="0.25">
      <c r="A302" s="34" t="str">
        <f t="shared" si="20"/>
        <v xml:space="preserve"> </v>
      </c>
      <c r="D302" s="33"/>
      <c r="E302" s="33"/>
      <c r="J302" s="14">
        <f t="shared" si="23"/>
        <v>0</v>
      </c>
      <c r="K302" s="2" t="str">
        <f t="shared" si="24"/>
        <v xml:space="preserve"> </v>
      </c>
      <c r="L302" s="2" t="str">
        <f t="shared" si="21"/>
        <v xml:space="preserve"> </v>
      </c>
      <c r="M302" s="2" t="str">
        <f t="shared" si="22"/>
        <v xml:space="preserve"> </v>
      </c>
    </row>
    <row r="303" spans="1:13" x14ac:dyDescent="0.25">
      <c r="A303" s="34" t="str">
        <f t="shared" si="20"/>
        <v xml:space="preserve"> </v>
      </c>
      <c r="D303" s="33"/>
      <c r="E303" s="33"/>
      <c r="J303" s="14">
        <f t="shared" si="23"/>
        <v>0</v>
      </c>
      <c r="K303" s="2" t="str">
        <f t="shared" si="24"/>
        <v xml:space="preserve"> </v>
      </c>
      <c r="L303" s="2" t="str">
        <f t="shared" si="21"/>
        <v xml:space="preserve"> </v>
      </c>
      <c r="M303" s="2" t="str">
        <f t="shared" si="22"/>
        <v xml:space="preserve"> </v>
      </c>
    </row>
    <row r="304" spans="1:13" x14ac:dyDescent="0.25">
      <c r="A304" s="34" t="str">
        <f t="shared" si="20"/>
        <v xml:space="preserve"> </v>
      </c>
      <c r="D304" s="33"/>
      <c r="E304" s="33"/>
      <c r="J304" s="14">
        <f t="shared" si="23"/>
        <v>0</v>
      </c>
      <c r="K304" s="2" t="str">
        <f t="shared" si="24"/>
        <v xml:space="preserve"> </v>
      </c>
      <c r="L304" s="2" t="str">
        <f t="shared" si="21"/>
        <v xml:space="preserve"> </v>
      </c>
      <c r="M304" s="2" t="str">
        <f t="shared" si="22"/>
        <v xml:space="preserve"> </v>
      </c>
    </row>
    <row r="305" spans="1:13" x14ac:dyDescent="0.25">
      <c r="A305" s="34" t="str">
        <f t="shared" si="20"/>
        <v xml:space="preserve"> </v>
      </c>
      <c r="D305" s="33"/>
      <c r="E305" s="33"/>
      <c r="J305" s="14">
        <f t="shared" si="23"/>
        <v>0</v>
      </c>
      <c r="K305" s="2" t="str">
        <f t="shared" si="24"/>
        <v xml:space="preserve"> </v>
      </c>
      <c r="L305" s="2" t="str">
        <f t="shared" si="21"/>
        <v xml:space="preserve"> </v>
      </c>
      <c r="M305" s="2" t="str">
        <f t="shared" si="22"/>
        <v xml:space="preserve"> </v>
      </c>
    </row>
    <row r="306" spans="1:13" x14ac:dyDescent="0.25">
      <c r="A306" s="34" t="str">
        <f t="shared" si="20"/>
        <v xml:space="preserve"> </v>
      </c>
      <c r="D306" s="33"/>
      <c r="E306" s="33"/>
      <c r="J306" s="14">
        <f t="shared" si="23"/>
        <v>0</v>
      </c>
      <c r="K306" s="2" t="str">
        <f t="shared" si="24"/>
        <v xml:space="preserve"> </v>
      </c>
      <c r="L306" s="2" t="str">
        <f t="shared" si="21"/>
        <v xml:space="preserve"> </v>
      </c>
      <c r="M306" s="2" t="str">
        <f t="shared" si="22"/>
        <v xml:space="preserve"> </v>
      </c>
    </row>
    <row r="307" spans="1:13" x14ac:dyDescent="0.25">
      <c r="A307" s="34" t="str">
        <f t="shared" si="20"/>
        <v xml:space="preserve"> </v>
      </c>
      <c r="D307" s="33"/>
      <c r="E307" s="33"/>
      <c r="J307" s="14">
        <f t="shared" si="23"/>
        <v>0</v>
      </c>
      <c r="K307" s="2" t="str">
        <f t="shared" si="24"/>
        <v xml:space="preserve"> </v>
      </c>
      <c r="L307" s="2" t="str">
        <f t="shared" si="21"/>
        <v xml:space="preserve"> </v>
      </c>
      <c r="M307" s="2" t="str">
        <f t="shared" si="22"/>
        <v xml:space="preserve"> </v>
      </c>
    </row>
    <row r="308" spans="1:13" x14ac:dyDescent="0.25">
      <c r="A308" s="34" t="str">
        <f t="shared" si="20"/>
        <v xml:space="preserve"> </v>
      </c>
      <c r="D308" s="33"/>
      <c r="E308" s="33"/>
      <c r="J308" s="14">
        <f t="shared" si="23"/>
        <v>0</v>
      </c>
      <c r="K308" s="2" t="str">
        <f t="shared" si="24"/>
        <v xml:space="preserve"> </v>
      </c>
      <c r="L308" s="2" t="str">
        <f t="shared" si="21"/>
        <v xml:space="preserve"> </v>
      </c>
      <c r="M308" s="2" t="str">
        <f t="shared" si="22"/>
        <v xml:space="preserve"> </v>
      </c>
    </row>
    <row r="309" spans="1:13" x14ac:dyDescent="0.25">
      <c r="A309" s="34" t="str">
        <f t="shared" si="20"/>
        <v xml:space="preserve"> </v>
      </c>
      <c r="D309" s="33"/>
      <c r="E309" s="33"/>
      <c r="J309" s="14">
        <f t="shared" si="23"/>
        <v>0</v>
      </c>
      <c r="K309" s="2" t="str">
        <f t="shared" si="24"/>
        <v xml:space="preserve"> </v>
      </c>
      <c r="L309" s="2" t="str">
        <f t="shared" si="21"/>
        <v xml:space="preserve"> </v>
      </c>
      <c r="M309" s="2" t="str">
        <f t="shared" si="22"/>
        <v xml:space="preserve"> </v>
      </c>
    </row>
    <row r="310" spans="1:13" x14ac:dyDescent="0.25">
      <c r="A310" s="34" t="str">
        <f t="shared" si="20"/>
        <v xml:space="preserve"> </v>
      </c>
      <c r="D310" s="33"/>
      <c r="E310" s="33"/>
      <c r="J310" s="14">
        <f t="shared" si="23"/>
        <v>0</v>
      </c>
      <c r="K310" s="2" t="str">
        <f t="shared" si="24"/>
        <v xml:space="preserve"> </v>
      </c>
      <c r="L310" s="2" t="str">
        <f t="shared" si="21"/>
        <v xml:space="preserve"> </v>
      </c>
      <c r="M310" s="2" t="str">
        <f t="shared" si="22"/>
        <v xml:space="preserve"> </v>
      </c>
    </row>
    <row r="311" spans="1:13" x14ac:dyDescent="0.25">
      <c r="A311" s="34" t="str">
        <f t="shared" si="20"/>
        <v xml:space="preserve"> </v>
      </c>
      <c r="D311" s="33"/>
      <c r="E311" s="33"/>
      <c r="J311" s="14">
        <f t="shared" si="23"/>
        <v>0</v>
      </c>
      <c r="K311" s="2" t="str">
        <f t="shared" si="24"/>
        <v xml:space="preserve"> </v>
      </c>
      <c r="L311" s="2" t="str">
        <f t="shared" si="21"/>
        <v xml:space="preserve"> </v>
      </c>
      <c r="M311" s="2" t="str">
        <f t="shared" si="22"/>
        <v xml:space="preserve"> </v>
      </c>
    </row>
    <row r="312" spans="1:13" x14ac:dyDescent="0.25">
      <c r="A312" s="34" t="str">
        <f t="shared" si="20"/>
        <v xml:space="preserve"> </v>
      </c>
      <c r="D312" s="33"/>
      <c r="E312" s="33"/>
      <c r="J312" s="14">
        <f t="shared" si="23"/>
        <v>0</v>
      </c>
      <c r="K312" s="2" t="str">
        <f t="shared" si="24"/>
        <v xml:space="preserve"> </v>
      </c>
      <c r="L312" s="2" t="str">
        <f t="shared" si="21"/>
        <v xml:space="preserve"> </v>
      </c>
      <c r="M312" s="2" t="str">
        <f t="shared" si="22"/>
        <v xml:space="preserve"> </v>
      </c>
    </row>
    <row r="313" spans="1:13" x14ac:dyDescent="0.25">
      <c r="A313" s="34" t="str">
        <f t="shared" si="20"/>
        <v xml:space="preserve"> </v>
      </c>
      <c r="D313" s="33"/>
      <c r="E313" s="33"/>
      <c r="J313" s="14">
        <f t="shared" si="23"/>
        <v>0</v>
      </c>
      <c r="K313" s="2" t="str">
        <f t="shared" si="24"/>
        <v xml:space="preserve"> </v>
      </c>
      <c r="L313" s="2" t="str">
        <f t="shared" si="21"/>
        <v xml:space="preserve"> </v>
      </c>
      <c r="M313" s="2" t="str">
        <f t="shared" si="22"/>
        <v xml:space="preserve"> </v>
      </c>
    </row>
    <row r="314" spans="1:13" x14ac:dyDescent="0.25">
      <c r="A314" s="34" t="str">
        <f t="shared" si="20"/>
        <v xml:space="preserve"> </v>
      </c>
      <c r="D314" s="33"/>
      <c r="E314" s="33"/>
      <c r="J314" s="14">
        <f t="shared" si="23"/>
        <v>0</v>
      </c>
      <c r="K314" s="2" t="str">
        <f t="shared" si="24"/>
        <v xml:space="preserve"> </v>
      </c>
      <c r="L314" s="2" t="str">
        <f t="shared" si="21"/>
        <v xml:space="preserve"> </v>
      </c>
      <c r="M314" s="2" t="str">
        <f t="shared" si="22"/>
        <v xml:space="preserve"> </v>
      </c>
    </row>
    <row r="315" spans="1:13" x14ac:dyDescent="0.25">
      <c r="A315" s="34" t="str">
        <f t="shared" si="20"/>
        <v xml:space="preserve"> </v>
      </c>
      <c r="D315" s="33"/>
      <c r="E315" s="33"/>
      <c r="J315" s="14">
        <f t="shared" si="23"/>
        <v>0</v>
      </c>
      <c r="K315" s="2" t="str">
        <f t="shared" si="24"/>
        <v xml:space="preserve"> </v>
      </c>
      <c r="L315" s="2" t="str">
        <f t="shared" si="21"/>
        <v xml:space="preserve"> </v>
      </c>
      <c r="M315" s="2" t="str">
        <f t="shared" si="22"/>
        <v xml:space="preserve"> </v>
      </c>
    </row>
    <row r="316" spans="1:13" x14ac:dyDescent="0.25">
      <c r="A316" s="34" t="str">
        <f t="shared" si="20"/>
        <v xml:space="preserve"> </v>
      </c>
      <c r="D316" s="33"/>
      <c r="E316" s="33"/>
      <c r="J316" s="14">
        <f t="shared" si="23"/>
        <v>0</v>
      </c>
      <c r="K316" s="2" t="str">
        <f t="shared" si="24"/>
        <v xml:space="preserve"> </v>
      </c>
      <c r="L316" s="2" t="str">
        <f t="shared" si="21"/>
        <v xml:space="preserve"> </v>
      </c>
      <c r="M316" s="2" t="str">
        <f t="shared" si="22"/>
        <v xml:space="preserve"> </v>
      </c>
    </row>
    <row r="317" spans="1:13" x14ac:dyDescent="0.25">
      <c r="A317" s="34" t="str">
        <f t="shared" si="20"/>
        <v xml:space="preserve"> </v>
      </c>
      <c r="D317" s="33"/>
      <c r="E317" s="33"/>
      <c r="J317" s="14">
        <f t="shared" si="23"/>
        <v>0</v>
      </c>
      <c r="K317" s="2" t="str">
        <f t="shared" si="24"/>
        <v xml:space="preserve"> </v>
      </c>
      <c r="L317" s="2" t="str">
        <f t="shared" si="21"/>
        <v xml:space="preserve"> </v>
      </c>
      <c r="M317" s="2" t="str">
        <f t="shared" si="22"/>
        <v xml:space="preserve"> </v>
      </c>
    </row>
    <row r="318" spans="1:13" x14ac:dyDescent="0.25">
      <c r="A318" s="34" t="str">
        <f t="shared" si="20"/>
        <v xml:space="preserve"> </v>
      </c>
      <c r="D318" s="33"/>
      <c r="E318" s="33"/>
      <c r="J318" s="14">
        <f t="shared" si="23"/>
        <v>0</v>
      </c>
      <c r="K318" s="2" t="str">
        <f t="shared" si="24"/>
        <v xml:space="preserve"> </v>
      </c>
      <c r="L318" s="2" t="str">
        <f t="shared" si="21"/>
        <v xml:space="preserve"> </v>
      </c>
      <c r="M318" s="2" t="str">
        <f t="shared" si="22"/>
        <v xml:space="preserve"> </v>
      </c>
    </row>
    <row r="319" spans="1:13" x14ac:dyDescent="0.25">
      <c r="A319" s="34" t="str">
        <f t="shared" si="20"/>
        <v xml:space="preserve"> </v>
      </c>
      <c r="D319" s="33"/>
      <c r="E319" s="33"/>
      <c r="J319" s="14">
        <f t="shared" si="23"/>
        <v>0</v>
      </c>
      <c r="K319" s="2" t="str">
        <f t="shared" si="24"/>
        <v xml:space="preserve"> </v>
      </c>
      <c r="L319" s="2" t="str">
        <f t="shared" si="21"/>
        <v xml:space="preserve"> </v>
      </c>
      <c r="M319" s="2" t="str">
        <f t="shared" si="22"/>
        <v xml:space="preserve"> </v>
      </c>
    </row>
    <row r="320" spans="1:13" x14ac:dyDescent="0.25">
      <c r="A320" s="34" t="str">
        <f t="shared" si="20"/>
        <v xml:space="preserve"> </v>
      </c>
      <c r="D320" s="33"/>
      <c r="E320" s="33"/>
      <c r="J320" s="14">
        <f t="shared" si="23"/>
        <v>0</v>
      </c>
      <c r="K320" s="2" t="str">
        <f t="shared" si="24"/>
        <v xml:space="preserve"> </v>
      </c>
      <c r="L320" s="2" t="str">
        <f t="shared" si="21"/>
        <v xml:space="preserve"> </v>
      </c>
      <c r="M320" s="2" t="str">
        <f t="shared" si="22"/>
        <v xml:space="preserve"> </v>
      </c>
    </row>
    <row r="321" spans="1:13" x14ac:dyDescent="0.25">
      <c r="A321" s="34" t="str">
        <f t="shared" si="20"/>
        <v xml:space="preserve"> </v>
      </c>
      <c r="D321" s="33"/>
      <c r="E321" s="33"/>
      <c r="J321" s="14">
        <f t="shared" si="23"/>
        <v>0</v>
      </c>
      <c r="K321" s="2" t="str">
        <f t="shared" si="24"/>
        <v xml:space="preserve"> </v>
      </c>
      <c r="L321" s="2" t="str">
        <f t="shared" si="21"/>
        <v xml:space="preserve"> </v>
      </c>
      <c r="M321" s="2" t="str">
        <f t="shared" si="22"/>
        <v xml:space="preserve"> </v>
      </c>
    </row>
    <row r="322" spans="1:13" x14ac:dyDescent="0.25">
      <c r="A322" s="34" t="str">
        <f t="shared" si="20"/>
        <v xml:space="preserve"> </v>
      </c>
      <c r="D322" s="33"/>
      <c r="E322" s="33"/>
      <c r="J322" s="14">
        <f t="shared" si="23"/>
        <v>0</v>
      </c>
      <c r="K322" s="2" t="str">
        <f t="shared" si="24"/>
        <v xml:space="preserve"> </v>
      </c>
      <c r="L322" s="2" t="str">
        <f t="shared" si="21"/>
        <v xml:space="preserve"> </v>
      </c>
      <c r="M322" s="2" t="str">
        <f t="shared" si="22"/>
        <v xml:space="preserve"> </v>
      </c>
    </row>
    <row r="323" spans="1:13" x14ac:dyDescent="0.25">
      <c r="A323" s="34" t="str">
        <f t="shared" si="20"/>
        <v xml:space="preserve"> </v>
      </c>
      <c r="D323" s="33"/>
      <c r="E323" s="33"/>
      <c r="J323" s="14">
        <f t="shared" si="23"/>
        <v>0</v>
      </c>
      <c r="K323" s="2" t="str">
        <f t="shared" si="24"/>
        <v xml:space="preserve"> </v>
      </c>
      <c r="L323" s="2" t="str">
        <f t="shared" si="21"/>
        <v xml:space="preserve"> </v>
      </c>
      <c r="M323" s="2" t="str">
        <f t="shared" si="22"/>
        <v xml:space="preserve"> </v>
      </c>
    </row>
    <row r="324" spans="1:13" x14ac:dyDescent="0.25">
      <c r="A324" s="34" t="str">
        <f t="shared" si="20"/>
        <v xml:space="preserve"> </v>
      </c>
      <c r="D324" s="33"/>
      <c r="E324" s="33"/>
      <c r="J324" s="14">
        <f t="shared" si="23"/>
        <v>0</v>
      </c>
      <c r="K324" s="2" t="str">
        <f t="shared" si="24"/>
        <v xml:space="preserve"> </v>
      </c>
      <c r="L324" s="2" t="str">
        <f t="shared" si="21"/>
        <v xml:space="preserve"> </v>
      </c>
      <c r="M324" s="2" t="str">
        <f t="shared" si="22"/>
        <v xml:space="preserve"> </v>
      </c>
    </row>
    <row r="325" spans="1:13" x14ac:dyDescent="0.25">
      <c r="A325" s="34" t="str">
        <f t="shared" si="20"/>
        <v xml:space="preserve"> </v>
      </c>
      <c r="D325" s="33"/>
      <c r="E325" s="33"/>
      <c r="J325" s="14">
        <f t="shared" si="23"/>
        <v>0</v>
      </c>
      <c r="K325" s="2" t="str">
        <f t="shared" si="24"/>
        <v xml:space="preserve"> </v>
      </c>
      <c r="L325" s="2" t="str">
        <f t="shared" si="21"/>
        <v xml:space="preserve"> </v>
      </c>
      <c r="M325" s="2" t="str">
        <f t="shared" si="22"/>
        <v xml:space="preserve"> </v>
      </c>
    </row>
    <row r="326" spans="1:13" x14ac:dyDescent="0.25">
      <c r="A326" s="34" t="str">
        <f t="shared" si="20"/>
        <v xml:space="preserve"> </v>
      </c>
      <c r="D326" s="33"/>
      <c r="E326" s="33"/>
      <c r="J326" s="14">
        <f t="shared" si="23"/>
        <v>0</v>
      </c>
      <c r="K326" s="2" t="str">
        <f t="shared" si="24"/>
        <v xml:space="preserve"> </v>
      </c>
      <c r="L326" s="2" t="str">
        <f t="shared" si="21"/>
        <v xml:space="preserve"> </v>
      </c>
      <c r="M326" s="2" t="str">
        <f t="shared" si="22"/>
        <v xml:space="preserve"> </v>
      </c>
    </row>
    <row r="327" spans="1:13" x14ac:dyDescent="0.25">
      <c r="A327" s="34" t="str">
        <f t="shared" si="20"/>
        <v xml:space="preserve"> </v>
      </c>
      <c r="D327" s="33"/>
      <c r="E327" s="33"/>
      <c r="J327" s="14">
        <f t="shared" si="23"/>
        <v>0</v>
      </c>
      <c r="K327" s="2" t="str">
        <f t="shared" si="24"/>
        <v xml:space="preserve"> </v>
      </c>
      <c r="L327" s="2" t="str">
        <f t="shared" si="21"/>
        <v xml:space="preserve"> </v>
      </c>
      <c r="M327" s="2" t="str">
        <f t="shared" si="22"/>
        <v xml:space="preserve"> </v>
      </c>
    </row>
    <row r="328" spans="1:13" x14ac:dyDescent="0.25">
      <c r="A328" s="34" t="str">
        <f t="shared" si="20"/>
        <v xml:space="preserve"> </v>
      </c>
      <c r="D328" s="33"/>
      <c r="E328" s="33"/>
      <c r="J328" s="14">
        <f t="shared" si="23"/>
        <v>0</v>
      </c>
      <c r="K328" s="2" t="str">
        <f t="shared" si="24"/>
        <v xml:space="preserve"> </v>
      </c>
      <c r="L328" s="2" t="str">
        <f t="shared" si="21"/>
        <v xml:space="preserve"> </v>
      </c>
      <c r="M328" s="2" t="str">
        <f t="shared" si="22"/>
        <v xml:space="preserve"> </v>
      </c>
    </row>
    <row r="329" spans="1:13" x14ac:dyDescent="0.25">
      <c r="A329" s="34" t="str">
        <f t="shared" si="20"/>
        <v xml:space="preserve"> </v>
      </c>
      <c r="D329" s="33"/>
      <c r="E329" s="33"/>
      <c r="J329" s="14">
        <f t="shared" si="23"/>
        <v>0</v>
      </c>
      <c r="K329" s="2" t="str">
        <f t="shared" si="24"/>
        <v xml:space="preserve"> </v>
      </c>
      <c r="L329" s="2" t="str">
        <f t="shared" si="21"/>
        <v xml:space="preserve"> </v>
      </c>
      <c r="M329" s="2" t="str">
        <f t="shared" si="22"/>
        <v xml:space="preserve"> </v>
      </c>
    </row>
    <row r="330" spans="1:13" x14ac:dyDescent="0.25">
      <c r="A330" s="34" t="str">
        <f t="shared" si="20"/>
        <v xml:space="preserve"> </v>
      </c>
      <c r="D330" s="33"/>
      <c r="E330" s="33"/>
      <c r="J330" s="14">
        <f t="shared" si="23"/>
        <v>0</v>
      </c>
      <c r="K330" s="2" t="str">
        <f t="shared" si="24"/>
        <v xml:space="preserve"> </v>
      </c>
      <c r="L330" s="2" t="str">
        <f t="shared" si="21"/>
        <v xml:space="preserve"> </v>
      </c>
      <c r="M330" s="2" t="str">
        <f t="shared" si="22"/>
        <v xml:space="preserve"> </v>
      </c>
    </row>
    <row r="331" spans="1:13" x14ac:dyDescent="0.25">
      <c r="A331" s="34" t="str">
        <f t="shared" si="20"/>
        <v xml:space="preserve"> </v>
      </c>
      <c r="D331" s="33"/>
      <c r="E331" s="33"/>
      <c r="J331" s="14">
        <f t="shared" si="23"/>
        <v>0</v>
      </c>
      <c r="K331" s="2" t="str">
        <f t="shared" si="24"/>
        <v xml:space="preserve"> </v>
      </c>
      <c r="L331" s="2" t="str">
        <f t="shared" si="21"/>
        <v xml:space="preserve"> </v>
      </c>
      <c r="M331" s="2" t="str">
        <f t="shared" si="22"/>
        <v xml:space="preserve"> </v>
      </c>
    </row>
    <row r="332" spans="1:13" x14ac:dyDescent="0.25">
      <c r="A332" s="34" t="str">
        <f t="shared" si="20"/>
        <v xml:space="preserve"> </v>
      </c>
      <c r="D332" s="33"/>
      <c r="E332" s="33"/>
      <c r="J332" s="14">
        <f t="shared" si="23"/>
        <v>0</v>
      </c>
      <c r="K332" s="2" t="str">
        <f t="shared" si="24"/>
        <v xml:space="preserve"> </v>
      </c>
      <c r="L332" s="2" t="str">
        <f t="shared" si="21"/>
        <v xml:space="preserve"> </v>
      </c>
      <c r="M332" s="2" t="str">
        <f t="shared" si="22"/>
        <v xml:space="preserve"> </v>
      </c>
    </row>
    <row r="333" spans="1:13" x14ac:dyDescent="0.25">
      <c r="A333" s="34" t="str">
        <f t="shared" si="20"/>
        <v xml:space="preserve"> </v>
      </c>
      <c r="D333" s="33"/>
      <c r="E333" s="33"/>
      <c r="J333" s="14">
        <f t="shared" si="23"/>
        <v>0</v>
      </c>
      <c r="K333" s="2" t="str">
        <f t="shared" si="24"/>
        <v xml:space="preserve"> </v>
      </c>
      <c r="L333" s="2" t="str">
        <f t="shared" si="21"/>
        <v xml:space="preserve"> </v>
      </c>
      <c r="M333" s="2" t="str">
        <f t="shared" si="22"/>
        <v xml:space="preserve"> </v>
      </c>
    </row>
    <row r="334" spans="1:13" x14ac:dyDescent="0.25">
      <c r="A334" s="34" t="str">
        <f t="shared" si="20"/>
        <v xml:space="preserve"> </v>
      </c>
      <c r="D334" s="33"/>
      <c r="E334" s="33"/>
      <c r="J334" s="14">
        <f t="shared" si="23"/>
        <v>0</v>
      </c>
      <c r="K334" s="2" t="str">
        <f t="shared" si="24"/>
        <v xml:space="preserve"> </v>
      </c>
      <c r="L334" s="2" t="str">
        <f t="shared" si="21"/>
        <v xml:space="preserve"> </v>
      </c>
      <c r="M334" s="2" t="str">
        <f t="shared" si="22"/>
        <v xml:space="preserve"> </v>
      </c>
    </row>
    <row r="335" spans="1:13" x14ac:dyDescent="0.25">
      <c r="A335" s="34" t="str">
        <f t="shared" ref="A335:A398" si="25">IF(COUNTIF(K335:M335,"ERROR")&gt;0,"ERROR"," ")</f>
        <v xml:space="preserve"> </v>
      </c>
      <c r="D335" s="33"/>
      <c r="E335" s="33"/>
      <c r="J335" s="14">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x14ac:dyDescent="0.25">
      <c r="A336" s="34" t="str">
        <f t="shared" si="25"/>
        <v xml:space="preserve"> </v>
      </c>
      <c r="D336" s="33"/>
      <c r="E336" s="33"/>
      <c r="J336" s="14">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4" t="str">
        <f t="shared" si="25"/>
        <v xml:space="preserve"> </v>
      </c>
      <c r="D337" s="33"/>
      <c r="E337" s="33"/>
      <c r="J337" s="14">
        <f t="shared" si="28"/>
        <v>0</v>
      </c>
      <c r="K337" s="2" t="str">
        <f t="shared" si="29"/>
        <v xml:space="preserve"> </v>
      </c>
      <c r="L337" s="2" t="str">
        <f t="shared" si="26"/>
        <v xml:space="preserve"> </v>
      </c>
      <c r="M337" s="2" t="str">
        <f t="shared" si="27"/>
        <v xml:space="preserve"> </v>
      </c>
    </row>
    <row r="338" spans="1:13" x14ac:dyDescent="0.25">
      <c r="A338" s="34" t="str">
        <f t="shared" si="25"/>
        <v xml:space="preserve"> </v>
      </c>
      <c r="D338" s="33"/>
      <c r="E338" s="33"/>
      <c r="J338" s="14">
        <f t="shared" si="28"/>
        <v>0</v>
      </c>
      <c r="K338" s="2" t="str">
        <f t="shared" si="29"/>
        <v xml:space="preserve"> </v>
      </c>
      <c r="L338" s="2" t="str">
        <f t="shared" si="26"/>
        <v xml:space="preserve"> </v>
      </c>
      <c r="M338" s="2" t="str">
        <f t="shared" si="27"/>
        <v xml:space="preserve"> </v>
      </c>
    </row>
    <row r="339" spans="1:13" x14ac:dyDescent="0.25">
      <c r="A339" s="34" t="str">
        <f t="shared" si="25"/>
        <v xml:space="preserve"> </v>
      </c>
      <c r="D339" s="33"/>
      <c r="E339" s="33"/>
      <c r="J339" s="14">
        <f t="shared" si="28"/>
        <v>0</v>
      </c>
      <c r="K339" s="2" t="str">
        <f t="shared" si="29"/>
        <v xml:space="preserve"> </v>
      </c>
      <c r="L339" s="2" t="str">
        <f t="shared" si="26"/>
        <v xml:space="preserve"> </v>
      </c>
      <c r="M339" s="2" t="str">
        <f t="shared" si="27"/>
        <v xml:space="preserve"> </v>
      </c>
    </row>
    <row r="340" spans="1:13" x14ac:dyDescent="0.25">
      <c r="A340" s="34" t="str">
        <f t="shared" si="25"/>
        <v xml:space="preserve"> </v>
      </c>
      <c r="D340" s="33"/>
      <c r="E340" s="33"/>
      <c r="J340" s="14">
        <f t="shared" si="28"/>
        <v>0</v>
      </c>
      <c r="K340" s="2" t="str">
        <f t="shared" si="29"/>
        <v xml:space="preserve"> </v>
      </c>
      <c r="L340" s="2" t="str">
        <f t="shared" si="26"/>
        <v xml:space="preserve"> </v>
      </c>
      <c r="M340" s="2" t="str">
        <f t="shared" si="27"/>
        <v xml:space="preserve"> </v>
      </c>
    </row>
    <row r="341" spans="1:13" x14ac:dyDescent="0.25">
      <c r="A341" s="34" t="str">
        <f t="shared" si="25"/>
        <v xml:space="preserve"> </v>
      </c>
      <c r="D341" s="33"/>
      <c r="E341" s="33"/>
      <c r="J341" s="14">
        <f t="shared" si="28"/>
        <v>0</v>
      </c>
      <c r="K341" s="2" t="str">
        <f t="shared" si="29"/>
        <v xml:space="preserve"> </v>
      </c>
      <c r="L341" s="2" t="str">
        <f t="shared" si="26"/>
        <v xml:space="preserve"> </v>
      </c>
      <c r="M341" s="2" t="str">
        <f t="shared" si="27"/>
        <v xml:space="preserve"> </v>
      </c>
    </row>
    <row r="342" spans="1:13" x14ac:dyDescent="0.25">
      <c r="A342" s="34" t="str">
        <f t="shared" si="25"/>
        <v xml:space="preserve"> </v>
      </c>
      <c r="D342" s="33"/>
      <c r="E342" s="33"/>
      <c r="J342" s="14">
        <f t="shared" si="28"/>
        <v>0</v>
      </c>
      <c r="K342" s="2" t="str">
        <f t="shared" si="29"/>
        <v xml:space="preserve"> </v>
      </c>
      <c r="L342" s="2" t="str">
        <f t="shared" si="26"/>
        <v xml:space="preserve"> </v>
      </c>
      <c r="M342" s="2" t="str">
        <f t="shared" si="27"/>
        <v xml:space="preserve"> </v>
      </c>
    </row>
    <row r="343" spans="1:13" x14ac:dyDescent="0.25">
      <c r="A343" s="34" t="str">
        <f t="shared" si="25"/>
        <v xml:space="preserve"> </v>
      </c>
      <c r="D343" s="33"/>
      <c r="E343" s="33"/>
      <c r="J343" s="14">
        <f t="shared" si="28"/>
        <v>0</v>
      </c>
      <c r="K343" s="2" t="str">
        <f t="shared" si="29"/>
        <v xml:space="preserve"> </v>
      </c>
      <c r="L343" s="2" t="str">
        <f t="shared" si="26"/>
        <v xml:space="preserve"> </v>
      </c>
      <c r="M343" s="2" t="str">
        <f t="shared" si="27"/>
        <v xml:space="preserve"> </v>
      </c>
    </row>
    <row r="344" spans="1:13" x14ac:dyDescent="0.25">
      <c r="A344" s="34" t="str">
        <f t="shared" si="25"/>
        <v xml:space="preserve"> </v>
      </c>
      <c r="D344" s="33"/>
      <c r="E344" s="33"/>
      <c r="J344" s="14">
        <f t="shared" si="28"/>
        <v>0</v>
      </c>
      <c r="K344" s="2" t="str">
        <f t="shared" si="29"/>
        <v xml:space="preserve"> </v>
      </c>
      <c r="L344" s="2" t="str">
        <f t="shared" si="26"/>
        <v xml:space="preserve"> </v>
      </c>
      <c r="M344" s="2" t="str">
        <f t="shared" si="27"/>
        <v xml:space="preserve"> </v>
      </c>
    </row>
    <row r="345" spans="1:13" x14ac:dyDescent="0.25">
      <c r="A345" s="34" t="str">
        <f t="shared" si="25"/>
        <v xml:space="preserve"> </v>
      </c>
      <c r="D345" s="33"/>
      <c r="E345" s="33"/>
      <c r="J345" s="14">
        <f t="shared" si="28"/>
        <v>0</v>
      </c>
      <c r="K345" s="2" t="str">
        <f t="shared" si="29"/>
        <v xml:space="preserve"> </v>
      </c>
      <c r="L345" s="2" t="str">
        <f t="shared" si="26"/>
        <v xml:space="preserve"> </v>
      </c>
      <c r="M345" s="2" t="str">
        <f t="shared" si="27"/>
        <v xml:space="preserve"> </v>
      </c>
    </row>
    <row r="346" spans="1:13" x14ac:dyDescent="0.25">
      <c r="A346" s="34" t="str">
        <f t="shared" si="25"/>
        <v xml:space="preserve"> </v>
      </c>
      <c r="D346" s="33"/>
      <c r="E346" s="33"/>
      <c r="J346" s="14">
        <f t="shared" si="28"/>
        <v>0</v>
      </c>
      <c r="K346" s="2" t="str">
        <f t="shared" si="29"/>
        <v xml:space="preserve"> </v>
      </c>
      <c r="L346" s="2" t="str">
        <f t="shared" si="26"/>
        <v xml:space="preserve"> </v>
      </c>
      <c r="M346" s="2" t="str">
        <f t="shared" si="27"/>
        <v xml:space="preserve"> </v>
      </c>
    </row>
    <row r="347" spans="1:13" x14ac:dyDescent="0.25">
      <c r="A347" s="34" t="str">
        <f t="shared" si="25"/>
        <v xml:space="preserve"> </v>
      </c>
      <c r="D347" s="33"/>
      <c r="E347" s="33"/>
      <c r="J347" s="14">
        <f t="shared" si="28"/>
        <v>0</v>
      </c>
      <c r="K347" s="2" t="str">
        <f t="shared" si="29"/>
        <v xml:space="preserve"> </v>
      </c>
      <c r="L347" s="2" t="str">
        <f t="shared" si="26"/>
        <v xml:space="preserve"> </v>
      </c>
      <c r="M347" s="2" t="str">
        <f t="shared" si="27"/>
        <v xml:space="preserve"> </v>
      </c>
    </row>
    <row r="348" spans="1:13" x14ac:dyDescent="0.25">
      <c r="A348" s="34" t="str">
        <f t="shared" si="25"/>
        <v xml:space="preserve"> </v>
      </c>
      <c r="D348" s="33"/>
      <c r="E348" s="33"/>
      <c r="J348" s="14">
        <f t="shared" si="28"/>
        <v>0</v>
      </c>
      <c r="K348" s="2" t="str">
        <f t="shared" si="29"/>
        <v xml:space="preserve"> </v>
      </c>
      <c r="L348" s="2" t="str">
        <f t="shared" si="26"/>
        <v xml:space="preserve"> </v>
      </c>
      <c r="M348" s="2" t="str">
        <f t="shared" si="27"/>
        <v xml:space="preserve"> </v>
      </c>
    </row>
    <row r="349" spans="1:13" x14ac:dyDescent="0.25">
      <c r="A349" s="34" t="str">
        <f t="shared" si="25"/>
        <v xml:space="preserve"> </v>
      </c>
      <c r="D349" s="33"/>
      <c r="E349" s="33"/>
      <c r="J349" s="14">
        <f t="shared" si="28"/>
        <v>0</v>
      </c>
      <c r="K349" s="2" t="str">
        <f t="shared" si="29"/>
        <v xml:space="preserve"> </v>
      </c>
      <c r="L349" s="2" t="str">
        <f t="shared" si="26"/>
        <v xml:space="preserve"> </v>
      </c>
      <c r="M349" s="2" t="str">
        <f t="shared" si="27"/>
        <v xml:space="preserve"> </v>
      </c>
    </row>
    <row r="350" spans="1:13" x14ac:dyDescent="0.25">
      <c r="A350" s="34" t="str">
        <f t="shared" si="25"/>
        <v xml:space="preserve"> </v>
      </c>
      <c r="D350" s="33"/>
      <c r="E350" s="33"/>
      <c r="J350" s="14">
        <f t="shared" si="28"/>
        <v>0</v>
      </c>
      <c r="K350" s="2" t="str">
        <f t="shared" si="29"/>
        <v xml:space="preserve"> </v>
      </c>
      <c r="L350" s="2" t="str">
        <f t="shared" si="26"/>
        <v xml:space="preserve"> </v>
      </c>
      <c r="M350" s="2" t="str">
        <f t="shared" si="27"/>
        <v xml:space="preserve"> </v>
      </c>
    </row>
    <row r="351" spans="1:13" x14ac:dyDescent="0.25">
      <c r="A351" s="34" t="str">
        <f t="shared" si="25"/>
        <v xml:space="preserve"> </v>
      </c>
      <c r="D351" s="33"/>
      <c r="E351" s="33"/>
      <c r="J351" s="14">
        <f t="shared" si="28"/>
        <v>0</v>
      </c>
      <c r="K351" s="2" t="str">
        <f t="shared" si="29"/>
        <v xml:space="preserve"> </v>
      </c>
      <c r="L351" s="2" t="str">
        <f t="shared" si="26"/>
        <v xml:space="preserve"> </v>
      </c>
      <c r="M351" s="2" t="str">
        <f t="shared" si="27"/>
        <v xml:space="preserve"> </v>
      </c>
    </row>
    <row r="352" spans="1:13" x14ac:dyDescent="0.25">
      <c r="A352" s="34" t="str">
        <f t="shared" si="25"/>
        <v xml:space="preserve"> </v>
      </c>
      <c r="D352" s="33"/>
      <c r="E352" s="33"/>
      <c r="J352" s="14">
        <f t="shared" si="28"/>
        <v>0</v>
      </c>
      <c r="K352" s="2" t="str">
        <f t="shared" si="29"/>
        <v xml:space="preserve"> </v>
      </c>
      <c r="L352" s="2" t="str">
        <f t="shared" si="26"/>
        <v xml:space="preserve"> </v>
      </c>
      <c r="M352" s="2" t="str">
        <f t="shared" si="27"/>
        <v xml:space="preserve"> </v>
      </c>
    </row>
    <row r="353" spans="1:13" x14ac:dyDescent="0.25">
      <c r="A353" s="34" t="str">
        <f t="shared" si="25"/>
        <v xml:space="preserve"> </v>
      </c>
      <c r="D353" s="33"/>
      <c r="E353" s="33"/>
      <c r="J353" s="14">
        <f t="shared" si="28"/>
        <v>0</v>
      </c>
      <c r="K353" s="2" t="str">
        <f t="shared" si="29"/>
        <v xml:space="preserve"> </v>
      </c>
      <c r="L353" s="2" t="str">
        <f t="shared" si="26"/>
        <v xml:space="preserve"> </v>
      </c>
      <c r="M353" s="2" t="str">
        <f t="shared" si="27"/>
        <v xml:space="preserve"> </v>
      </c>
    </row>
    <row r="354" spans="1:13" x14ac:dyDescent="0.25">
      <c r="A354" s="34" t="str">
        <f t="shared" si="25"/>
        <v xml:space="preserve"> </v>
      </c>
      <c r="D354" s="33"/>
      <c r="E354" s="33"/>
      <c r="J354" s="14">
        <f t="shared" si="28"/>
        <v>0</v>
      </c>
      <c r="K354" s="2" t="str">
        <f t="shared" si="29"/>
        <v xml:space="preserve"> </v>
      </c>
      <c r="L354" s="2" t="str">
        <f t="shared" si="26"/>
        <v xml:space="preserve"> </v>
      </c>
      <c r="M354" s="2" t="str">
        <f t="shared" si="27"/>
        <v xml:space="preserve"> </v>
      </c>
    </row>
    <row r="355" spans="1:13" x14ac:dyDescent="0.25">
      <c r="A355" s="34" t="str">
        <f t="shared" si="25"/>
        <v xml:space="preserve"> </v>
      </c>
      <c r="D355" s="33"/>
      <c r="E355" s="33"/>
      <c r="J355" s="14">
        <f t="shared" si="28"/>
        <v>0</v>
      </c>
      <c r="K355" s="2" t="str">
        <f t="shared" si="29"/>
        <v xml:space="preserve"> </v>
      </c>
      <c r="L355" s="2" t="str">
        <f t="shared" si="26"/>
        <v xml:space="preserve"> </v>
      </c>
      <c r="M355" s="2" t="str">
        <f t="shared" si="27"/>
        <v xml:space="preserve"> </v>
      </c>
    </row>
    <row r="356" spans="1:13" x14ac:dyDescent="0.25">
      <c r="A356" s="34" t="str">
        <f t="shared" si="25"/>
        <v xml:space="preserve"> </v>
      </c>
      <c r="D356" s="33"/>
      <c r="E356" s="33"/>
      <c r="J356" s="14">
        <f t="shared" si="28"/>
        <v>0</v>
      </c>
      <c r="K356" s="2" t="str">
        <f t="shared" si="29"/>
        <v xml:space="preserve"> </v>
      </c>
      <c r="L356" s="2" t="str">
        <f t="shared" si="26"/>
        <v xml:space="preserve"> </v>
      </c>
      <c r="M356" s="2" t="str">
        <f t="shared" si="27"/>
        <v xml:space="preserve"> </v>
      </c>
    </row>
    <row r="357" spans="1:13" x14ac:dyDescent="0.25">
      <c r="A357" s="34" t="str">
        <f t="shared" si="25"/>
        <v xml:space="preserve"> </v>
      </c>
      <c r="D357" s="33"/>
      <c r="E357" s="33"/>
      <c r="J357" s="14">
        <f t="shared" si="28"/>
        <v>0</v>
      </c>
      <c r="K357" s="2" t="str">
        <f t="shared" si="29"/>
        <v xml:space="preserve"> </v>
      </c>
      <c r="L357" s="2" t="str">
        <f t="shared" si="26"/>
        <v xml:space="preserve"> </v>
      </c>
      <c r="M357" s="2" t="str">
        <f t="shared" si="27"/>
        <v xml:space="preserve"> </v>
      </c>
    </row>
    <row r="358" spans="1:13" x14ac:dyDescent="0.25">
      <c r="A358" s="34" t="str">
        <f t="shared" si="25"/>
        <v xml:space="preserve"> </v>
      </c>
      <c r="D358" s="33"/>
      <c r="E358" s="33"/>
      <c r="J358" s="14">
        <f t="shared" si="28"/>
        <v>0</v>
      </c>
      <c r="K358" s="2" t="str">
        <f t="shared" si="29"/>
        <v xml:space="preserve"> </v>
      </c>
      <c r="L358" s="2" t="str">
        <f t="shared" si="26"/>
        <v xml:space="preserve"> </v>
      </c>
      <c r="M358" s="2" t="str">
        <f t="shared" si="27"/>
        <v xml:space="preserve"> </v>
      </c>
    </row>
    <row r="359" spans="1:13" x14ac:dyDescent="0.25">
      <c r="A359" s="34" t="str">
        <f t="shared" si="25"/>
        <v xml:space="preserve"> </v>
      </c>
      <c r="D359" s="33"/>
      <c r="E359" s="33"/>
      <c r="J359" s="14">
        <f t="shared" si="28"/>
        <v>0</v>
      </c>
      <c r="K359" s="2" t="str">
        <f t="shared" si="29"/>
        <v xml:space="preserve"> </v>
      </c>
      <c r="L359" s="2" t="str">
        <f t="shared" si="26"/>
        <v xml:space="preserve"> </v>
      </c>
      <c r="M359" s="2" t="str">
        <f t="shared" si="27"/>
        <v xml:space="preserve"> </v>
      </c>
    </row>
    <row r="360" spans="1:13" x14ac:dyDescent="0.25">
      <c r="A360" s="34" t="str">
        <f t="shared" si="25"/>
        <v xml:space="preserve"> </v>
      </c>
      <c r="D360" s="33"/>
      <c r="E360" s="33"/>
      <c r="J360" s="14">
        <f t="shared" si="28"/>
        <v>0</v>
      </c>
      <c r="K360" s="2" t="str">
        <f t="shared" si="29"/>
        <v xml:space="preserve"> </v>
      </c>
      <c r="L360" s="2" t="str">
        <f t="shared" si="26"/>
        <v xml:space="preserve"> </v>
      </c>
      <c r="M360" s="2" t="str">
        <f t="shared" si="27"/>
        <v xml:space="preserve"> </v>
      </c>
    </row>
    <row r="361" spans="1:13" x14ac:dyDescent="0.25">
      <c r="A361" s="34" t="str">
        <f t="shared" si="25"/>
        <v xml:space="preserve"> </v>
      </c>
      <c r="D361" s="33"/>
      <c r="E361" s="33"/>
      <c r="J361" s="14">
        <f t="shared" si="28"/>
        <v>0</v>
      </c>
      <c r="K361" s="2" t="str">
        <f t="shared" si="29"/>
        <v xml:space="preserve"> </v>
      </c>
      <c r="L361" s="2" t="str">
        <f t="shared" si="26"/>
        <v xml:space="preserve"> </v>
      </c>
      <c r="M361" s="2" t="str">
        <f t="shared" si="27"/>
        <v xml:space="preserve"> </v>
      </c>
    </row>
    <row r="362" spans="1:13" x14ac:dyDescent="0.25">
      <c r="A362" s="34" t="str">
        <f t="shared" si="25"/>
        <v xml:space="preserve"> </v>
      </c>
      <c r="D362" s="33"/>
      <c r="E362" s="33"/>
      <c r="J362" s="14">
        <f t="shared" si="28"/>
        <v>0</v>
      </c>
      <c r="K362" s="2" t="str">
        <f t="shared" si="29"/>
        <v xml:space="preserve"> </v>
      </c>
      <c r="L362" s="2" t="str">
        <f t="shared" si="26"/>
        <v xml:space="preserve"> </v>
      </c>
      <c r="M362" s="2" t="str">
        <f t="shared" si="27"/>
        <v xml:space="preserve"> </v>
      </c>
    </row>
    <row r="363" spans="1:13" x14ac:dyDescent="0.25">
      <c r="A363" s="34" t="str">
        <f t="shared" si="25"/>
        <v xml:space="preserve"> </v>
      </c>
      <c r="D363" s="33"/>
      <c r="E363" s="33"/>
      <c r="J363" s="14">
        <f t="shared" si="28"/>
        <v>0</v>
      </c>
      <c r="K363" s="2" t="str">
        <f t="shared" si="29"/>
        <v xml:space="preserve"> </v>
      </c>
      <c r="L363" s="2" t="str">
        <f t="shared" si="26"/>
        <v xml:space="preserve"> </v>
      </c>
      <c r="M363" s="2" t="str">
        <f t="shared" si="27"/>
        <v xml:space="preserve"> </v>
      </c>
    </row>
    <row r="364" spans="1:13" x14ac:dyDescent="0.25">
      <c r="A364" s="34" t="str">
        <f t="shared" si="25"/>
        <v xml:space="preserve"> </v>
      </c>
      <c r="D364" s="33"/>
      <c r="E364" s="33"/>
      <c r="J364" s="14">
        <f t="shared" si="28"/>
        <v>0</v>
      </c>
      <c r="K364" s="2" t="str">
        <f t="shared" si="29"/>
        <v xml:space="preserve"> </v>
      </c>
      <c r="L364" s="2" t="str">
        <f t="shared" si="26"/>
        <v xml:space="preserve"> </v>
      </c>
      <c r="M364" s="2" t="str">
        <f t="shared" si="27"/>
        <v xml:space="preserve"> </v>
      </c>
    </row>
    <row r="365" spans="1:13" x14ac:dyDescent="0.25">
      <c r="A365" s="34" t="str">
        <f t="shared" si="25"/>
        <v xml:space="preserve"> </v>
      </c>
      <c r="D365" s="33"/>
      <c r="E365" s="33"/>
      <c r="J365" s="14">
        <f t="shared" si="28"/>
        <v>0</v>
      </c>
      <c r="K365" s="2" t="str">
        <f t="shared" si="29"/>
        <v xml:space="preserve"> </v>
      </c>
      <c r="L365" s="2" t="str">
        <f t="shared" si="26"/>
        <v xml:space="preserve"> </v>
      </c>
      <c r="M365" s="2" t="str">
        <f t="shared" si="27"/>
        <v xml:space="preserve"> </v>
      </c>
    </row>
    <row r="366" spans="1:13" x14ac:dyDescent="0.25">
      <c r="A366" s="34" t="str">
        <f t="shared" si="25"/>
        <v xml:space="preserve"> </v>
      </c>
      <c r="D366" s="33"/>
      <c r="E366" s="33"/>
      <c r="J366" s="14">
        <f t="shared" si="28"/>
        <v>0</v>
      </c>
      <c r="K366" s="2" t="str">
        <f t="shared" si="29"/>
        <v xml:space="preserve"> </v>
      </c>
      <c r="L366" s="2" t="str">
        <f t="shared" si="26"/>
        <v xml:space="preserve"> </v>
      </c>
      <c r="M366" s="2" t="str">
        <f t="shared" si="27"/>
        <v xml:space="preserve"> </v>
      </c>
    </row>
    <row r="367" spans="1:13" x14ac:dyDescent="0.25">
      <c r="A367" s="34" t="str">
        <f t="shared" si="25"/>
        <v xml:space="preserve"> </v>
      </c>
      <c r="D367" s="33"/>
      <c r="E367" s="33"/>
      <c r="J367" s="14">
        <f t="shared" si="28"/>
        <v>0</v>
      </c>
      <c r="K367" s="2" t="str">
        <f t="shared" si="29"/>
        <v xml:space="preserve"> </v>
      </c>
      <c r="L367" s="2" t="str">
        <f t="shared" si="26"/>
        <v xml:space="preserve"> </v>
      </c>
      <c r="M367" s="2" t="str">
        <f t="shared" si="27"/>
        <v xml:space="preserve"> </v>
      </c>
    </row>
    <row r="368" spans="1:13" x14ac:dyDescent="0.25">
      <c r="A368" s="34" t="str">
        <f t="shared" si="25"/>
        <v xml:space="preserve"> </v>
      </c>
      <c r="D368" s="33"/>
      <c r="E368" s="33"/>
      <c r="J368" s="14">
        <f t="shared" si="28"/>
        <v>0</v>
      </c>
      <c r="K368" s="2" t="str">
        <f t="shared" si="29"/>
        <v xml:space="preserve"> </v>
      </c>
      <c r="L368" s="2" t="str">
        <f t="shared" si="26"/>
        <v xml:space="preserve"> </v>
      </c>
      <c r="M368" s="2" t="str">
        <f t="shared" si="27"/>
        <v xml:space="preserve"> </v>
      </c>
    </row>
    <row r="369" spans="1:13" x14ac:dyDescent="0.25">
      <c r="A369" s="34" t="str">
        <f t="shared" si="25"/>
        <v xml:space="preserve"> </v>
      </c>
      <c r="D369" s="33"/>
      <c r="E369" s="33"/>
      <c r="J369" s="14">
        <f t="shared" si="28"/>
        <v>0</v>
      </c>
      <c r="K369" s="2" t="str">
        <f t="shared" si="29"/>
        <v xml:space="preserve"> </v>
      </c>
      <c r="L369" s="2" t="str">
        <f t="shared" si="26"/>
        <v xml:space="preserve"> </v>
      </c>
      <c r="M369" s="2" t="str">
        <f t="shared" si="27"/>
        <v xml:space="preserve"> </v>
      </c>
    </row>
    <row r="370" spans="1:13" x14ac:dyDescent="0.25">
      <c r="A370" s="34" t="str">
        <f t="shared" si="25"/>
        <v xml:space="preserve"> </v>
      </c>
      <c r="D370" s="33"/>
      <c r="E370" s="33"/>
      <c r="J370" s="14">
        <f t="shared" si="28"/>
        <v>0</v>
      </c>
      <c r="K370" s="2" t="str">
        <f t="shared" si="29"/>
        <v xml:space="preserve"> </v>
      </c>
      <c r="L370" s="2" t="str">
        <f t="shared" si="26"/>
        <v xml:space="preserve"> </v>
      </c>
      <c r="M370" s="2" t="str">
        <f t="shared" si="27"/>
        <v xml:space="preserve"> </v>
      </c>
    </row>
    <row r="371" spans="1:13" x14ac:dyDescent="0.25">
      <c r="A371" s="34" t="str">
        <f t="shared" si="25"/>
        <v xml:space="preserve"> </v>
      </c>
      <c r="D371" s="33"/>
      <c r="E371" s="33"/>
      <c r="J371" s="14">
        <f t="shared" si="28"/>
        <v>0</v>
      </c>
      <c r="K371" s="2" t="str">
        <f t="shared" si="29"/>
        <v xml:space="preserve"> </v>
      </c>
      <c r="L371" s="2" t="str">
        <f t="shared" si="26"/>
        <v xml:space="preserve"> </v>
      </c>
      <c r="M371" s="2" t="str">
        <f t="shared" si="27"/>
        <v xml:space="preserve"> </v>
      </c>
    </row>
    <row r="372" spans="1:13" x14ac:dyDescent="0.25">
      <c r="A372" s="34" t="str">
        <f t="shared" si="25"/>
        <v xml:space="preserve"> </v>
      </c>
      <c r="D372" s="33"/>
      <c r="E372" s="33"/>
      <c r="J372" s="14">
        <f t="shared" si="28"/>
        <v>0</v>
      </c>
      <c r="K372" s="2" t="str">
        <f t="shared" si="29"/>
        <v xml:space="preserve"> </v>
      </c>
      <c r="L372" s="2" t="str">
        <f t="shared" si="26"/>
        <v xml:space="preserve"> </v>
      </c>
      <c r="M372" s="2" t="str">
        <f t="shared" si="27"/>
        <v xml:space="preserve"> </v>
      </c>
    </row>
    <row r="373" spans="1:13" x14ac:dyDescent="0.25">
      <c r="A373" s="34" t="str">
        <f t="shared" si="25"/>
        <v xml:space="preserve"> </v>
      </c>
      <c r="D373" s="33"/>
      <c r="E373" s="33"/>
      <c r="J373" s="14">
        <f t="shared" si="28"/>
        <v>0</v>
      </c>
      <c r="K373" s="2" t="str">
        <f t="shared" si="29"/>
        <v xml:space="preserve"> </v>
      </c>
      <c r="L373" s="2" t="str">
        <f t="shared" si="26"/>
        <v xml:space="preserve"> </v>
      </c>
      <c r="M373" s="2" t="str">
        <f t="shared" si="27"/>
        <v xml:space="preserve"> </v>
      </c>
    </row>
    <row r="374" spans="1:13" x14ac:dyDescent="0.25">
      <c r="A374" s="34" t="str">
        <f t="shared" si="25"/>
        <v xml:space="preserve"> </v>
      </c>
      <c r="D374" s="33"/>
      <c r="E374" s="33"/>
      <c r="J374" s="14">
        <f t="shared" si="28"/>
        <v>0</v>
      </c>
      <c r="K374" s="2" t="str">
        <f t="shared" si="29"/>
        <v xml:space="preserve"> </v>
      </c>
      <c r="L374" s="2" t="str">
        <f t="shared" si="26"/>
        <v xml:space="preserve"> </v>
      </c>
      <c r="M374" s="2" t="str">
        <f t="shared" si="27"/>
        <v xml:space="preserve"> </v>
      </c>
    </row>
    <row r="375" spans="1:13" x14ac:dyDescent="0.25">
      <c r="A375" s="34" t="str">
        <f t="shared" si="25"/>
        <v xml:space="preserve"> </v>
      </c>
      <c r="D375" s="33"/>
      <c r="E375" s="33"/>
      <c r="J375" s="14">
        <f t="shared" si="28"/>
        <v>0</v>
      </c>
      <c r="K375" s="2" t="str">
        <f t="shared" si="29"/>
        <v xml:space="preserve"> </v>
      </c>
      <c r="L375" s="2" t="str">
        <f t="shared" si="26"/>
        <v xml:space="preserve"> </v>
      </c>
      <c r="M375" s="2" t="str">
        <f t="shared" si="27"/>
        <v xml:space="preserve"> </v>
      </c>
    </row>
    <row r="376" spans="1:13" x14ac:dyDescent="0.25">
      <c r="A376" s="34" t="str">
        <f t="shared" si="25"/>
        <v xml:space="preserve"> </v>
      </c>
      <c r="D376" s="33"/>
      <c r="E376" s="33"/>
      <c r="J376" s="14">
        <f t="shared" si="28"/>
        <v>0</v>
      </c>
      <c r="K376" s="2" t="str">
        <f t="shared" si="29"/>
        <v xml:space="preserve"> </v>
      </c>
      <c r="L376" s="2" t="str">
        <f t="shared" si="26"/>
        <v xml:space="preserve"> </v>
      </c>
      <c r="M376" s="2" t="str">
        <f t="shared" si="27"/>
        <v xml:space="preserve"> </v>
      </c>
    </row>
    <row r="377" spans="1:13" x14ac:dyDescent="0.25">
      <c r="A377" s="34" t="str">
        <f t="shared" si="25"/>
        <v xml:space="preserve"> </v>
      </c>
      <c r="D377" s="33"/>
      <c r="E377" s="33"/>
      <c r="J377" s="14">
        <f t="shared" si="28"/>
        <v>0</v>
      </c>
      <c r="K377" s="2" t="str">
        <f t="shared" si="29"/>
        <v xml:space="preserve"> </v>
      </c>
      <c r="L377" s="2" t="str">
        <f t="shared" si="26"/>
        <v xml:space="preserve"> </v>
      </c>
      <c r="M377" s="2" t="str">
        <f t="shared" si="27"/>
        <v xml:space="preserve"> </v>
      </c>
    </row>
    <row r="378" spans="1:13" x14ac:dyDescent="0.25">
      <c r="A378" s="34" t="str">
        <f t="shared" si="25"/>
        <v xml:space="preserve"> </v>
      </c>
      <c r="D378" s="33"/>
      <c r="E378" s="33"/>
      <c r="J378" s="14">
        <f t="shared" si="28"/>
        <v>0</v>
      </c>
      <c r="K378" s="2" t="str">
        <f t="shared" si="29"/>
        <v xml:space="preserve"> </v>
      </c>
      <c r="L378" s="2" t="str">
        <f t="shared" si="26"/>
        <v xml:space="preserve"> </v>
      </c>
      <c r="M378" s="2" t="str">
        <f t="shared" si="27"/>
        <v xml:space="preserve"> </v>
      </c>
    </row>
    <row r="379" spans="1:13" x14ac:dyDescent="0.25">
      <c r="A379" s="34" t="str">
        <f t="shared" si="25"/>
        <v xml:space="preserve"> </v>
      </c>
      <c r="D379" s="33"/>
      <c r="E379" s="33"/>
      <c r="J379" s="14">
        <f t="shared" si="28"/>
        <v>0</v>
      </c>
      <c r="K379" s="2" t="str">
        <f t="shared" si="29"/>
        <v xml:space="preserve"> </v>
      </c>
      <c r="L379" s="2" t="str">
        <f t="shared" si="26"/>
        <v xml:space="preserve"> </v>
      </c>
      <c r="M379" s="2" t="str">
        <f t="shared" si="27"/>
        <v xml:space="preserve"> </v>
      </c>
    </row>
    <row r="380" spans="1:13" x14ac:dyDescent="0.25">
      <c r="A380" s="34" t="str">
        <f t="shared" si="25"/>
        <v xml:space="preserve"> </v>
      </c>
      <c r="D380" s="33"/>
      <c r="E380" s="33"/>
      <c r="J380" s="14">
        <f t="shared" si="28"/>
        <v>0</v>
      </c>
      <c r="K380" s="2" t="str">
        <f t="shared" si="29"/>
        <v xml:space="preserve"> </v>
      </c>
      <c r="L380" s="2" t="str">
        <f t="shared" si="26"/>
        <v xml:space="preserve"> </v>
      </c>
      <c r="M380" s="2" t="str">
        <f t="shared" si="27"/>
        <v xml:space="preserve"> </v>
      </c>
    </row>
    <row r="381" spans="1:13" x14ac:dyDescent="0.25">
      <c r="A381" s="34" t="str">
        <f t="shared" si="25"/>
        <v xml:space="preserve"> </v>
      </c>
      <c r="D381" s="33"/>
      <c r="E381" s="33"/>
      <c r="J381" s="14">
        <f t="shared" si="28"/>
        <v>0</v>
      </c>
      <c r="K381" s="2" t="str">
        <f t="shared" si="29"/>
        <v xml:space="preserve"> </v>
      </c>
      <c r="L381" s="2" t="str">
        <f t="shared" si="26"/>
        <v xml:space="preserve"> </v>
      </c>
      <c r="M381" s="2" t="str">
        <f t="shared" si="27"/>
        <v xml:space="preserve"> </v>
      </c>
    </row>
    <row r="382" spans="1:13" x14ac:dyDescent="0.25">
      <c r="A382" s="34" t="str">
        <f t="shared" si="25"/>
        <v xml:space="preserve"> </v>
      </c>
      <c r="D382" s="33"/>
      <c r="E382" s="33"/>
      <c r="J382" s="14">
        <f t="shared" si="28"/>
        <v>0</v>
      </c>
      <c r="K382" s="2" t="str">
        <f t="shared" si="29"/>
        <v xml:space="preserve"> </v>
      </c>
      <c r="L382" s="2" t="str">
        <f t="shared" si="26"/>
        <v xml:space="preserve"> </v>
      </c>
      <c r="M382" s="2" t="str">
        <f t="shared" si="27"/>
        <v xml:space="preserve"> </v>
      </c>
    </row>
    <row r="383" spans="1:13" x14ac:dyDescent="0.25">
      <c r="A383" s="34" t="str">
        <f t="shared" si="25"/>
        <v xml:space="preserve"> </v>
      </c>
      <c r="D383" s="33"/>
      <c r="E383" s="33"/>
      <c r="J383" s="14">
        <f t="shared" si="28"/>
        <v>0</v>
      </c>
      <c r="K383" s="2" t="str">
        <f t="shared" si="29"/>
        <v xml:space="preserve"> </v>
      </c>
      <c r="L383" s="2" t="str">
        <f t="shared" si="26"/>
        <v xml:space="preserve"> </v>
      </c>
      <c r="M383" s="2" t="str">
        <f t="shared" si="27"/>
        <v xml:space="preserve"> </v>
      </c>
    </row>
    <row r="384" spans="1:13" x14ac:dyDescent="0.25">
      <c r="A384" s="34" t="str">
        <f t="shared" si="25"/>
        <v xml:space="preserve"> </v>
      </c>
      <c r="D384" s="33"/>
      <c r="E384" s="33"/>
      <c r="J384" s="14">
        <f t="shared" si="28"/>
        <v>0</v>
      </c>
      <c r="K384" s="2" t="str">
        <f t="shared" si="29"/>
        <v xml:space="preserve"> </v>
      </c>
      <c r="L384" s="2" t="str">
        <f t="shared" si="26"/>
        <v xml:space="preserve"> </v>
      </c>
      <c r="M384" s="2" t="str">
        <f t="shared" si="27"/>
        <v xml:space="preserve"> </v>
      </c>
    </row>
    <row r="385" spans="1:13" x14ac:dyDescent="0.25">
      <c r="A385" s="34" t="str">
        <f t="shared" si="25"/>
        <v xml:space="preserve"> </v>
      </c>
      <c r="D385" s="33"/>
      <c r="E385" s="33"/>
      <c r="J385" s="14">
        <f t="shared" si="28"/>
        <v>0</v>
      </c>
      <c r="K385" s="2" t="str">
        <f t="shared" si="29"/>
        <v xml:space="preserve"> </v>
      </c>
      <c r="L385" s="2" t="str">
        <f t="shared" si="26"/>
        <v xml:space="preserve"> </v>
      </c>
      <c r="M385" s="2" t="str">
        <f t="shared" si="27"/>
        <v xml:space="preserve"> </v>
      </c>
    </row>
    <row r="386" spans="1:13" x14ac:dyDescent="0.25">
      <c r="A386" s="34" t="str">
        <f t="shared" si="25"/>
        <v xml:space="preserve"> </v>
      </c>
      <c r="D386" s="33"/>
      <c r="E386" s="33"/>
      <c r="J386" s="14">
        <f t="shared" si="28"/>
        <v>0</v>
      </c>
      <c r="K386" s="2" t="str">
        <f t="shared" si="29"/>
        <v xml:space="preserve"> </v>
      </c>
      <c r="L386" s="2" t="str">
        <f t="shared" si="26"/>
        <v xml:space="preserve"> </v>
      </c>
      <c r="M386" s="2" t="str">
        <f t="shared" si="27"/>
        <v xml:space="preserve"> </v>
      </c>
    </row>
    <row r="387" spans="1:13" x14ac:dyDescent="0.25">
      <c r="A387" s="34" t="str">
        <f t="shared" si="25"/>
        <v xml:space="preserve"> </v>
      </c>
      <c r="D387" s="33"/>
      <c r="E387" s="33"/>
      <c r="J387" s="14">
        <f t="shared" si="28"/>
        <v>0</v>
      </c>
      <c r="K387" s="2" t="str">
        <f t="shared" si="29"/>
        <v xml:space="preserve"> </v>
      </c>
      <c r="L387" s="2" t="str">
        <f t="shared" si="26"/>
        <v xml:space="preserve"> </v>
      </c>
      <c r="M387" s="2" t="str">
        <f t="shared" si="27"/>
        <v xml:space="preserve"> </v>
      </c>
    </row>
    <row r="388" spans="1:13" x14ac:dyDescent="0.25">
      <c r="A388" s="34" t="str">
        <f t="shared" si="25"/>
        <v xml:space="preserve"> </v>
      </c>
      <c r="D388" s="33"/>
      <c r="E388" s="33"/>
      <c r="J388" s="14">
        <f t="shared" si="28"/>
        <v>0</v>
      </c>
      <c r="K388" s="2" t="str">
        <f t="shared" si="29"/>
        <v xml:space="preserve"> </v>
      </c>
      <c r="L388" s="2" t="str">
        <f t="shared" si="26"/>
        <v xml:space="preserve"> </v>
      </c>
      <c r="M388" s="2" t="str">
        <f t="shared" si="27"/>
        <v xml:space="preserve"> </v>
      </c>
    </row>
    <row r="389" spans="1:13" x14ac:dyDescent="0.25">
      <c r="A389" s="34" t="str">
        <f t="shared" si="25"/>
        <v xml:space="preserve"> </v>
      </c>
      <c r="D389" s="33"/>
      <c r="E389" s="33"/>
      <c r="J389" s="14">
        <f t="shared" si="28"/>
        <v>0</v>
      </c>
      <c r="K389" s="2" t="str">
        <f t="shared" si="29"/>
        <v xml:space="preserve"> </v>
      </c>
      <c r="L389" s="2" t="str">
        <f t="shared" si="26"/>
        <v xml:space="preserve"> </v>
      </c>
      <c r="M389" s="2" t="str">
        <f t="shared" si="27"/>
        <v xml:space="preserve"> </v>
      </c>
    </row>
    <row r="390" spans="1:13" x14ac:dyDescent="0.25">
      <c r="A390" s="34" t="str">
        <f t="shared" si="25"/>
        <v xml:space="preserve"> </v>
      </c>
      <c r="D390" s="33"/>
      <c r="E390" s="33"/>
      <c r="J390" s="14">
        <f t="shared" si="28"/>
        <v>0</v>
      </c>
      <c r="K390" s="2" t="str">
        <f t="shared" si="29"/>
        <v xml:space="preserve"> </v>
      </c>
      <c r="L390" s="2" t="str">
        <f t="shared" si="26"/>
        <v xml:space="preserve"> </v>
      </c>
      <c r="M390" s="2" t="str">
        <f t="shared" si="27"/>
        <v xml:space="preserve"> </v>
      </c>
    </row>
    <row r="391" spans="1:13" x14ac:dyDescent="0.25">
      <c r="A391" s="34" t="str">
        <f t="shared" si="25"/>
        <v xml:space="preserve"> </v>
      </c>
      <c r="D391" s="33"/>
      <c r="E391" s="33"/>
      <c r="J391" s="14">
        <f t="shared" si="28"/>
        <v>0</v>
      </c>
      <c r="K391" s="2" t="str">
        <f t="shared" si="29"/>
        <v xml:space="preserve"> </v>
      </c>
      <c r="L391" s="2" t="str">
        <f t="shared" si="26"/>
        <v xml:space="preserve"> </v>
      </c>
      <c r="M391" s="2" t="str">
        <f t="shared" si="27"/>
        <v xml:space="preserve"> </v>
      </c>
    </row>
    <row r="392" spans="1:13" x14ac:dyDescent="0.25">
      <c r="A392" s="34" t="str">
        <f t="shared" si="25"/>
        <v xml:space="preserve"> </v>
      </c>
      <c r="D392" s="33"/>
      <c r="E392" s="33"/>
      <c r="J392" s="14">
        <f t="shared" si="28"/>
        <v>0</v>
      </c>
      <c r="K392" s="2" t="str">
        <f t="shared" si="29"/>
        <v xml:space="preserve"> </v>
      </c>
      <c r="L392" s="2" t="str">
        <f t="shared" si="26"/>
        <v xml:space="preserve"> </v>
      </c>
      <c r="M392" s="2" t="str">
        <f t="shared" si="27"/>
        <v xml:space="preserve"> </v>
      </c>
    </row>
    <row r="393" spans="1:13" x14ac:dyDescent="0.25">
      <c r="A393" s="34" t="str">
        <f t="shared" si="25"/>
        <v xml:space="preserve"> </v>
      </c>
      <c r="D393" s="33"/>
      <c r="E393" s="33"/>
      <c r="J393" s="14">
        <f t="shared" si="28"/>
        <v>0</v>
      </c>
      <c r="K393" s="2" t="str">
        <f t="shared" si="29"/>
        <v xml:space="preserve"> </v>
      </c>
      <c r="L393" s="2" t="str">
        <f t="shared" si="26"/>
        <v xml:space="preserve"> </v>
      </c>
      <c r="M393" s="2" t="str">
        <f t="shared" si="27"/>
        <v xml:space="preserve"> </v>
      </c>
    </row>
    <row r="394" spans="1:13" x14ac:dyDescent="0.25">
      <c r="A394" s="34" t="str">
        <f t="shared" si="25"/>
        <v xml:space="preserve"> </v>
      </c>
      <c r="D394" s="33"/>
      <c r="E394" s="33"/>
      <c r="J394" s="14">
        <f t="shared" si="28"/>
        <v>0</v>
      </c>
      <c r="K394" s="2" t="str">
        <f t="shared" si="29"/>
        <v xml:space="preserve"> </v>
      </c>
      <c r="L394" s="2" t="str">
        <f t="shared" si="26"/>
        <v xml:space="preserve"> </v>
      </c>
      <c r="M394" s="2" t="str">
        <f t="shared" si="27"/>
        <v xml:space="preserve"> </v>
      </c>
    </row>
    <row r="395" spans="1:13" x14ac:dyDescent="0.25">
      <c r="A395" s="34" t="str">
        <f t="shared" si="25"/>
        <v xml:space="preserve"> </v>
      </c>
      <c r="D395" s="33"/>
      <c r="E395" s="33"/>
      <c r="J395" s="14">
        <f t="shared" si="28"/>
        <v>0</v>
      </c>
      <c r="K395" s="2" t="str">
        <f t="shared" si="29"/>
        <v xml:space="preserve"> </v>
      </c>
      <c r="L395" s="2" t="str">
        <f t="shared" si="26"/>
        <v xml:space="preserve"> </v>
      </c>
      <c r="M395" s="2" t="str">
        <f t="shared" si="27"/>
        <v xml:space="preserve"> </v>
      </c>
    </row>
    <row r="396" spans="1:13" x14ac:dyDescent="0.25">
      <c r="A396" s="34" t="str">
        <f t="shared" si="25"/>
        <v xml:space="preserve"> </v>
      </c>
      <c r="D396" s="33"/>
      <c r="E396" s="33"/>
      <c r="J396" s="14">
        <f t="shared" si="28"/>
        <v>0</v>
      </c>
      <c r="K396" s="2" t="str">
        <f t="shared" si="29"/>
        <v xml:space="preserve"> </v>
      </c>
      <c r="L396" s="2" t="str">
        <f t="shared" si="26"/>
        <v xml:space="preserve"> </v>
      </c>
      <c r="M396" s="2" t="str">
        <f t="shared" si="27"/>
        <v xml:space="preserve"> </v>
      </c>
    </row>
    <row r="397" spans="1:13" x14ac:dyDescent="0.25">
      <c r="A397" s="34" t="str">
        <f t="shared" si="25"/>
        <v xml:space="preserve"> </v>
      </c>
      <c r="D397" s="33"/>
      <c r="E397" s="33"/>
      <c r="J397" s="14">
        <f t="shared" si="28"/>
        <v>0</v>
      </c>
      <c r="K397" s="2" t="str">
        <f t="shared" si="29"/>
        <v xml:space="preserve"> </v>
      </c>
      <c r="L397" s="2" t="str">
        <f t="shared" si="26"/>
        <v xml:space="preserve"> </v>
      </c>
      <c r="M397" s="2" t="str">
        <f t="shared" si="27"/>
        <v xml:space="preserve"> </v>
      </c>
    </row>
    <row r="398" spans="1:13" x14ac:dyDescent="0.25">
      <c r="A398" s="34" t="str">
        <f t="shared" si="25"/>
        <v xml:space="preserve"> </v>
      </c>
      <c r="D398" s="33"/>
      <c r="E398" s="33"/>
      <c r="J398" s="14">
        <f t="shared" si="28"/>
        <v>0</v>
      </c>
      <c r="K398" s="2" t="str">
        <f t="shared" si="29"/>
        <v xml:space="preserve"> </v>
      </c>
      <c r="L398" s="2" t="str">
        <f t="shared" si="26"/>
        <v xml:space="preserve"> </v>
      </c>
      <c r="M398" s="2" t="str">
        <f t="shared" si="27"/>
        <v xml:space="preserve"> </v>
      </c>
    </row>
    <row r="399" spans="1:13" x14ac:dyDescent="0.25">
      <c r="A399" s="34" t="str">
        <f t="shared" ref="A399:A462" si="30">IF(COUNTIF(K399:M399,"ERROR")&gt;0,"ERROR"," ")</f>
        <v xml:space="preserve"> </v>
      </c>
      <c r="D399" s="33"/>
      <c r="E399" s="33"/>
      <c r="J399" s="14">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x14ac:dyDescent="0.25">
      <c r="A400" s="34" t="str">
        <f t="shared" si="30"/>
        <v xml:space="preserve"> </v>
      </c>
      <c r="D400" s="33"/>
      <c r="E400" s="33"/>
      <c r="J400" s="14">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4" t="str">
        <f t="shared" si="30"/>
        <v xml:space="preserve"> </v>
      </c>
      <c r="D401" s="33"/>
      <c r="E401" s="33"/>
      <c r="J401" s="14">
        <f t="shared" si="33"/>
        <v>0</v>
      </c>
      <c r="K401" s="2" t="str">
        <f t="shared" si="34"/>
        <v xml:space="preserve"> </v>
      </c>
      <c r="L401" s="2" t="str">
        <f t="shared" si="31"/>
        <v xml:space="preserve"> </v>
      </c>
      <c r="M401" s="2" t="str">
        <f t="shared" si="32"/>
        <v xml:space="preserve"> </v>
      </c>
    </row>
    <row r="402" spans="1:13" x14ac:dyDescent="0.25">
      <c r="A402" s="34" t="str">
        <f t="shared" si="30"/>
        <v xml:space="preserve"> </v>
      </c>
      <c r="D402" s="33"/>
      <c r="E402" s="33"/>
      <c r="J402" s="14">
        <f t="shared" si="33"/>
        <v>0</v>
      </c>
      <c r="K402" s="2" t="str">
        <f t="shared" si="34"/>
        <v xml:space="preserve"> </v>
      </c>
      <c r="L402" s="2" t="str">
        <f t="shared" si="31"/>
        <v xml:space="preserve"> </v>
      </c>
      <c r="M402" s="2" t="str">
        <f t="shared" si="32"/>
        <v xml:space="preserve"> </v>
      </c>
    </row>
    <row r="403" spans="1:13" x14ac:dyDescent="0.25">
      <c r="A403" s="34" t="str">
        <f t="shared" si="30"/>
        <v xml:space="preserve"> </v>
      </c>
      <c r="D403" s="33"/>
      <c r="E403" s="33"/>
      <c r="J403" s="14">
        <f t="shared" si="33"/>
        <v>0</v>
      </c>
      <c r="K403" s="2" t="str">
        <f t="shared" si="34"/>
        <v xml:space="preserve"> </v>
      </c>
      <c r="L403" s="2" t="str">
        <f t="shared" si="31"/>
        <v xml:space="preserve"> </v>
      </c>
      <c r="M403" s="2" t="str">
        <f t="shared" si="32"/>
        <v xml:space="preserve"> </v>
      </c>
    </row>
    <row r="404" spans="1:13" x14ac:dyDescent="0.25">
      <c r="A404" s="34" t="str">
        <f t="shared" si="30"/>
        <v xml:space="preserve"> </v>
      </c>
      <c r="D404" s="33"/>
      <c r="E404" s="33"/>
      <c r="J404" s="14">
        <f t="shared" si="33"/>
        <v>0</v>
      </c>
      <c r="K404" s="2" t="str">
        <f t="shared" si="34"/>
        <v xml:space="preserve"> </v>
      </c>
      <c r="L404" s="2" t="str">
        <f t="shared" si="31"/>
        <v xml:space="preserve"> </v>
      </c>
      <c r="M404" s="2" t="str">
        <f t="shared" si="32"/>
        <v xml:space="preserve"> </v>
      </c>
    </row>
    <row r="405" spans="1:13" x14ac:dyDescent="0.25">
      <c r="A405" s="34" t="str">
        <f t="shared" si="30"/>
        <v xml:space="preserve"> </v>
      </c>
      <c r="D405" s="33"/>
      <c r="E405" s="33"/>
      <c r="J405" s="14">
        <f t="shared" si="33"/>
        <v>0</v>
      </c>
      <c r="K405" s="2" t="str">
        <f t="shared" si="34"/>
        <v xml:space="preserve"> </v>
      </c>
      <c r="L405" s="2" t="str">
        <f t="shared" si="31"/>
        <v xml:space="preserve"> </v>
      </c>
      <c r="M405" s="2" t="str">
        <f t="shared" si="32"/>
        <v xml:space="preserve"> </v>
      </c>
    </row>
    <row r="406" spans="1:13" x14ac:dyDescent="0.25">
      <c r="A406" s="34" t="str">
        <f t="shared" si="30"/>
        <v xml:space="preserve"> </v>
      </c>
      <c r="D406" s="33"/>
      <c r="E406" s="33"/>
      <c r="J406" s="14">
        <f t="shared" si="33"/>
        <v>0</v>
      </c>
      <c r="K406" s="2" t="str">
        <f t="shared" si="34"/>
        <v xml:space="preserve"> </v>
      </c>
      <c r="L406" s="2" t="str">
        <f t="shared" si="31"/>
        <v xml:space="preserve"> </v>
      </c>
      <c r="M406" s="2" t="str">
        <f t="shared" si="32"/>
        <v xml:space="preserve"> </v>
      </c>
    </row>
    <row r="407" spans="1:13" x14ac:dyDescent="0.25">
      <c r="A407" s="34" t="str">
        <f t="shared" si="30"/>
        <v xml:space="preserve"> </v>
      </c>
      <c r="D407" s="33"/>
      <c r="E407" s="33"/>
      <c r="J407" s="14">
        <f t="shared" si="33"/>
        <v>0</v>
      </c>
      <c r="K407" s="2" t="str">
        <f t="shared" si="34"/>
        <v xml:space="preserve"> </v>
      </c>
      <c r="L407" s="2" t="str">
        <f t="shared" si="31"/>
        <v xml:space="preserve"> </v>
      </c>
      <c r="M407" s="2" t="str">
        <f t="shared" si="32"/>
        <v xml:space="preserve"> </v>
      </c>
    </row>
    <row r="408" spans="1:13" x14ac:dyDescent="0.25">
      <c r="A408" s="34" t="str">
        <f t="shared" si="30"/>
        <v xml:space="preserve"> </v>
      </c>
      <c r="D408" s="33"/>
      <c r="E408" s="33"/>
      <c r="J408" s="14">
        <f t="shared" si="33"/>
        <v>0</v>
      </c>
      <c r="K408" s="2" t="str">
        <f t="shared" si="34"/>
        <v xml:space="preserve"> </v>
      </c>
      <c r="L408" s="2" t="str">
        <f t="shared" si="31"/>
        <v xml:space="preserve"> </v>
      </c>
      <c r="M408" s="2" t="str">
        <f t="shared" si="32"/>
        <v xml:space="preserve"> </v>
      </c>
    </row>
    <row r="409" spans="1:13" x14ac:dyDescent="0.25">
      <c r="A409" s="34" t="str">
        <f t="shared" si="30"/>
        <v xml:space="preserve"> </v>
      </c>
      <c r="D409" s="33"/>
      <c r="E409" s="33"/>
      <c r="J409" s="14">
        <f t="shared" si="33"/>
        <v>0</v>
      </c>
      <c r="K409" s="2" t="str">
        <f t="shared" si="34"/>
        <v xml:space="preserve"> </v>
      </c>
      <c r="L409" s="2" t="str">
        <f t="shared" si="31"/>
        <v xml:space="preserve"> </v>
      </c>
      <c r="M409" s="2" t="str">
        <f t="shared" si="32"/>
        <v xml:space="preserve"> </v>
      </c>
    </row>
    <row r="410" spans="1:13" x14ac:dyDescent="0.25">
      <c r="A410" s="34" t="str">
        <f t="shared" si="30"/>
        <v xml:space="preserve"> </v>
      </c>
      <c r="D410" s="33"/>
      <c r="E410" s="33"/>
      <c r="J410" s="14">
        <f t="shared" si="33"/>
        <v>0</v>
      </c>
      <c r="K410" s="2" t="str">
        <f t="shared" si="34"/>
        <v xml:space="preserve"> </v>
      </c>
      <c r="L410" s="2" t="str">
        <f t="shared" si="31"/>
        <v xml:space="preserve"> </v>
      </c>
      <c r="M410" s="2" t="str">
        <f t="shared" si="32"/>
        <v xml:space="preserve"> </v>
      </c>
    </row>
    <row r="411" spans="1:13" x14ac:dyDescent="0.25">
      <c r="A411" s="34" t="str">
        <f t="shared" si="30"/>
        <v xml:space="preserve"> </v>
      </c>
      <c r="D411" s="33"/>
      <c r="E411" s="33"/>
      <c r="J411" s="14">
        <f t="shared" si="33"/>
        <v>0</v>
      </c>
      <c r="K411" s="2" t="str">
        <f t="shared" si="34"/>
        <v xml:space="preserve"> </v>
      </c>
      <c r="L411" s="2" t="str">
        <f t="shared" si="31"/>
        <v xml:space="preserve"> </v>
      </c>
      <c r="M411" s="2" t="str">
        <f t="shared" si="32"/>
        <v xml:space="preserve"> </v>
      </c>
    </row>
    <row r="412" spans="1:13" x14ac:dyDescent="0.25">
      <c r="A412" s="34" t="str">
        <f t="shared" si="30"/>
        <v xml:space="preserve"> </v>
      </c>
      <c r="D412" s="33"/>
      <c r="E412" s="33"/>
      <c r="J412" s="14">
        <f t="shared" si="33"/>
        <v>0</v>
      </c>
      <c r="K412" s="2" t="str">
        <f t="shared" si="34"/>
        <v xml:space="preserve"> </v>
      </c>
      <c r="L412" s="2" t="str">
        <f t="shared" si="31"/>
        <v xml:space="preserve"> </v>
      </c>
      <c r="M412" s="2" t="str">
        <f t="shared" si="32"/>
        <v xml:space="preserve"> </v>
      </c>
    </row>
    <row r="413" spans="1:13" x14ac:dyDescent="0.25">
      <c r="A413" s="34" t="str">
        <f t="shared" si="30"/>
        <v xml:space="preserve"> </v>
      </c>
      <c r="D413" s="33"/>
      <c r="E413" s="33"/>
      <c r="J413" s="14">
        <f t="shared" si="33"/>
        <v>0</v>
      </c>
      <c r="K413" s="2" t="str">
        <f t="shared" si="34"/>
        <v xml:space="preserve"> </v>
      </c>
      <c r="L413" s="2" t="str">
        <f t="shared" si="31"/>
        <v xml:space="preserve"> </v>
      </c>
      <c r="M413" s="2" t="str">
        <f t="shared" si="32"/>
        <v xml:space="preserve"> </v>
      </c>
    </row>
    <row r="414" spans="1:13" x14ac:dyDescent="0.25">
      <c r="A414" s="34" t="str">
        <f t="shared" si="30"/>
        <v xml:space="preserve"> </v>
      </c>
      <c r="D414" s="33"/>
      <c r="E414" s="33"/>
      <c r="J414" s="14">
        <f t="shared" si="33"/>
        <v>0</v>
      </c>
      <c r="K414" s="2" t="str">
        <f t="shared" si="34"/>
        <v xml:space="preserve"> </v>
      </c>
      <c r="L414" s="2" t="str">
        <f t="shared" si="31"/>
        <v xml:space="preserve"> </v>
      </c>
      <c r="M414" s="2" t="str">
        <f t="shared" si="32"/>
        <v xml:space="preserve"> </v>
      </c>
    </row>
    <row r="415" spans="1:13" x14ac:dyDescent="0.25">
      <c r="A415" s="34" t="str">
        <f t="shared" si="30"/>
        <v xml:space="preserve"> </v>
      </c>
      <c r="D415" s="33"/>
      <c r="E415" s="33"/>
      <c r="J415" s="14">
        <f t="shared" si="33"/>
        <v>0</v>
      </c>
      <c r="K415" s="2" t="str">
        <f t="shared" si="34"/>
        <v xml:space="preserve"> </v>
      </c>
      <c r="L415" s="2" t="str">
        <f t="shared" si="31"/>
        <v xml:space="preserve"> </v>
      </c>
      <c r="M415" s="2" t="str">
        <f t="shared" si="32"/>
        <v xml:space="preserve"> </v>
      </c>
    </row>
    <row r="416" spans="1:13" x14ac:dyDescent="0.25">
      <c r="A416" s="34" t="str">
        <f t="shared" si="30"/>
        <v xml:space="preserve"> </v>
      </c>
      <c r="D416" s="33"/>
      <c r="E416" s="33"/>
      <c r="J416" s="14">
        <f t="shared" si="33"/>
        <v>0</v>
      </c>
      <c r="K416" s="2" t="str">
        <f t="shared" si="34"/>
        <v xml:space="preserve"> </v>
      </c>
      <c r="L416" s="2" t="str">
        <f t="shared" si="31"/>
        <v xml:space="preserve"> </v>
      </c>
      <c r="M416" s="2" t="str">
        <f t="shared" si="32"/>
        <v xml:space="preserve"> </v>
      </c>
    </row>
    <row r="417" spans="1:13" x14ac:dyDescent="0.25">
      <c r="A417" s="34" t="str">
        <f t="shared" si="30"/>
        <v xml:space="preserve"> </v>
      </c>
      <c r="D417" s="33"/>
      <c r="E417" s="33"/>
      <c r="J417" s="14">
        <f t="shared" si="33"/>
        <v>0</v>
      </c>
      <c r="K417" s="2" t="str">
        <f t="shared" si="34"/>
        <v xml:space="preserve"> </v>
      </c>
      <c r="L417" s="2" t="str">
        <f t="shared" si="31"/>
        <v xml:space="preserve"> </v>
      </c>
      <c r="M417" s="2" t="str">
        <f t="shared" si="32"/>
        <v xml:space="preserve"> </v>
      </c>
    </row>
    <row r="418" spans="1:13" x14ac:dyDescent="0.25">
      <c r="A418" s="34" t="str">
        <f t="shared" si="30"/>
        <v xml:space="preserve"> </v>
      </c>
      <c r="D418" s="33"/>
      <c r="E418" s="33"/>
      <c r="J418" s="14">
        <f t="shared" si="33"/>
        <v>0</v>
      </c>
      <c r="K418" s="2" t="str">
        <f t="shared" si="34"/>
        <v xml:space="preserve"> </v>
      </c>
      <c r="L418" s="2" t="str">
        <f t="shared" si="31"/>
        <v xml:space="preserve"> </v>
      </c>
      <c r="M418" s="2" t="str">
        <f t="shared" si="32"/>
        <v xml:space="preserve"> </v>
      </c>
    </row>
    <row r="419" spans="1:13" x14ac:dyDescent="0.25">
      <c r="A419" s="34" t="str">
        <f t="shared" si="30"/>
        <v xml:space="preserve"> </v>
      </c>
      <c r="D419" s="33"/>
      <c r="E419" s="33"/>
      <c r="J419" s="14">
        <f t="shared" si="33"/>
        <v>0</v>
      </c>
      <c r="K419" s="2" t="str">
        <f t="shared" si="34"/>
        <v xml:space="preserve"> </v>
      </c>
      <c r="L419" s="2" t="str">
        <f t="shared" si="31"/>
        <v xml:space="preserve"> </v>
      </c>
      <c r="M419" s="2" t="str">
        <f t="shared" si="32"/>
        <v xml:space="preserve"> </v>
      </c>
    </row>
    <row r="420" spans="1:13" x14ac:dyDescent="0.25">
      <c r="A420" s="34" t="str">
        <f t="shared" si="30"/>
        <v xml:space="preserve"> </v>
      </c>
      <c r="D420" s="33"/>
      <c r="E420" s="33"/>
      <c r="J420" s="14">
        <f t="shared" si="33"/>
        <v>0</v>
      </c>
      <c r="K420" s="2" t="str">
        <f t="shared" si="34"/>
        <v xml:space="preserve"> </v>
      </c>
      <c r="L420" s="2" t="str">
        <f t="shared" si="31"/>
        <v xml:space="preserve"> </v>
      </c>
      <c r="M420" s="2" t="str">
        <f t="shared" si="32"/>
        <v xml:space="preserve"> </v>
      </c>
    </row>
    <row r="421" spans="1:13" x14ac:dyDescent="0.25">
      <c r="A421" s="34" t="str">
        <f t="shared" si="30"/>
        <v xml:space="preserve"> </v>
      </c>
      <c r="D421" s="33"/>
      <c r="E421" s="33"/>
      <c r="J421" s="14">
        <f t="shared" si="33"/>
        <v>0</v>
      </c>
      <c r="K421" s="2" t="str">
        <f t="shared" si="34"/>
        <v xml:space="preserve"> </v>
      </c>
      <c r="L421" s="2" t="str">
        <f t="shared" si="31"/>
        <v xml:space="preserve"> </v>
      </c>
      <c r="M421" s="2" t="str">
        <f t="shared" si="32"/>
        <v xml:space="preserve"> </v>
      </c>
    </row>
    <row r="422" spans="1:13" x14ac:dyDescent="0.25">
      <c r="A422" s="34" t="str">
        <f t="shared" si="30"/>
        <v xml:space="preserve"> </v>
      </c>
      <c r="D422" s="33"/>
      <c r="E422" s="33"/>
      <c r="J422" s="14">
        <f t="shared" si="33"/>
        <v>0</v>
      </c>
      <c r="K422" s="2" t="str">
        <f t="shared" si="34"/>
        <v xml:space="preserve"> </v>
      </c>
      <c r="L422" s="2" t="str">
        <f t="shared" si="31"/>
        <v xml:space="preserve"> </v>
      </c>
      <c r="M422" s="2" t="str">
        <f t="shared" si="32"/>
        <v xml:space="preserve"> </v>
      </c>
    </row>
    <row r="423" spans="1:13" x14ac:dyDescent="0.25">
      <c r="A423" s="34" t="str">
        <f t="shared" si="30"/>
        <v xml:space="preserve"> </v>
      </c>
      <c r="D423" s="33"/>
      <c r="E423" s="33"/>
      <c r="J423" s="14">
        <f t="shared" si="33"/>
        <v>0</v>
      </c>
      <c r="K423" s="2" t="str">
        <f t="shared" si="34"/>
        <v xml:space="preserve"> </v>
      </c>
      <c r="L423" s="2" t="str">
        <f t="shared" si="31"/>
        <v xml:space="preserve"> </v>
      </c>
      <c r="M423" s="2" t="str">
        <f t="shared" si="32"/>
        <v xml:space="preserve"> </v>
      </c>
    </row>
    <row r="424" spans="1:13" x14ac:dyDescent="0.25">
      <c r="A424" s="34" t="str">
        <f t="shared" si="30"/>
        <v xml:space="preserve"> </v>
      </c>
      <c r="D424" s="33"/>
      <c r="E424" s="33"/>
      <c r="J424" s="14">
        <f t="shared" si="33"/>
        <v>0</v>
      </c>
      <c r="K424" s="2" t="str">
        <f t="shared" si="34"/>
        <v xml:space="preserve"> </v>
      </c>
      <c r="L424" s="2" t="str">
        <f t="shared" si="31"/>
        <v xml:space="preserve"> </v>
      </c>
      <c r="M424" s="2" t="str">
        <f t="shared" si="32"/>
        <v xml:space="preserve"> </v>
      </c>
    </row>
    <row r="425" spans="1:13" x14ac:dyDescent="0.25">
      <c r="A425" s="34" t="str">
        <f t="shared" si="30"/>
        <v xml:space="preserve"> </v>
      </c>
      <c r="D425" s="33"/>
      <c r="E425" s="33"/>
      <c r="J425" s="14">
        <f t="shared" si="33"/>
        <v>0</v>
      </c>
      <c r="K425" s="2" t="str">
        <f t="shared" si="34"/>
        <v xml:space="preserve"> </v>
      </c>
      <c r="L425" s="2" t="str">
        <f t="shared" si="31"/>
        <v xml:space="preserve"> </v>
      </c>
      <c r="M425" s="2" t="str">
        <f t="shared" si="32"/>
        <v xml:space="preserve"> </v>
      </c>
    </row>
    <row r="426" spans="1:13" x14ac:dyDescent="0.25">
      <c r="A426" s="34" t="str">
        <f t="shared" si="30"/>
        <v xml:space="preserve"> </v>
      </c>
      <c r="D426" s="33"/>
      <c r="E426" s="33"/>
      <c r="J426" s="14">
        <f t="shared" si="33"/>
        <v>0</v>
      </c>
      <c r="K426" s="2" t="str">
        <f t="shared" si="34"/>
        <v xml:space="preserve"> </v>
      </c>
      <c r="L426" s="2" t="str">
        <f t="shared" si="31"/>
        <v xml:space="preserve"> </v>
      </c>
      <c r="M426" s="2" t="str">
        <f t="shared" si="32"/>
        <v xml:space="preserve"> </v>
      </c>
    </row>
    <row r="427" spans="1:13" x14ac:dyDescent="0.25">
      <c r="A427" s="34" t="str">
        <f t="shared" si="30"/>
        <v xml:space="preserve"> </v>
      </c>
      <c r="D427" s="33"/>
      <c r="E427" s="33"/>
      <c r="J427" s="14">
        <f t="shared" si="33"/>
        <v>0</v>
      </c>
      <c r="K427" s="2" t="str">
        <f t="shared" si="34"/>
        <v xml:space="preserve"> </v>
      </c>
      <c r="L427" s="2" t="str">
        <f t="shared" si="31"/>
        <v xml:space="preserve"> </v>
      </c>
      <c r="M427" s="2" t="str">
        <f t="shared" si="32"/>
        <v xml:space="preserve"> </v>
      </c>
    </row>
    <row r="428" spans="1:13" x14ac:dyDescent="0.25">
      <c r="A428" s="34" t="str">
        <f t="shared" si="30"/>
        <v xml:space="preserve"> </v>
      </c>
      <c r="D428" s="33"/>
      <c r="E428" s="33"/>
      <c r="J428" s="14">
        <f t="shared" si="33"/>
        <v>0</v>
      </c>
      <c r="K428" s="2" t="str">
        <f t="shared" si="34"/>
        <v xml:space="preserve"> </v>
      </c>
      <c r="L428" s="2" t="str">
        <f t="shared" si="31"/>
        <v xml:space="preserve"> </v>
      </c>
      <c r="M428" s="2" t="str">
        <f t="shared" si="32"/>
        <v xml:space="preserve"> </v>
      </c>
    </row>
    <row r="429" spans="1:13" x14ac:dyDescent="0.25">
      <c r="A429" s="34" t="str">
        <f t="shared" si="30"/>
        <v xml:space="preserve"> </v>
      </c>
      <c r="D429" s="33"/>
      <c r="E429" s="33"/>
      <c r="J429" s="14">
        <f t="shared" si="33"/>
        <v>0</v>
      </c>
      <c r="K429" s="2" t="str">
        <f t="shared" si="34"/>
        <v xml:space="preserve"> </v>
      </c>
      <c r="L429" s="2" t="str">
        <f t="shared" si="31"/>
        <v xml:space="preserve"> </v>
      </c>
      <c r="M429" s="2" t="str">
        <f t="shared" si="32"/>
        <v xml:space="preserve"> </v>
      </c>
    </row>
    <row r="430" spans="1:13" x14ac:dyDescent="0.25">
      <c r="A430" s="34" t="str">
        <f t="shared" si="30"/>
        <v xml:space="preserve"> </v>
      </c>
      <c r="D430" s="33"/>
      <c r="E430" s="33"/>
      <c r="J430" s="14">
        <f t="shared" si="33"/>
        <v>0</v>
      </c>
      <c r="K430" s="2" t="str">
        <f t="shared" si="34"/>
        <v xml:space="preserve"> </v>
      </c>
      <c r="L430" s="2" t="str">
        <f t="shared" si="31"/>
        <v xml:space="preserve"> </v>
      </c>
      <c r="M430" s="2" t="str">
        <f t="shared" si="32"/>
        <v xml:space="preserve"> </v>
      </c>
    </row>
    <row r="431" spans="1:13" x14ac:dyDescent="0.25">
      <c r="A431" s="34" t="str">
        <f t="shared" si="30"/>
        <v xml:space="preserve"> </v>
      </c>
      <c r="D431" s="33"/>
      <c r="E431" s="33"/>
      <c r="J431" s="14">
        <f t="shared" si="33"/>
        <v>0</v>
      </c>
      <c r="K431" s="2" t="str">
        <f t="shared" si="34"/>
        <v xml:space="preserve"> </v>
      </c>
      <c r="L431" s="2" t="str">
        <f t="shared" si="31"/>
        <v xml:space="preserve"> </v>
      </c>
      <c r="M431" s="2" t="str">
        <f t="shared" si="32"/>
        <v xml:space="preserve"> </v>
      </c>
    </row>
    <row r="432" spans="1:13" x14ac:dyDescent="0.25">
      <c r="A432" s="34" t="str">
        <f t="shared" si="30"/>
        <v xml:space="preserve"> </v>
      </c>
      <c r="D432" s="33"/>
      <c r="E432" s="33"/>
      <c r="J432" s="14">
        <f t="shared" si="33"/>
        <v>0</v>
      </c>
      <c r="K432" s="2" t="str">
        <f t="shared" si="34"/>
        <v xml:space="preserve"> </v>
      </c>
      <c r="L432" s="2" t="str">
        <f t="shared" si="31"/>
        <v xml:space="preserve"> </v>
      </c>
      <c r="M432" s="2" t="str">
        <f t="shared" si="32"/>
        <v xml:space="preserve"> </v>
      </c>
    </row>
    <row r="433" spans="1:13" x14ac:dyDescent="0.25">
      <c r="A433" s="34" t="str">
        <f t="shared" si="30"/>
        <v xml:space="preserve"> </v>
      </c>
      <c r="D433" s="33"/>
      <c r="E433" s="33"/>
      <c r="J433" s="14">
        <f t="shared" si="33"/>
        <v>0</v>
      </c>
      <c r="K433" s="2" t="str">
        <f t="shared" si="34"/>
        <v xml:space="preserve"> </v>
      </c>
      <c r="L433" s="2" t="str">
        <f t="shared" si="31"/>
        <v xml:space="preserve"> </v>
      </c>
      <c r="M433" s="2" t="str">
        <f t="shared" si="32"/>
        <v xml:space="preserve"> </v>
      </c>
    </row>
    <row r="434" spans="1:13" x14ac:dyDescent="0.25">
      <c r="A434" s="34" t="str">
        <f t="shared" si="30"/>
        <v xml:space="preserve"> </v>
      </c>
      <c r="D434" s="33"/>
      <c r="E434" s="33"/>
      <c r="J434" s="14">
        <f t="shared" si="33"/>
        <v>0</v>
      </c>
      <c r="K434" s="2" t="str">
        <f t="shared" si="34"/>
        <v xml:space="preserve"> </v>
      </c>
      <c r="L434" s="2" t="str">
        <f t="shared" si="31"/>
        <v xml:space="preserve"> </v>
      </c>
      <c r="M434" s="2" t="str">
        <f t="shared" si="32"/>
        <v xml:space="preserve"> </v>
      </c>
    </row>
    <row r="435" spans="1:13" x14ac:dyDescent="0.25">
      <c r="A435" s="34" t="str">
        <f t="shared" si="30"/>
        <v xml:space="preserve"> </v>
      </c>
      <c r="D435" s="33"/>
      <c r="E435" s="33"/>
      <c r="J435" s="14">
        <f t="shared" si="33"/>
        <v>0</v>
      </c>
      <c r="K435" s="2" t="str">
        <f t="shared" si="34"/>
        <v xml:space="preserve"> </v>
      </c>
      <c r="L435" s="2" t="str">
        <f t="shared" si="31"/>
        <v xml:space="preserve"> </v>
      </c>
      <c r="M435" s="2" t="str">
        <f t="shared" si="32"/>
        <v xml:space="preserve"> </v>
      </c>
    </row>
    <row r="436" spans="1:13" x14ac:dyDescent="0.25">
      <c r="A436" s="34" t="str">
        <f t="shared" si="30"/>
        <v xml:space="preserve"> </v>
      </c>
      <c r="D436" s="33"/>
      <c r="E436" s="33"/>
      <c r="J436" s="14">
        <f t="shared" si="33"/>
        <v>0</v>
      </c>
      <c r="K436" s="2" t="str">
        <f t="shared" si="34"/>
        <v xml:space="preserve"> </v>
      </c>
      <c r="L436" s="2" t="str">
        <f t="shared" si="31"/>
        <v xml:space="preserve"> </v>
      </c>
      <c r="M436" s="2" t="str">
        <f t="shared" si="32"/>
        <v xml:space="preserve"> </v>
      </c>
    </row>
    <row r="437" spans="1:13" x14ac:dyDescent="0.25">
      <c r="A437" s="34" t="str">
        <f t="shared" si="30"/>
        <v xml:space="preserve"> </v>
      </c>
      <c r="D437" s="33"/>
      <c r="E437" s="33"/>
      <c r="J437" s="14">
        <f t="shared" si="33"/>
        <v>0</v>
      </c>
      <c r="K437" s="2" t="str">
        <f t="shared" si="34"/>
        <v xml:space="preserve"> </v>
      </c>
      <c r="L437" s="2" t="str">
        <f t="shared" si="31"/>
        <v xml:space="preserve"> </v>
      </c>
      <c r="M437" s="2" t="str">
        <f t="shared" si="32"/>
        <v xml:space="preserve"> </v>
      </c>
    </row>
    <row r="438" spans="1:13" x14ac:dyDescent="0.25">
      <c r="A438" s="34" t="str">
        <f t="shared" si="30"/>
        <v xml:space="preserve"> </v>
      </c>
      <c r="D438" s="33"/>
      <c r="E438" s="33"/>
      <c r="J438" s="14">
        <f t="shared" si="33"/>
        <v>0</v>
      </c>
      <c r="K438" s="2" t="str">
        <f t="shared" si="34"/>
        <v xml:space="preserve"> </v>
      </c>
      <c r="L438" s="2" t="str">
        <f t="shared" si="31"/>
        <v xml:space="preserve"> </v>
      </c>
      <c r="M438" s="2" t="str">
        <f t="shared" si="32"/>
        <v xml:space="preserve"> </v>
      </c>
    </row>
    <row r="439" spans="1:13" x14ac:dyDescent="0.25">
      <c r="A439" s="34" t="str">
        <f t="shared" si="30"/>
        <v xml:space="preserve"> </v>
      </c>
      <c r="D439" s="33"/>
      <c r="E439" s="33"/>
      <c r="J439" s="14">
        <f t="shared" si="33"/>
        <v>0</v>
      </c>
      <c r="K439" s="2" t="str">
        <f t="shared" si="34"/>
        <v xml:space="preserve"> </v>
      </c>
      <c r="L439" s="2" t="str">
        <f t="shared" si="31"/>
        <v xml:space="preserve"> </v>
      </c>
      <c r="M439" s="2" t="str">
        <f t="shared" si="32"/>
        <v xml:space="preserve"> </v>
      </c>
    </row>
    <row r="440" spans="1:13" x14ac:dyDescent="0.25">
      <c r="A440" s="34" t="str">
        <f t="shared" si="30"/>
        <v xml:space="preserve"> </v>
      </c>
      <c r="D440" s="33"/>
      <c r="E440" s="33"/>
      <c r="J440" s="14">
        <f t="shared" si="33"/>
        <v>0</v>
      </c>
      <c r="K440" s="2" t="str">
        <f t="shared" si="34"/>
        <v xml:space="preserve"> </v>
      </c>
      <c r="L440" s="2" t="str">
        <f t="shared" si="31"/>
        <v xml:space="preserve"> </v>
      </c>
      <c r="M440" s="2" t="str">
        <f t="shared" si="32"/>
        <v xml:space="preserve"> </v>
      </c>
    </row>
    <row r="441" spans="1:13" x14ac:dyDescent="0.25">
      <c r="A441" s="34" t="str">
        <f t="shared" si="30"/>
        <v xml:space="preserve"> </v>
      </c>
      <c r="D441" s="33"/>
      <c r="E441" s="33"/>
      <c r="J441" s="14">
        <f t="shared" si="33"/>
        <v>0</v>
      </c>
      <c r="K441" s="2" t="str">
        <f t="shared" si="34"/>
        <v xml:space="preserve"> </v>
      </c>
      <c r="L441" s="2" t="str">
        <f t="shared" si="31"/>
        <v xml:space="preserve"> </v>
      </c>
      <c r="M441" s="2" t="str">
        <f t="shared" si="32"/>
        <v xml:space="preserve"> </v>
      </c>
    </row>
    <row r="442" spans="1:13" x14ac:dyDescent="0.25">
      <c r="A442" s="34" t="str">
        <f t="shared" si="30"/>
        <v xml:space="preserve"> </v>
      </c>
      <c r="D442" s="33"/>
      <c r="E442" s="33"/>
      <c r="J442" s="14">
        <f t="shared" si="33"/>
        <v>0</v>
      </c>
      <c r="K442" s="2" t="str">
        <f t="shared" si="34"/>
        <v xml:space="preserve"> </v>
      </c>
      <c r="L442" s="2" t="str">
        <f t="shared" si="31"/>
        <v xml:space="preserve"> </v>
      </c>
      <c r="M442" s="2" t="str">
        <f t="shared" si="32"/>
        <v xml:space="preserve"> </v>
      </c>
    </row>
    <row r="443" spans="1:13" x14ac:dyDescent="0.25">
      <c r="A443" s="34" t="str">
        <f t="shared" si="30"/>
        <v xml:space="preserve"> </v>
      </c>
      <c r="D443" s="33"/>
      <c r="E443" s="33"/>
      <c r="J443" s="14">
        <f t="shared" si="33"/>
        <v>0</v>
      </c>
      <c r="K443" s="2" t="str">
        <f t="shared" si="34"/>
        <v xml:space="preserve"> </v>
      </c>
      <c r="L443" s="2" t="str">
        <f t="shared" si="31"/>
        <v xml:space="preserve"> </v>
      </c>
      <c r="M443" s="2" t="str">
        <f t="shared" si="32"/>
        <v xml:space="preserve"> </v>
      </c>
    </row>
    <row r="444" spans="1:13" x14ac:dyDescent="0.25">
      <c r="A444" s="34" t="str">
        <f t="shared" si="30"/>
        <v xml:space="preserve"> </v>
      </c>
      <c r="D444" s="33"/>
      <c r="E444" s="33"/>
      <c r="J444" s="14">
        <f t="shared" si="33"/>
        <v>0</v>
      </c>
      <c r="K444" s="2" t="str">
        <f t="shared" si="34"/>
        <v xml:space="preserve"> </v>
      </c>
      <c r="L444" s="2" t="str">
        <f t="shared" si="31"/>
        <v xml:space="preserve"> </v>
      </c>
      <c r="M444" s="2" t="str">
        <f t="shared" si="32"/>
        <v xml:space="preserve"> </v>
      </c>
    </row>
    <row r="445" spans="1:13" x14ac:dyDescent="0.25">
      <c r="A445" s="34" t="str">
        <f t="shared" si="30"/>
        <v xml:space="preserve"> </v>
      </c>
      <c r="D445" s="33"/>
      <c r="E445" s="33"/>
      <c r="J445" s="14">
        <f t="shared" si="33"/>
        <v>0</v>
      </c>
      <c r="K445" s="2" t="str">
        <f t="shared" si="34"/>
        <v xml:space="preserve"> </v>
      </c>
      <c r="L445" s="2" t="str">
        <f t="shared" si="31"/>
        <v xml:space="preserve"> </v>
      </c>
      <c r="M445" s="2" t="str">
        <f t="shared" si="32"/>
        <v xml:space="preserve"> </v>
      </c>
    </row>
    <row r="446" spans="1:13" x14ac:dyDescent="0.25">
      <c r="A446" s="34" t="str">
        <f t="shared" si="30"/>
        <v xml:space="preserve"> </v>
      </c>
      <c r="D446" s="33"/>
      <c r="E446" s="33"/>
      <c r="J446" s="14">
        <f t="shared" si="33"/>
        <v>0</v>
      </c>
      <c r="K446" s="2" t="str">
        <f t="shared" si="34"/>
        <v xml:space="preserve"> </v>
      </c>
      <c r="L446" s="2" t="str">
        <f t="shared" si="31"/>
        <v xml:space="preserve"> </v>
      </c>
      <c r="M446" s="2" t="str">
        <f t="shared" si="32"/>
        <v xml:space="preserve"> </v>
      </c>
    </row>
    <row r="447" spans="1:13" x14ac:dyDescent="0.25">
      <c r="A447" s="34" t="str">
        <f t="shared" si="30"/>
        <v xml:space="preserve"> </v>
      </c>
      <c r="D447" s="33"/>
      <c r="E447" s="33"/>
      <c r="J447" s="14">
        <f t="shared" si="33"/>
        <v>0</v>
      </c>
      <c r="K447" s="2" t="str">
        <f t="shared" si="34"/>
        <v xml:space="preserve"> </v>
      </c>
      <c r="L447" s="2" t="str">
        <f t="shared" si="31"/>
        <v xml:space="preserve"> </v>
      </c>
      <c r="M447" s="2" t="str">
        <f t="shared" si="32"/>
        <v xml:space="preserve"> </v>
      </c>
    </row>
    <row r="448" spans="1:13" x14ac:dyDescent="0.25">
      <c r="A448" s="34" t="str">
        <f t="shared" si="30"/>
        <v xml:space="preserve"> </v>
      </c>
      <c r="D448" s="33"/>
      <c r="E448" s="33"/>
      <c r="J448" s="14">
        <f t="shared" si="33"/>
        <v>0</v>
      </c>
      <c r="K448" s="2" t="str">
        <f t="shared" si="34"/>
        <v xml:space="preserve"> </v>
      </c>
      <c r="L448" s="2" t="str">
        <f t="shared" si="31"/>
        <v xml:space="preserve"> </v>
      </c>
      <c r="M448" s="2" t="str">
        <f t="shared" si="32"/>
        <v xml:space="preserve"> </v>
      </c>
    </row>
    <row r="449" spans="1:13" x14ac:dyDescent="0.25">
      <c r="A449" s="34" t="str">
        <f t="shared" si="30"/>
        <v xml:space="preserve"> </v>
      </c>
      <c r="D449" s="33"/>
      <c r="E449" s="33"/>
      <c r="J449" s="14">
        <f t="shared" si="33"/>
        <v>0</v>
      </c>
      <c r="K449" s="2" t="str">
        <f t="shared" si="34"/>
        <v xml:space="preserve"> </v>
      </c>
      <c r="L449" s="2" t="str">
        <f t="shared" si="31"/>
        <v xml:space="preserve"> </v>
      </c>
      <c r="M449" s="2" t="str">
        <f t="shared" si="32"/>
        <v xml:space="preserve"> </v>
      </c>
    </row>
    <row r="450" spans="1:13" x14ac:dyDescent="0.25">
      <c r="A450" s="34" t="str">
        <f t="shared" si="30"/>
        <v xml:space="preserve"> </v>
      </c>
      <c r="D450" s="33"/>
      <c r="E450" s="33"/>
      <c r="J450" s="14">
        <f t="shared" si="33"/>
        <v>0</v>
      </c>
      <c r="K450" s="2" t="str">
        <f t="shared" si="34"/>
        <v xml:space="preserve"> </v>
      </c>
      <c r="L450" s="2" t="str">
        <f t="shared" si="31"/>
        <v xml:space="preserve"> </v>
      </c>
      <c r="M450" s="2" t="str">
        <f t="shared" si="32"/>
        <v xml:space="preserve"> </v>
      </c>
    </row>
    <row r="451" spans="1:13" x14ac:dyDescent="0.25">
      <c r="A451" s="34" t="str">
        <f t="shared" si="30"/>
        <v xml:space="preserve"> </v>
      </c>
      <c r="D451" s="33"/>
      <c r="E451" s="33"/>
      <c r="J451" s="14">
        <f t="shared" si="33"/>
        <v>0</v>
      </c>
      <c r="K451" s="2" t="str">
        <f t="shared" si="34"/>
        <v xml:space="preserve"> </v>
      </c>
      <c r="L451" s="2" t="str">
        <f t="shared" si="31"/>
        <v xml:space="preserve"> </v>
      </c>
      <c r="M451" s="2" t="str">
        <f t="shared" si="32"/>
        <v xml:space="preserve"> </v>
      </c>
    </row>
    <row r="452" spans="1:13" x14ac:dyDescent="0.25">
      <c r="A452" s="34" t="str">
        <f t="shared" si="30"/>
        <v xml:space="preserve"> </v>
      </c>
      <c r="D452" s="33"/>
      <c r="E452" s="33"/>
      <c r="J452" s="14">
        <f t="shared" si="33"/>
        <v>0</v>
      </c>
      <c r="K452" s="2" t="str">
        <f t="shared" si="34"/>
        <v xml:space="preserve"> </v>
      </c>
      <c r="L452" s="2" t="str">
        <f t="shared" si="31"/>
        <v xml:space="preserve"> </v>
      </c>
      <c r="M452" s="2" t="str">
        <f t="shared" si="32"/>
        <v xml:space="preserve"> </v>
      </c>
    </row>
    <row r="453" spans="1:13" x14ac:dyDescent="0.25">
      <c r="A453" s="34" t="str">
        <f t="shared" si="30"/>
        <v xml:space="preserve"> </v>
      </c>
      <c r="D453" s="33"/>
      <c r="E453" s="33"/>
      <c r="J453" s="14">
        <f t="shared" si="33"/>
        <v>0</v>
      </c>
      <c r="K453" s="2" t="str">
        <f t="shared" si="34"/>
        <v xml:space="preserve"> </v>
      </c>
      <c r="L453" s="2" t="str">
        <f t="shared" si="31"/>
        <v xml:space="preserve"> </v>
      </c>
      <c r="M453" s="2" t="str">
        <f t="shared" si="32"/>
        <v xml:space="preserve"> </v>
      </c>
    </row>
    <row r="454" spans="1:13" x14ac:dyDescent="0.25">
      <c r="A454" s="34" t="str">
        <f t="shared" si="30"/>
        <v xml:space="preserve"> </v>
      </c>
      <c r="D454" s="33"/>
      <c r="E454" s="33"/>
      <c r="J454" s="14">
        <f t="shared" si="33"/>
        <v>0</v>
      </c>
      <c r="K454" s="2" t="str">
        <f t="shared" si="34"/>
        <v xml:space="preserve"> </v>
      </c>
      <c r="L454" s="2" t="str">
        <f t="shared" si="31"/>
        <v xml:space="preserve"> </v>
      </c>
      <c r="M454" s="2" t="str">
        <f t="shared" si="32"/>
        <v xml:space="preserve"> </v>
      </c>
    </row>
    <row r="455" spans="1:13" x14ac:dyDescent="0.25">
      <c r="A455" s="34" t="str">
        <f t="shared" si="30"/>
        <v xml:space="preserve"> </v>
      </c>
      <c r="D455" s="33"/>
      <c r="E455" s="33"/>
      <c r="J455" s="14">
        <f t="shared" si="33"/>
        <v>0</v>
      </c>
      <c r="K455" s="2" t="str">
        <f t="shared" si="34"/>
        <v xml:space="preserve"> </v>
      </c>
      <c r="L455" s="2" t="str">
        <f t="shared" si="31"/>
        <v xml:space="preserve"> </v>
      </c>
      <c r="M455" s="2" t="str">
        <f t="shared" si="32"/>
        <v xml:space="preserve"> </v>
      </c>
    </row>
    <row r="456" spans="1:13" x14ac:dyDescent="0.25">
      <c r="A456" s="34" t="str">
        <f t="shared" si="30"/>
        <v xml:space="preserve"> </v>
      </c>
      <c r="D456" s="33"/>
      <c r="E456" s="33"/>
      <c r="J456" s="14">
        <f t="shared" si="33"/>
        <v>0</v>
      </c>
      <c r="K456" s="2" t="str">
        <f t="shared" si="34"/>
        <v xml:space="preserve"> </v>
      </c>
      <c r="L456" s="2" t="str">
        <f t="shared" si="31"/>
        <v xml:space="preserve"> </v>
      </c>
      <c r="M456" s="2" t="str">
        <f t="shared" si="32"/>
        <v xml:space="preserve"> </v>
      </c>
    </row>
    <row r="457" spans="1:13" x14ac:dyDescent="0.25">
      <c r="A457" s="34" t="str">
        <f t="shared" si="30"/>
        <v xml:space="preserve"> </v>
      </c>
      <c r="D457" s="33"/>
      <c r="E457" s="33"/>
      <c r="J457" s="14">
        <f t="shared" si="33"/>
        <v>0</v>
      </c>
      <c r="K457" s="2" t="str">
        <f t="shared" si="34"/>
        <v xml:space="preserve"> </v>
      </c>
      <c r="L457" s="2" t="str">
        <f t="shared" si="31"/>
        <v xml:space="preserve"> </v>
      </c>
      <c r="M457" s="2" t="str">
        <f t="shared" si="32"/>
        <v xml:space="preserve"> </v>
      </c>
    </row>
    <row r="458" spans="1:13" x14ac:dyDescent="0.25">
      <c r="A458" s="34" t="str">
        <f t="shared" si="30"/>
        <v xml:space="preserve"> </v>
      </c>
      <c r="D458" s="33"/>
      <c r="E458" s="33"/>
      <c r="J458" s="14">
        <f t="shared" si="33"/>
        <v>0</v>
      </c>
      <c r="K458" s="2" t="str">
        <f t="shared" si="34"/>
        <v xml:space="preserve"> </v>
      </c>
      <c r="L458" s="2" t="str">
        <f t="shared" si="31"/>
        <v xml:space="preserve"> </v>
      </c>
      <c r="M458" s="2" t="str">
        <f t="shared" si="32"/>
        <v xml:space="preserve"> </v>
      </c>
    </row>
    <row r="459" spans="1:13" x14ac:dyDescent="0.25">
      <c r="A459" s="34" t="str">
        <f t="shared" si="30"/>
        <v xml:space="preserve"> </v>
      </c>
      <c r="D459" s="33"/>
      <c r="E459" s="33"/>
      <c r="J459" s="14">
        <f t="shared" si="33"/>
        <v>0</v>
      </c>
      <c r="K459" s="2" t="str">
        <f t="shared" si="34"/>
        <v xml:space="preserve"> </v>
      </c>
      <c r="L459" s="2" t="str">
        <f t="shared" si="31"/>
        <v xml:space="preserve"> </v>
      </c>
      <c r="M459" s="2" t="str">
        <f t="shared" si="32"/>
        <v xml:space="preserve"> </v>
      </c>
    </row>
    <row r="460" spans="1:13" x14ac:dyDescent="0.25">
      <c r="A460" s="34" t="str">
        <f t="shared" si="30"/>
        <v xml:space="preserve"> </v>
      </c>
      <c r="D460" s="33"/>
      <c r="E460" s="33"/>
      <c r="J460" s="14">
        <f t="shared" si="33"/>
        <v>0</v>
      </c>
      <c r="K460" s="2" t="str">
        <f t="shared" si="34"/>
        <v xml:space="preserve"> </v>
      </c>
      <c r="L460" s="2" t="str">
        <f t="shared" si="31"/>
        <v xml:space="preserve"> </v>
      </c>
      <c r="M460" s="2" t="str">
        <f t="shared" si="32"/>
        <v xml:space="preserve"> </v>
      </c>
    </row>
    <row r="461" spans="1:13" x14ac:dyDescent="0.25">
      <c r="A461" s="34" t="str">
        <f t="shared" si="30"/>
        <v xml:space="preserve"> </v>
      </c>
      <c r="D461" s="33"/>
      <c r="E461" s="33"/>
      <c r="J461" s="14">
        <f t="shared" si="33"/>
        <v>0</v>
      </c>
      <c r="K461" s="2" t="str">
        <f t="shared" si="34"/>
        <v xml:space="preserve"> </v>
      </c>
      <c r="L461" s="2" t="str">
        <f t="shared" si="31"/>
        <v xml:space="preserve"> </v>
      </c>
      <c r="M461" s="2" t="str">
        <f t="shared" si="32"/>
        <v xml:space="preserve"> </v>
      </c>
    </row>
    <row r="462" spans="1:13" x14ac:dyDescent="0.25">
      <c r="A462" s="34" t="str">
        <f t="shared" si="30"/>
        <v xml:space="preserve"> </v>
      </c>
      <c r="D462" s="33"/>
      <c r="E462" s="33"/>
      <c r="J462" s="14">
        <f t="shared" si="33"/>
        <v>0</v>
      </c>
      <c r="K462" s="2" t="str">
        <f t="shared" si="34"/>
        <v xml:space="preserve"> </v>
      </c>
      <c r="L462" s="2" t="str">
        <f t="shared" si="31"/>
        <v xml:space="preserve"> </v>
      </c>
      <c r="M462" s="2" t="str">
        <f t="shared" si="32"/>
        <v xml:space="preserve"> </v>
      </c>
    </row>
    <row r="463" spans="1:13" x14ac:dyDescent="0.25">
      <c r="A463" s="34" t="str">
        <f t="shared" ref="A463:A482" si="35">IF(COUNTIF(K463:M463,"ERROR")&gt;0,"ERROR"," ")</f>
        <v xml:space="preserve"> </v>
      </c>
      <c r="D463" s="33"/>
      <c r="E463" s="33"/>
      <c r="J463" s="14">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x14ac:dyDescent="0.25">
      <c r="A464" s="34" t="str">
        <f t="shared" si="35"/>
        <v xml:space="preserve"> </v>
      </c>
      <c r="D464" s="33"/>
      <c r="E464" s="33"/>
      <c r="J464" s="14">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4" t="str">
        <f t="shared" si="35"/>
        <v xml:space="preserve"> </v>
      </c>
      <c r="D465" s="33"/>
      <c r="E465" s="33"/>
      <c r="J465" s="14">
        <f t="shared" si="38"/>
        <v>0</v>
      </c>
      <c r="K465" s="2" t="str">
        <f t="shared" si="39"/>
        <v xml:space="preserve"> </v>
      </c>
      <c r="L465" s="2" t="str">
        <f t="shared" si="36"/>
        <v xml:space="preserve"> </v>
      </c>
      <c r="M465" s="2" t="str">
        <f t="shared" si="37"/>
        <v xml:space="preserve"> </v>
      </c>
    </row>
    <row r="466" spans="1:13" x14ac:dyDescent="0.25">
      <c r="A466" s="34" t="str">
        <f t="shared" si="35"/>
        <v xml:space="preserve"> </v>
      </c>
      <c r="D466" s="33"/>
      <c r="E466" s="33"/>
      <c r="J466" s="14">
        <f t="shared" si="38"/>
        <v>0</v>
      </c>
      <c r="K466" s="2" t="str">
        <f t="shared" si="39"/>
        <v xml:space="preserve"> </v>
      </c>
      <c r="L466" s="2" t="str">
        <f t="shared" si="36"/>
        <v xml:space="preserve"> </v>
      </c>
      <c r="M466" s="2" t="str">
        <f t="shared" si="37"/>
        <v xml:space="preserve"> </v>
      </c>
    </row>
    <row r="467" spans="1:13" x14ac:dyDescent="0.25">
      <c r="A467" s="34" t="str">
        <f t="shared" si="35"/>
        <v xml:space="preserve"> </v>
      </c>
      <c r="D467" s="33"/>
      <c r="E467" s="33"/>
      <c r="J467" s="14">
        <f t="shared" si="38"/>
        <v>0</v>
      </c>
      <c r="K467" s="2" t="str">
        <f t="shared" si="39"/>
        <v xml:space="preserve"> </v>
      </c>
      <c r="L467" s="2" t="str">
        <f t="shared" si="36"/>
        <v xml:space="preserve"> </v>
      </c>
      <c r="M467" s="2" t="str">
        <f t="shared" si="37"/>
        <v xml:space="preserve"> </v>
      </c>
    </row>
    <row r="468" spans="1:13" x14ac:dyDescent="0.25">
      <c r="A468" s="34" t="str">
        <f t="shared" si="35"/>
        <v xml:space="preserve"> </v>
      </c>
      <c r="D468" s="33"/>
      <c r="E468" s="33"/>
      <c r="J468" s="14">
        <f t="shared" si="38"/>
        <v>0</v>
      </c>
      <c r="K468" s="2" t="str">
        <f t="shared" si="39"/>
        <v xml:space="preserve"> </v>
      </c>
      <c r="L468" s="2" t="str">
        <f t="shared" si="36"/>
        <v xml:space="preserve"> </v>
      </c>
      <c r="M468" s="2" t="str">
        <f t="shared" si="37"/>
        <v xml:space="preserve"> </v>
      </c>
    </row>
    <row r="469" spans="1:13" x14ac:dyDescent="0.25">
      <c r="A469" s="34" t="str">
        <f t="shared" si="35"/>
        <v xml:space="preserve"> </v>
      </c>
      <c r="D469" s="33"/>
      <c r="E469" s="33"/>
      <c r="J469" s="14">
        <f t="shared" si="38"/>
        <v>0</v>
      </c>
      <c r="K469" s="2" t="str">
        <f t="shared" si="39"/>
        <v xml:space="preserve"> </v>
      </c>
      <c r="L469" s="2" t="str">
        <f t="shared" si="36"/>
        <v xml:space="preserve"> </v>
      </c>
      <c r="M469" s="2" t="str">
        <f t="shared" si="37"/>
        <v xml:space="preserve"> </v>
      </c>
    </row>
    <row r="470" spans="1:13" x14ac:dyDescent="0.25">
      <c r="A470" s="34" t="str">
        <f t="shared" si="35"/>
        <v xml:space="preserve"> </v>
      </c>
      <c r="D470" s="33"/>
      <c r="E470" s="33"/>
      <c r="J470" s="14">
        <f t="shared" si="38"/>
        <v>0</v>
      </c>
      <c r="K470" s="2" t="str">
        <f t="shared" si="39"/>
        <v xml:space="preserve"> </v>
      </c>
      <c r="L470" s="2" t="str">
        <f t="shared" si="36"/>
        <v xml:space="preserve"> </v>
      </c>
      <c r="M470" s="2" t="str">
        <f t="shared" si="37"/>
        <v xml:space="preserve"> </v>
      </c>
    </row>
    <row r="471" spans="1:13" x14ac:dyDescent="0.25">
      <c r="A471" s="34" t="str">
        <f t="shared" si="35"/>
        <v xml:space="preserve"> </v>
      </c>
      <c r="D471" s="33"/>
      <c r="E471" s="33"/>
      <c r="J471" s="14">
        <f t="shared" si="38"/>
        <v>0</v>
      </c>
      <c r="K471" s="2" t="str">
        <f t="shared" si="39"/>
        <v xml:space="preserve"> </v>
      </c>
      <c r="L471" s="2" t="str">
        <f t="shared" si="36"/>
        <v xml:space="preserve"> </v>
      </c>
      <c r="M471" s="2" t="str">
        <f t="shared" si="37"/>
        <v xml:space="preserve"> </v>
      </c>
    </row>
    <row r="472" spans="1:13" x14ac:dyDescent="0.25">
      <c r="A472" s="34" t="str">
        <f t="shared" si="35"/>
        <v xml:space="preserve"> </v>
      </c>
      <c r="D472" s="33"/>
      <c r="E472" s="33"/>
      <c r="J472" s="14">
        <f t="shared" si="38"/>
        <v>0</v>
      </c>
      <c r="K472" s="2" t="str">
        <f t="shared" si="39"/>
        <v xml:space="preserve"> </v>
      </c>
      <c r="L472" s="2" t="str">
        <f t="shared" si="36"/>
        <v xml:space="preserve"> </v>
      </c>
      <c r="M472" s="2" t="str">
        <f t="shared" si="37"/>
        <v xml:space="preserve"> </v>
      </c>
    </row>
    <row r="473" spans="1:13" x14ac:dyDescent="0.25">
      <c r="A473" s="34" t="str">
        <f t="shared" si="35"/>
        <v xml:space="preserve"> </v>
      </c>
      <c r="D473" s="33"/>
      <c r="E473" s="33"/>
      <c r="J473" s="14">
        <f t="shared" si="38"/>
        <v>0</v>
      </c>
      <c r="K473" s="2" t="str">
        <f t="shared" si="39"/>
        <v xml:space="preserve"> </v>
      </c>
      <c r="L473" s="2" t="str">
        <f t="shared" si="36"/>
        <v xml:space="preserve"> </v>
      </c>
      <c r="M473" s="2" t="str">
        <f t="shared" si="37"/>
        <v xml:space="preserve"> </v>
      </c>
    </row>
    <row r="474" spans="1:13" x14ac:dyDescent="0.25">
      <c r="A474" s="34" t="str">
        <f t="shared" si="35"/>
        <v xml:space="preserve"> </v>
      </c>
      <c r="D474" s="33"/>
      <c r="E474" s="33"/>
      <c r="J474" s="14">
        <f t="shared" si="38"/>
        <v>0</v>
      </c>
      <c r="K474" s="2" t="str">
        <f t="shared" si="39"/>
        <v xml:space="preserve"> </v>
      </c>
      <c r="L474" s="2" t="str">
        <f t="shared" si="36"/>
        <v xml:space="preserve"> </v>
      </c>
      <c r="M474" s="2" t="str">
        <f t="shared" si="37"/>
        <v xml:space="preserve"> </v>
      </c>
    </row>
    <row r="475" spans="1:13" x14ac:dyDescent="0.25">
      <c r="A475" s="34" t="str">
        <f t="shared" si="35"/>
        <v xml:space="preserve"> </v>
      </c>
      <c r="D475" s="33"/>
      <c r="E475" s="33"/>
      <c r="J475" s="14">
        <f t="shared" si="38"/>
        <v>0</v>
      </c>
      <c r="K475" s="2" t="str">
        <f t="shared" si="39"/>
        <v xml:space="preserve"> </v>
      </c>
      <c r="L475" s="2" t="str">
        <f t="shared" si="36"/>
        <v xml:space="preserve"> </v>
      </c>
      <c r="M475" s="2" t="str">
        <f t="shared" si="37"/>
        <v xml:space="preserve"> </v>
      </c>
    </row>
    <row r="476" spans="1:13" x14ac:dyDescent="0.25">
      <c r="A476" s="34" t="str">
        <f t="shared" si="35"/>
        <v xml:space="preserve"> </v>
      </c>
      <c r="D476" s="33"/>
      <c r="E476" s="33"/>
      <c r="J476" s="14">
        <f t="shared" si="38"/>
        <v>0</v>
      </c>
      <c r="K476" s="2" t="str">
        <f t="shared" si="39"/>
        <v xml:space="preserve"> </v>
      </c>
      <c r="L476" s="2" t="str">
        <f t="shared" si="36"/>
        <v xml:space="preserve"> </v>
      </c>
      <c r="M476" s="2" t="str">
        <f t="shared" si="37"/>
        <v xml:space="preserve"> </v>
      </c>
    </row>
    <row r="477" spans="1:13" x14ac:dyDescent="0.25">
      <c r="A477" s="34" t="str">
        <f t="shared" si="35"/>
        <v xml:space="preserve"> </v>
      </c>
      <c r="D477" s="33"/>
      <c r="E477" s="33"/>
      <c r="J477" s="14">
        <f t="shared" si="38"/>
        <v>0</v>
      </c>
      <c r="K477" s="2" t="str">
        <f t="shared" si="39"/>
        <v xml:space="preserve"> </v>
      </c>
      <c r="L477" s="2" t="str">
        <f t="shared" si="36"/>
        <v xml:space="preserve"> </v>
      </c>
      <c r="M477" s="2" t="str">
        <f t="shared" si="37"/>
        <v xml:space="preserve"> </v>
      </c>
    </row>
    <row r="478" spans="1:13" x14ac:dyDescent="0.25">
      <c r="A478" s="34" t="str">
        <f t="shared" si="35"/>
        <v xml:space="preserve"> </v>
      </c>
      <c r="D478" s="33"/>
      <c r="E478" s="33"/>
      <c r="J478" s="14">
        <f t="shared" si="38"/>
        <v>0</v>
      </c>
      <c r="K478" s="2" t="str">
        <f t="shared" si="39"/>
        <v xml:space="preserve"> </v>
      </c>
      <c r="L478" s="2" t="str">
        <f t="shared" si="36"/>
        <v xml:space="preserve"> </v>
      </c>
      <c r="M478" s="2" t="str">
        <f t="shared" si="37"/>
        <v xml:space="preserve"> </v>
      </c>
    </row>
    <row r="479" spans="1:13" x14ac:dyDescent="0.25">
      <c r="A479" s="34" t="str">
        <f t="shared" si="35"/>
        <v xml:space="preserve"> </v>
      </c>
      <c r="D479" s="33"/>
      <c r="E479" s="33"/>
      <c r="J479" s="14">
        <f t="shared" si="38"/>
        <v>0</v>
      </c>
      <c r="K479" s="2" t="str">
        <f t="shared" si="39"/>
        <v xml:space="preserve"> </v>
      </c>
      <c r="L479" s="2" t="str">
        <f t="shared" si="36"/>
        <v xml:space="preserve"> </v>
      </c>
      <c r="M479" s="2" t="str">
        <f t="shared" si="37"/>
        <v xml:space="preserve"> </v>
      </c>
    </row>
    <row r="480" spans="1:13" x14ac:dyDescent="0.25">
      <c r="A480" s="34" t="str">
        <f t="shared" si="35"/>
        <v xml:space="preserve"> </v>
      </c>
      <c r="D480" s="33"/>
      <c r="E480" s="33"/>
      <c r="J480" s="14">
        <f t="shared" si="38"/>
        <v>0</v>
      </c>
      <c r="K480" s="2" t="str">
        <f t="shared" si="39"/>
        <v xml:space="preserve"> </v>
      </c>
      <c r="L480" s="2" t="str">
        <f t="shared" si="36"/>
        <v xml:space="preserve"> </v>
      </c>
      <c r="M480" s="2" t="str">
        <f t="shared" si="37"/>
        <v xml:space="preserve"> </v>
      </c>
    </row>
    <row r="481" spans="1:13" x14ac:dyDescent="0.25">
      <c r="A481" s="34" t="str">
        <f t="shared" si="35"/>
        <v xml:space="preserve"> </v>
      </c>
      <c r="D481" s="33"/>
      <c r="E481" s="33"/>
      <c r="J481" s="14">
        <f t="shared" si="38"/>
        <v>0</v>
      </c>
      <c r="K481" s="2" t="str">
        <f t="shared" si="39"/>
        <v xml:space="preserve"> </v>
      </c>
      <c r="L481" s="2" t="str">
        <f t="shared" si="36"/>
        <v xml:space="preserve"> </v>
      </c>
      <c r="M481" s="2" t="str">
        <f t="shared" si="37"/>
        <v xml:space="preserve"> </v>
      </c>
    </row>
    <row r="482" spans="1:13" x14ac:dyDescent="0.25">
      <c r="A482" s="34" t="str">
        <f t="shared" si="35"/>
        <v xml:space="preserve"> </v>
      </c>
      <c r="D482" s="33"/>
      <c r="E482" s="33"/>
      <c r="J482" s="14">
        <f t="shared" si="38"/>
        <v>0</v>
      </c>
      <c r="K482" s="2" t="str">
        <f t="shared" si="39"/>
        <v xml:space="preserve"> </v>
      </c>
      <c r="L482" s="2" t="str">
        <f t="shared" si="36"/>
        <v xml:space="preserve"> </v>
      </c>
      <c r="M482" s="2" t="str">
        <f t="shared" si="37"/>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292</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E0B05-B575-40E3-9D68-1181DF274E0B}">
  <sheetPr>
    <pageSetUpPr fitToPage="1"/>
  </sheetPr>
  <dimension ref="A1:AQ2784"/>
  <sheetViews>
    <sheetView view="pageBreakPreview" zoomScale="60" zoomScaleNormal="100" workbookViewId="0">
      <selection activeCell="D3" sqref="D3"/>
    </sheetView>
  </sheetViews>
  <sheetFormatPr defaultRowHeight="31.5" x14ac:dyDescent="0.45"/>
  <cols>
    <col min="1" max="1" width="4.28515625" style="400" customWidth="1"/>
    <col min="2" max="2" width="6.140625" style="400" customWidth="1"/>
    <col min="3" max="3" width="9.7109375" style="400" customWidth="1"/>
    <col min="4" max="4" width="10.28515625" style="400" customWidth="1"/>
    <col min="5" max="5" width="9.7109375" style="400" customWidth="1"/>
    <col min="6" max="6" width="5.140625" style="400" customWidth="1"/>
    <col min="7" max="7" width="17.5703125" style="400" customWidth="1"/>
    <col min="8" max="8" width="21.85546875" style="400" customWidth="1"/>
    <col min="9" max="9" width="4.85546875" style="400" customWidth="1"/>
    <col min="10" max="11" width="22" style="400" customWidth="1"/>
    <col min="12" max="12" width="3.28515625" style="400" customWidth="1"/>
    <col min="13" max="13" width="26.5703125" style="401" customWidth="1"/>
    <col min="14" max="14" width="3.7109375" style="402" customWidth="1"/>
    <col min="15" max="15" width="26.5703125" style="401" customWidth="1"/>
    <col min="16" max="16" width="3.42578125" style="402" customWidth="1"/>
    <col min="17" max="17" width="6.5703125" style="400" customWidth="1"/>
    <col min="18" max="18" width="17.42578125" style="403" customWidth="1"/>
    <col min="19" max="19" width="20.85546875" style="378" bestFit="1" customWidth="1"/>
    <col min="20" max="20" width="4.85546875" style="378" customWidth="1"/>
    <col min="21" max="21" width="22.28515625" style="378" customWidth="1"/>
    <col min="22" max="22" width="6.28515625" style="378" customWidth="1"/>
    <col min="23" max="23" width="12" style="378" bestFit="1" customWidth="1"/>
    <col min="24" max="24" width="21.85546875" style="378" bestFit="1" customWidth="1"/>
    <col min="25" max="26" width="8.85546875" style="381" customWidth="1"/>
    <col min="27" max="37" width="9.140625" style="404"/>
    <col min="38" max="43" width="9.140625" style="483"/>
    <col min="44" max="16384" width="9.140625" style="405"/>
  </cols>
  <sheetData>
    <row r="1" spans="4:22" ht="31.5" customHeight="1" x14ac:dyDescent="0.45">
      <c r="U1" s="515" t="s">
        <v>692</v>
      </c>
      <c r="V1" s="515"/>
    </row>
    <row r="2" spans="4:22" ht="31.5" customHeight="1" x14ac:dyDescent="0.45">
      <c r="U2" s="322" t="str">
        <f>IF(COUNTIF(U3:U2784,"FALSE")&gt;0,"NO","YES")</f>
        <v>YES</v>
      </c>
      <c r="V2" s="196"/>
    </row>
    <row r="3" spans="4:22" ht="31.5" customHeight="1" x14ac:dyDescent="0.45"/>
    <row r="4" spans="4:22" ht="31.5" customHeight="1" x14ac:dyDescent="0.45"/>
    <row r="5" spans="4:22" ht="31.5" customHeight="1" x14ac:dyDescent="0.45"/>
    <row r="6" spans="4:22" ht="31.5" customHeight="1" x14ac:dyDescent="0.45"/>
    <row r="7" spans="4:22" ht="31.5" customHeight="1" x14ac:dyDescent="0.45"/>
    <row r="8" spans="4:22" ht="31.5" customHeight="1" x14ac:dyDescent="0.45"/>
    <row r="9" spans="4:22" ht="31.5" customHeight="1" x14ac:dyDescent="0.45"/>
    <row r="10" spans="4:22" ht="31.5" customHeight="1" x14ac:dyDescent="0.45"/>
    <row r="11" spans="4:22" ht="31.5" customHeight="1" x14ac:dyDescent="0.45"/>
    <row r="12" spans="4:22" ht="31.5" customHeight="1" x14ac:dyDescent="0.45"/>
    <row r="13" spans="4:22" ht="31.5" customHeight="1" x14ac:dyDescent="0.45"/>
    <row r="14" spans="4:22" ht="31.5" customHeight="1" thickBot="1" x14ac:dyDescent="0.5"/>
    <row r="15" spans="4:22" ht="31.5" customHeight="1" x14ac:dyDescent="0.45">
      <c r="D15" s="407"/>
      <c r="E15" s="408"/>
      <c r="F15" s="408"/>
      <c r="G15" s="408"/>
      <c r="H15" s="408"/>
      <c r="I15" s="408"/>
      <c r="J15" s="408"/>
      <c r="K15" s="408"/>
      <c r="L15" s="408"/>
      <c r="M15" s="409"/>
      <c r="N15" s="410"/>
    </row>
    <row r="16" spans="4:22" ht="31.5" customHeight="1" x14ac:dyDescent="0.45">
      <c r="D16" s="510" t="str">
        <f>Criteria!E9</f>
        <v>HOLDING COMPANY 268 (PROPRIETARY) LIMITED</v>
      </c>
      <c r="E16" s="511"/>
      <c r="F16" s="511"/>
      <c r="G16" s="511"/>
      <c r="H16" s="511"/>
      <c r="I16" s="511"/>
      <c r="J16" s="511"/>
      <c r="K16" s="511"/>
      <c r="L16" s="511"/>
      <c r="M16" s="511"/>
      <c r="N16" s="512"/>
    </row>
    <row r="17" spans="4:14" ht="31.5" customHeight="1" x14ac:dyDescent="0.45">
      <c r="D17" s="411"/>
      <c r="F17" s="397"/>
      <c r="G17" s="397"/>
      <c r="H17" s="397"/>
      <c r="I17" s="397"/>
      <c r="J17" s="397"/>
      <c r="K17" s="397"/>
      <c r="L17" s="397"/>
      <c r="M17" s="398"/>
      <c r="N17" s="412"/>
    </row>
    <row r="18" spans="4:14" ht="31.5" customHeight="1" x14ac:dyDescent="0.45">
      <c r="D18" s="510" t="s">
        <v>865</v>
      </c>
      <c r="E18" s="511"/>
      <c r="F18" s="511"/>
      <c r="G18" s="511"/>
      <c r="H18" s="511"/>
      <c r="I18" s="511"/>
      <c r="J18" s="511"/>
      <c r="K18" s="511"/>
      <c r="L18" s="511"/>
      <c r="M18" s="511"/>
      <c r="N18" s="512"/>
    </row>
    <row r="19" spans="4:14" ht="31.5" customHeight="1" x14ac:dyDescent="0.45">
      <c r="D19" s="411"/>
      <c r="F19" s="397"/>
      <c r="G19" s="397"/>
      <c r="H19" s="397"/>
      <c r="I19" s="397"/>
      <c r="J19" s="397"/>
      <c r="K19" s="397"/>
      <c r="L19" s="397"/>
      <c r="M19" s="398"/>
      <c r="N19" s="396"/>
    </row>
    <row r="20" spans="4:14" ht="31.5" customHeight="1" x14ac:dyDescent="0.45">
      <c r="D20" s="510" t="str">
        <f>Criteria!E20</f>
        <v>29 FEBRUARY 2024</v>
      </c>
      <c r="E20" s="511"/>
      <c r="F20" s="511"/>
      <c r="G20" s="511"/>
      <c r="H20" s="511"/>
      <c r="I20" s="511"/>
      <c r="J20" s="511"/>
      <c r="K20" s="511"/>
      <c r="L20" s="511"/>
      <c r="M20" s="511"/>
      <c r="N20" s="512"/>
    </row>
    <row r="21" spans="4:14" ht="31.5" customHeight="1" thickBot="1" x14ac:dyDescent="0.5">
      <c r="D21" s="413"/>
      <c r="E21" s="414"/>
      <c r="F21" s="414"/>
      <c r="G21" s="414"/>
      <c r="H21" s="414"/>
      <c r="I21" s="414"/>
      <c r="J21" s="414"/>
      <c r="K21" s="414"/>
      <c r="L21" s="414"/>
      <c r="M21" s="415"/>
      <c r="N21" s="416"/>
    </row>
    <row r="22" spans="4:14" ht="31.5" customHeight="1" x14ac:dyDescent="0.45"/>
    <row r="23" spans="4:14" ht="31.5" customHeight="1" x14ac:dyDescent="0.45"/>
    <row r="24" spans="4:14" ht="31.5" customHeight="1" x14ac:dyDescent="0.45"/>
    <row r="25" spans="4:14" ht="31.5" customHeight="1" x14ac:dyDescent="0.45"/>
    <row r="26" spans="4:14" ht="31.5" customHeight="1" x14ac:dyDescent="0.45"/>
    <row r="27" spans="4:14" ht="31.5" customHeight="1" x14ac:dyDescent="0.45"/>
    <row r="28" spans="4:14" ht="31.5" customHeight="1" x14ac:dyDescent="0.45"/>
    <row r="29" spans="4:14" ht="31.5" customHeight="1" x14ac:dyDescent="0.45"/>
    <row r="30" spans="4:14" ht="31.5" customHeight="1" x14ac:dyDescent="0.45"/>
    <row r="31" spans="4:14" ht="31.5" customHeight="1" x14ac:dyDescent="0.45"/>
    <row r="32" spans="4:14"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1.5" customHeight="1" x14ac:dyDescent="0.45"/>
    <row r="57" spans="4:18" ht="31.5" customHeight="1" x14ac:dyDescent="0.45"/>
    <row r="58" spans="4:18" ht="31.5" customHeight="1" x14ac:dyDescent="0.45">
      <c r="D58" s="417" t="str">
        <f>Criteria!E9</f>
        <v>HOLDING COMPANY 268 (PROPRIETARY) LIMITED</v>
      </c>
    </row>
    <row r="59" spans="4:18" ht="31.5" customHeight="1" x14ac:dyDescent="0.45">
      <c r="D59" s="417" t="str">
        <f>Criteria!E10</f>
        <v>CONSOLIDATED FINANCIAL STATEMENTS</v>
      </c>
      <c r="R59" s="403" t="str">
        <f>IF(D59=0,"DELETE"," ")</f>
        <v xml:space="preserve"> </v>
      </c>
    </row>
    <row r="60" spans="4:18" ht="31.5" customHeight="1" x14ac:dyDescent="0.45">
      <c r="D60" s="417" t="str">
        <f>Criteria!E18</f>
        <v>2000/123456/07</v>
      </c>
    </row>
    <row r="61" spans="4:18" ht="31.5" customHeight="1" x14ac:dyDescent="0.45">
      <c r="D61" s="417"/>
    </row>
    <row r="62" spans="4:18" ht="31.5" customHeight="1" x14ac:dyDescent="0.45">
      <c r="D62" s="417" t="s">
        <v>879</v>
      </c>
    </row>
    <row r="63" spans="4:18" ht="31.5" customHeight="1" x14ac:dyDescent="0.45">
      <c r="D63" s="417" t="str">
        <f>Criteria!E20</f>
        <v>29 FEBRUARY 2024</v>
      </c>
    </row>
    <row r="64" spans="4:18" ht="31.5" customHeight="1" x14ac:dyDescent="0.45"/>
    <row r="65" spans="4:15" ht="31.5" customHeight="1" x14ac:dyDescent="0.45"/>
    <row r="66" spans="4:15" ht="31.5" customHeight="1" x14ac:dyDescent="0.5">
      <c r="D66" s="418" t="s">
        <v>887</v>
      </c>
    </row>
    <row r="67" spans="4:15" ht="31.5" customHeight="1" x14ac:dyDescent="0.5">
      <c r="D67" s="418" t="str">
        <f>IF(MAX(Criteria!H50:H54)=1,"Statements presented to the Shareholder:","Statements presented to the Shareholders:")</f>
        <v>Statements presented to the Shareholders:</v>
      </c>
    </row>
    <row r="68" spans="4:15" ht="31.5" customHeight="1" x14ac:dyDescent="0.45"/>
    <row r="69" spans="4:15" ht="31.5" customHeight="1" x14ac:dyDescent="0.45">
      <c r="D69" s="417" t="s">
        <v>163</v>
      </c>
      <c r="N69" s="293"/>
      <c r="O69" s="343" t="s">
        <v>164</v>
      </c>
    </row>
    <row r="70" spans="4:15" ht="31.5" customHeight="1" x14ac:dyDescent="0.45"/>
    <row r="71" spans="4:15" ht="31.5" customHeight="1" x14ac:dyDescent="0.45">
      <c r="D71" s="400" t="s">
        <v>165</v>
      </c>
      <c r="N71" s="294"/>
      <c r="O71" s="344">
        <f>Q114</f>
        <v>1</v>
      </c>
    </row>
    <row r="72" spans="4:15" ht="31.5" customHeight="1" x14ac:dyDescent="0.45">
      <c r="N72" s="294"/>
      <c r="O72" s="344"/>
    </row>
    <row r="73" spans="4:15" ht="31.5" customHeight="1" x14ac:dyDescent="0.45">
      <c r="D73" s="400" t="s">
        <v>885</v>
      </c>
      <c r="N73" s="294"/>
      <c r="O73" s="344">
        <f>MAX($Q$114:Q224)</f>
        <v>2</v>
      </c>
    </row>
    <row r="74" spans="4:15" ht="31.5" customHeight="1" x14ac:dyDescent="0.45">
      <c r="N74" s="294"/>
      <c r="O74" s="344"/>
    </row>
    <row r="75" spans="4:15" ht="31.5" customHeight="1" x14ac:dyDescent="0.45">
      <c r="D75" s="400" t="str">
        <f>IF(MAX(Criteria!I38:I42)&gt;1,"DIRECTORS' REPORT","DIRECTOR'S REPORT")</f>
        <v>DIRECTOR'S REPORT</v>
      </c>
      <c r="N75" s="294"/>
      <c r="O75" s="344" t="str">
        <f>CONCATENATE(Q226," -  ",MAX(Q226:Q347))</f>
        <v>3 -  4</v>
      </c>
    </row>
    <row r="76" spans="4:15" ht="31.5" customHeight="1" x14ac:dyDescent="0.45">
      <c r="N76" s="294"/>
      <c r="O76" s="344"/>
    </row>
    <row r="77" spans="4:15" ht="31.5" customHeight="1" x14ac:dyDescent="0.45">
      <c r="D77" s="400" t="s">
        <v>682</v>
      </c>
      <c r="N77" s="294"/>
      <c r="O77" s="344">
        <f>Q348</f>
        <v>5</v>
      </c>
    </row>
    <row r="78" spans="4:15" ht="31.5" customHeight="1" x14ac:dyDescent="0.45">
      <c r="N78" s="294"/>
      <c r="O78" s="344"/>
    </row>
    <row r="79" spans="4:15" ht="31.5" customHeight="1" x14ac:dyDescent="0.45">
      <c r="D79" s="400" t="s">
        <v>681</v>
      </c>
      <c r="N79" s="294"/>
      <c r="O79" s="344">
        <f>Q410</f>
        <v>6</v>
      </c>
    </row>
    <row r="80" spans="4:15" ht="31.5" customHeight="1" x14ac:dyDescent="0.45">
      <c r="N80" s="294"/>
      <c r="O80" s="344"/>
    </row>
    <row r="81" spans="4:18" ht="31.5" customHeight="1" x14ac:dyDescent="0.45">
      <c r="D81" s="400" t="s">
        <v>491</v>
      </c>
      <c r="N81" s="294"/>
      <c r="O81" s="344">
        <f>Q493</f>
        <v>7</v>
      </c>
    </row>
    <row r="82" spans="4:18" ht="31.5" customHeight="1" x14ac:dyDescent="0.45">
      <c r="N82" s="294"/>
      <c r="O82" s="344"/>
    </row>
    <row r="83" spans="4:18" ht="31.5" customHeight="1" x14ac:dyDescent="0.45">
      <c r="D83" s="400" t="s">
        <v>94</v>
      </c>
      <c r="N83" s="294"/>
      <c r="O83" s="344" t="str">
        <f>CONCATENATE(Q552," -  ",MAX(Q552:Q2118))</f>
        <v>8 -  54</v>
      </c>
    </row>
    <row r="84" spans="4:18" ht="31.5" customHeight="1" x14ac:dyDescent="0.45">
      <c r="N84" s="294"/>
      <c r="O84" s="344"/>
    </row>
    <row r="85" spans="4:18" ht="31.5" customHeight="1" x14ac:dyDescent="0.45">
      <c r="D85" s="400" t="s">
        <v>515</v>
      </c>
      <c r="N85" s="294"/>
      <c r="O85" s="344" t="str">
        <f>IF(Q2119&lt;MAX(Q2119:Q2292),CONCATENATE(Q2119," - ",MAX(Q2119:Q2292)),Q2119)</f>
        <v>55 - 56</v>
      </c>
    </row>
    <row r="86" spans="4:18" ht="31.5" customHeight="1" x14ac:dyDescent="0.45">
      <c r="M86" s="344"/>
      <c r="N86" s="294"/>
    </row>
    <row r="87" spans="4:18" ht="31.5" customHeight="1" x14ac:dyDescent="0.45"/>
    <row r="88" spans="4:18" ht="31.5" customHeight="1" x14ac:dyDescent="0.45">
      <c r="D88" s="400" t="s">
        <v>516</v>
      </c>
      <c r="R88" s="403" t="str">
        <f>IF(Criteria!E14=0,"DELETE"," ")</f>
        <v xml:space="preserve"> </v>
      </c>
    </row>
    <row r="89" spans="4:18" ht="31.5" customHeight="1" x14ac:dyDescent="0.45">
      <c r="E89" s="400" t="s">
        <v>25</v>
      </c>
      <c r="F89" s="419" t="str">
        <f>CONCATENATE("DETAILED INCOME STATEMENT"," - ",Criteria!E14)</f>
        <v>DETAILED INCOME STATEMENT - SUBSIDIARY ONE 111 (PTY) LTD</v>
      </c>
      <c r="R89" s="403" t="str">
        <f>IF(Criteria!E14=0,"DELETE"," ")</f>
        <v xml:space="preserve"> </v>
      </c>
    </row>
    <row r="90" spans="4:18" ht="31.5" customHeight="1" x14ac:dyDescent="0.45">
      <c r="E90" s="400" t="s">
        <v>645</v>
      </c>
      <c r="F90" s="419" t="str">
        <f>CONCATENATE("DETAILED INCOME STATEMENT"," - ",Criteria!E15)</f>
        <v>DETAILED INCOME STATEMENT - SUBSIDIARY TWO 15 (PTY) LTD</v>
      </c>
      <c r="R90" s="403" t="str">
        <f>IF(Criteria!E15=0,"DELETE"," ")</f>
        <v xml:space="preserve"> </v>
      </c>
    </row>
    <row r="91" spans="4:18" ht="31.5" customHeight="1" x14ac:dyDescent="0.45">
      <c r="E91" s="400" t="s">
        <v>650</v>
      </c>
      <c r="F91" s="419" t="str">
        <f>CONCATENATE("DETAILED INCOME STATEMENT"," - ",Criteria!E16)</f>
        <v xml:space="preserve">DETAILED INCOME STATEMENT - </v>
      </c>
      <c r="R91" s="403" t="str">
        <f>IF(Criteria!E16=0,"DELETE"," ")</f>
        <v>DELETE</v>
      </c>
    </row>
    <row r="92" spans="4:18" ht="31.5" customHeight="1" x14ac:dyDescent="0.45"/>
    <row r="93" spans="4:18" ht="31.5" customHeight="1" x14ac:dyDescent="0.45">
      <c r="D93" s="417"/>
    </row>
    <row r="94" spans="4:18" ht="31.5" customHeight="1" x14ac:dyDescent="0.45">
      <c r="D94" s="405"/>
    </row>
    <row r="95" spans="4:18" ht="31.5" customHeight="1" x14ac:dyDescent="0.45">
      <c r="D95" s="405"/>
    </row>
    <row r="96" spans="4:18" ht="31.5" customHeight="1" x14ac:dyDescent="0.45">
      <c r="D96" s="405"/>
    </row>
    <row r="97" spans="4:13" ht="31.5" customHeight="1" x14ac:dyDescent="0.45">
      <c r="D97" s="405"/>
    </row>
    <row r="98" spans="4:13" ht="31.5" customHeight="1" x14ac:dyDescent="0.45">
      <c r="D98" s="417" t="s">
        <v>868</v>
      </c>
    </row>
    <row r="99" spans="4:13" ht="31.5" customHeight="1" x14ac:dyDescent="0.45"/>
    <row r="100" spans="4:13" ht="31.5" customHeight="1" x14ac:dyDescent="0.45">
      <c r="D100" s="400" t="str">
        <f>CONCATENATE("The annual Consolidated Financial Statements of ",Criteria!E11)</f>
        <v>The annual Consolidated Financial Statements of Holding Company 268 (Pty) Ltd Group</v>
      </c>
    </row>
    <row r="101" spans="4:13" ht="31.5" customHeight="1" x14ac:dyDescent="0.45">
      <c r="D101" s="400" t="str">
        <f>CONCATENATE(IF(MAX(Criteria!I38:I42)&gt;1,"were approved by the Board of directors and signed on their behalf by:","was approved by the director and signed accordingly:"))</f>
        <v>was approved by the director and signed accordingly:</v>
      </c>
    </row>
    <row r="102" spans="4:13" ht="31.5" customHeight="1" x14ac:dyDescent="0.45"/>
    <row r="103" spans="4:13" ht="31.5" customHeight="1" x14ac:dyDescent="0.45"/>
    <row r="104" spans="4:13" ht="31.5" customHeight="1" x14ac:dyDescent="0.45"/>
    <row r="105" spans="4:13" ht="31.5" customHeight="1" x14ac:dyDescent="0.45"/>
    <row r="106" spans="4:13" ht="31.5" customHeight="1" x14ac:dyDescent="0.45"/>
    <row r="107" spans="4:13" ht="31.5" customHeight="1" x14ac:dyDescent="0.45">
      <c r="D107" s="400" t="s">
        <v>866</v>
      </c>
      <c r="M107" s="401" t="str">
        <f>IF(Criteria!F39="Signature",D107," ")</f>
        <v xml:space="preserve"> </v>
      </c>
    </row>
    <row r="108" spans="4:13" ht="31.5" customHeight="1" x14ac:dyDescent="0.45">
      <c r="D108" s="400" t="str">
        <f>Criteria!E38</f>
        <v>A Director</v>
      </c>
      <c r="M108" s="401" t="str">
        <f>IF(Criteria!F39="Signature",Criteria!E39," ")</f>
        <v xml:space="preserve"> </v>
      </c>
    </row>
    <row r="109" spans="4:13" ht="31.5" customHeight="1" x14ac:dyDescent="0.45"/>
    <row r="110" spans="4:13" ht="31.5" customHeight="1" x14ac:dyDescent="0.45"/>
    <row r="111" spans="4:13" ht="31.5" customHeight="1" x14ac:dyDescent="0.45">
      <c r="D111" s="400" t="str">
        <f>Criteria!F29</f>
        <v>Johannesburg</v>
      </c>
      <c r="H111" s="400" t="s">
        <v>101</v>
      </c>
      <c r="J111" s="509"/>
      <c r="K111" s="509"/>
    </row>
    <row r="112" spans="4:13" ht="14.25" customHeight="1" x14ac:dyDescent="0.45">
      <c r="J112" s="400" t="s">
        <v>867</v>
      </c>
    </row>
    <row r="113" spans="4:18" ht="31.5" customHeight="1" x14ac:dyDescent="0.45"/>
    <row r="114" spans="4:18" ht="31.5" customHeight="1" x14ac:dyDescent="0.45">
      <c r="D114" s="417" t="str">
        <f>Criteria!E9</f>
        <v>HOLDING COMPANY 268 (PROPRIETARY) LIMITED</v>
      </c>
      <c r="O114" s="346" t="s">
        <v>96</v>
      </c>
      <c r="P114" s="295"/>
      <c r="Q114" s="292">
        <v>1</v>
      </c>
    </row>
    <row r="115" spans="4:18" ht="31.5" customHeight="1" x14ac:dyDescent="0.45">
      <c r="D115" s="417" t="str">
        <f>Criteria!E10</f>
        <v>CONSOLIDATED FINANCIAL STATEMENTS</v>
      </c>
      <c r="R115" s="403" t="str">
        <f>IF(D115=0,"DELETE"," ")</f>
        <v xml:space="preserve"> </v>
      </c>
    </row>
    <row r="116" spans="4:18" ht="31.5" customHeight="1" x14ac:dyDescent="0.45"/>
    <row r="117" spans="4:18" ht="31.5" customHeight="1" x14ac:dyDescent="0.45"/>
    <row r="118" spans="4:18" ht="31.5" customHeight="1" x14ac:dyDescent="0.45">
      <c r="D118" s="417" t="s">
        <v>165</v>
      </c>
    </row>
    <row r="119" spans="4:18" ht="31.5" customHeight="1" x14ac:dyDescent="0.45"/>
    <row r="120" spans="4:18" ht="31.5" customHeight="1" x14ac:dyDescent="0.45"/>
    <row r="121" spans="4:18" ht="31.5" customHeight="1" x14ac:dyDescent="0.45">
      <c r="D121" s="400" t="s">
        <v>889</v>
      </c>
    </row>
    <row r="122" spans="4:18" ht="31.5" customHeight="1" x14ac:dyDescent="0.45">
      <c r="D122" s="400" t="s">
        <v>888</v>
      </c>
      <c r="J122" s="400" t="s">
        <v>651</v>
      </c>
    </row>
    <row r="123" spans="4:18" ht="31.5" customHeight="1" x14ac:dyDescent="0.45"/>
    <row r="124" spans="4:18" ht="31.5" customHeight="1" x14ac:dyDescent="0.45">
      <c r="D124" s="400" t="s">
        <v>718</v>
      </c>
      <c r="J124" s="400" t="s">
        <v>719</v>
      </c>
    </row>
    <row r="125" spans="4:18" ht="31.5" customHeight="1" x14ac:dyDescent="0.45"/>
    <row r="126" spans="4:18" ht="31.5" customHeight="1" x14ac:dyDescent="0.45">
      <c r="D126" s="400" t="s">
        <v>97</v>
      </c>
      <c r="J126" s="400" t="str">
        <f>Criteria!E33</f>
        <v>Investment in financial instruments</v>
      </c>
    </row>
    <row r="127" spans="4:18" ht="31.5" customHeight="1" x14ac:dyDescent="0.45">
      <c r="J127" s="400" t="str">
        <f>Criteria!E34</f>
        <v>Investment in immovable properties</v>
      </c>
      <c r="R127" s="403" t="str">
        <f>IF(J127=0,"DELETE"," ")</f>
        <v xml:space="preserve"> </v>
      </c>
    </row>
    <row r="128" spans="4:18" ht="31.5" customHeight="1" x14ac:dyDescent="0.45">
      <c r="J128" s="400">
        <f>Criteria!E35</f>
        <v>0</v>
      </c>
      <c r="R128" s="403" t="str">
        <f>IF(J128=0,"DELETE"," ")</f>
        <v>DELETE</v>
      </c>
    </row>
    <row r="129" spans="4:18" ht="31.5" customHeight="1" x14ac:dyDescent="0.45">
      <c r="J129" s="400">
        <f>Criteria!E36</f>
        <v>0</v>
      </c>
      <c r="R129" s="403" t="str">
        <f>IF(J129=0,"DELETE"," ")</f>
        <v>DELETE</v>
      </c>
    </row>
    <row r="130" spans="4:18" ht="31.5" customHeight="1" x14ac:dyDescent="0.45"/>
    <row r="131" spans="4:18" ht="31.5" customHeight="1" x14ac:dyDescent="0.45">
      <c r="D131" s="400" t="str">
        <f>IF(MAX(Criteria!I38:I42)&gt;1,"Directors","Director")</f>
        <v>Director</v>
      </c>
      <c r="J131" s="400" t="str">
        <f>Criteria!E38</f>
        <v>A Director</v>
      </c>
    </row>
    <row r="132" spans="4:18" ht="31.5" customHeight="1" x14ac:dyDescent="0.45">
      <c r="J132" s="400">
        <f>Criteria!E39</f>
        <v>0</v>
      </c>
      <c r="R132" s="403" t="str">
        <f>IF(J132=0,"DELETE"," ")</f>
        <v>DELETE</v>
      </c>
    </row>
    <row r="133" spans="4:18" ht="31.5" customHeight="1" x14ac:dyDescent="0.45">
      <c r="J133" s="400">
        <f>Criteria!E40</f>
        <v>0</v>
      </c>
      <c r="R133" s="403" t="str">
        <f>IF(J133=0,"DELETE"," ")</f>
        <v>DELETE</v>
      </c>
    </row>
    <row r="134" spans="4:18" ht="31.5" customHeight="1" x14ac:dyDescent="0.45">
      <c r="J134" s="400">
        <f>Criteria!E41</f>
        <v>0</v>
      </c>
      <c r="R134" s="403" t="str">
        <f>IF(J134=0,"DELETE"," ")</f>
        <v>DELETE</v>
      </c>
    </row>
    <row r="135" spans="4:18" ht="31.5" customHeight="1" x14ac:dyDescent="0.45">
      <c r="J135" s="400">
        <f>Criteria!E42</f>
        <v>0</v>
      </c>
      <c r="R135" s="403" t="str">
        <f>IF(J135=0,"DELETE"," ")</f>
        <v>DELETE</v>
      </c>
    </row>
    <row r="136" spans="4:18" ht="31.5" customHeight="1" x14ac:dyDescent="0.45"/>
    <row r="137" spans="4:18" ht="31.5" customHeight="1" x14ac:dyDescent="0.45">
      <c r="D137" s="400" t="s">
        <v>98</v>
      </c>
      <c r="J137" s="400">
        <f>Criteria!E56</f>
        <v>0</v>
      </c>
    </row>
    <row r="138" spans="4:18" ht="31.5" customHeight="1" x14ac:dyDescent="0.45">
      <c r="J138" s="400">
        <f>Criteria!E57</f>
        <v>0</v>
      </c>
    </row>
    <row r="139" spans="4:18" ht="31.5" customHeight="1" x14ac:dyDescent="0.45">
      <c r="J139" s="296">
        <f>Criteria!E58</f>
        <v>0</v>
      </c>
      <c r="R139" s="403" t="str">
        <f>IF(J139=0,"DELETE"," ")</f>
        <v>DELETE</v>
      </c>
    </row>
    <row r="140" spans="4:18" ht="31.5" customHeight="1" x14ac:dyDescent="0.45">
      <c r="J140" s="296">
        <f>Criteria!E59</f>
        <v>0</v>
      </c>
      <c r="R140" s="403" t="str">
        <f>IF(J140=0,"DELETE"," ")</f>
        <v>DELETE</v>
      </c>
    </row>
    <row r="141" spans="4:18" ht="31.5" customHeight="1" x14ac:dyDescent="0.45">
      <c r="R141" s="403" t="str">
        <f>R142</f>
        <v>DELETE</v>
      </c>
    </row>
    <row r="142" spans="4:18" ht="31.5" customHeight="1" x14ac:dyDescent="0.45">
      <c r="D142" s="400" t="s">
        <v>817</v>
      </c>
      <c r="J142" s="296">
        <f>Criteria!E61</f>
        <v>0</v>
      </c>
      <c r="R142" s="403" t="str">
        <f t="shared" ref="R142:R145" si="0">IF(J142=0,"DELETE"," ")</f>
        <v>DELETE</v>
      </c>
    </row>
    <row r="143" spans="4:18" ht="31.5" customHeight="1" x14ac:dyDescent="0.45">
      <c r="J143" s="296">
        <f>Criteria!E62</f>
        <v>0</v>
      </c>
      <c r="R143" s="403" t="str">
        <f t="shared" si="0"/>
        <v>DELETE</v>
      </c>
    </row>
    <row r="144" spans="4:18" ht="31.5" customHeight="1" x14ac:dyDescent="0.45">
      <c r="J144" s="296">
        <f>Criteria!E63</f>
        <v>0</v>
      </c>
      <c r="R144" s="403" t="str">
        <f t="shared" si="0"/>
        <v>DELETE</v>
      </c>
    </row>
    <row r="145" spans="4:18" ht="31.5" customHeight="1" x14ac:dyDescent="0.45">
      <c r="J145" s="296">
        <f>Criteria!E64</f>
        <v>0</v>
      </c>
      <c r="R145" s="403" t="str">
        <f t="shared" si="0"/>
        <v>DELETE</v>
      </c>
    </row>
    <row r="146" spans="4:18" ht="31.5" customHeight="1" x14ac:dyDescent="0.45"/>
    <row r="147" spans="4:18" ht="31.5" customHeight="1" x14ac:dyDescent="0.45">
      <c r="D147" s="400" t="s">
        <v>99</v>
      </c>
      <c r="J147" s="400">
        <f>Criteria!E66</f>
        <v>0</v>
      </c>
      <c r="R147" s="403" t="str">
        <f>IF(J147=0,"DELETE"," ")</f>
        <v>DELETE</v>
      </c>
    </row>
    <row r="148" spans="4:18" ht="31.5" customHeight="1" x14ac:dyDescent="0.45">
      <c r="J148" s="400">
        <f>Criteria!E67</f>
        <v>0</v>
      </c>
      <c r="R148" s="403" t="str">
        <f>IF(J148=0,"DELETE"," ")</f>
        <v>DELETE</v>
      </c>
    </row>
    <row r="149" spans="4:18" ht="31.5" customHeight="1" x14ac:dyDescent="0.45">
      <c r="J149" s="296">
        <f>Criteria!E68</f>
        <v>0</v>
      </c>
      <c r="R149" s="403" t="str">
        <f>IF(J149=0,"DELETE"," ")</f>
        <v>DELETE</v>
      </c>
    </row>
    <row r="150" spans="4:18" ht="31.5" customHeight="1" x14ac:dyDescent="0.45">
      <c r="J150" s="296">
        <f>Criteria!E69</f>
        <v>0</v>
      </c>
      <c r="R150" s="403" t="str">
        <f>IF(J150=0,"DELETE"," ")</f>
        <v>DELETE</v>
      </c>
    </row>
    <row r="151" spans="4:18" ht="31.5" customHeight="1" x14ac:dyDescent="0.45">
      <c r="J151" s="296"/>
    </row>
    <row r="152" spans="4:18" ht="31.5" customHeight="1" x14ac:dyDescent="0.45">
      <c r="D152" s="400" t="s">
        <v>715</v>
      </c>
      <c r="J152" s="296">
        <f>Criteria!E71</f>
        <v>0</v>
      </c>
      <c r="R152" s="403" t="str">
        <f t="shared" ref="R152:R154" si="1">IF(J152=0,"DELETE"," ")</f>
        <v>DELETE</v>
      </c>
    </row>
    <row r="153" spans="4:18" ht="31.5" customHeight="1" x14ac:dyDescent="0.45">
      <c r="J153" s="296">
        <f>Criteria!E72</f>
        <v>0</v>
      </c>
      <c r="R153" s="403" t="str">
        <f t="shared" si="1"/>
        <v>DELETE</v>
      </c>
    </row>
    <row r="154" spans="4:18" ht="31.5" customHeight="1" x14ac:dyDescent="0.45">
      <c r="J154" s="296">
        <f>Criteria!E73</f>
        <v>0</v>
      </c>
      <c r="R154" s="403" t="str">
        <f t="shared" si="1"/>
        <v>DELETE</v>
      </c>
    </row>
    <row r="155" spans="4:18" ht="31.5" customHeight="1" x14ac:dyDescent="0.45"/>
    <row r="156" spans="4:18" ht="31.5" customHeight="1" x14ac:dyDescent="0.45">
      <c r="D156" s="400" t="s">
        <v>736</v>
      </c>
      <c r="J156" s="400" t="str">
        <f>Criteria!E18</f>
        <v>2000/123456/07</v>
      </c>
    </row>
    <row r="157" spans="4:18" ht="31.5" customHeight="1" x14ac:dyDescent="0.45"/>
    <row r="158" spans="4:18" ht="31.5" customHeight="1" x14ac:dyDescent="0.45">
      <c r="D158" s="400" t="str">
        <f>FS!D158</f>
        <v>Auditor/Accounting Officer</v>
      </c>
      <c r="J158" s="400">
        <f>FS!J158</f>
        <v>0</v>
      </c>
    </row>
    <row r="159" spans="4:18" ht="31.5" customHeight="1" x14ac:dyDescent="0.45">
      <c r="J159" s="400">
        <f>FS!J159</f>
        <v>0</v>
      </c>
    </row>
    <row r="160" spans="4:18" ht="31.5" customHeight="1" x14ac:dyDescent="0.45">
      <c r="J160" s="400">
        <f>FS!J160</f>
        <v>0</v>
      </c>
    </row>
    <row r="161" spans="10:18" ht="31.5" customHeight="1" x14ac:dyDescent="0.45">
      <c r="J161" s="400">
        <f>FS!J161</f>
        <v>0</v>
      </c>
      <c r="R161" s="403" t="str">
        <f t="shared" ref="R161:R162" si="2">IF(J161=0,"DELETE"," ")</f>
        <v>DELETE</v>
      </c>
    </row>
    <row r="162" spans="10:18" ht="31.5" customHeight="1" x14ac:dyDescent="0.45">
      <c r="J162" s="400">
        <f>FS!J162</f>
        <v>0</v>
      </c>
      <c r="R162" s="403" t="str">
        <f t="shared" si="2"/>
        <v>DELETE</v>
      </c>
    </row>
    <row r="163" spans="10:18" ht="31.5" customHeight="1" x14ac:dyDescent="0.45"/>
    <row r="164" spans="10:18" ht="31.5" customHeight="1" x14ac:dyDescent="0.45"/>
    <row r="165" spans="10:18" ht="31.5" customHeight="1" x14ac:dyDescent="0.45"/>
    <row r="166" spans="10:18" ht="31.5" customHeight="1" x14ac:dyDescent="0.45"/>
    <row r="167" spans="10:18" ht="31.5" customHeight="1" x14ac:dyDescent="0.45"/>
    <row r="168" spans="10:18" ht="31.5" customHeight="1" x14ac:dyDescent="0.45"/>
    <row r="169" spans="10:18" ht="31.5" customHeight="1" x14ac:dyDescent="0.45">
      <c r="O169" s="346"/>
      <c r="P169" s="295"/>
      <c r="Q169" s="292"/>
    </row>
    <row r="170" spans="10:18" ht="31.5" customHeight="1" x14ac:dyDescent="0.45">
      <c r="K170" s="405"/>
      <c r="L170" s="405"/>
      <c r="M170" s="421"/>
      <c r="N170" s="405"/>
      <c r="O170" s="346" t="s">
        <v>96</v>
      </c>
      <c r="Q170" s="292">
        <f>MAX($Q$114:Q169)+1</f>
        <v>2</v>
      </c>
    </row>
    <row r="171" spans="10:18" ht="31.5" customHeight="1" x14ac:dyDescent="0.45">
      <c r="M171" s="422"/>
      <c r="O171" s="422"/>
    </row>
    <row r="172" spans="10:18" ht="31.5" customHeight="1" x14ac:dyDescent="0.45">
      <c r="L172" s="405"/>
      <c r="M172" s="421"/>
      <c r="O172" s="423"/>
    </row>
    <row r="173" spans="10:18" ht="31.5" customHeight="1" x14ac:dyDescent="0.45">
      <c r="L173" s="405"/>
      <c r="M173" s="421"/>
      <c r="O173" s="423"/>
    </row>
    <row r="174" spans="10:18" ht="31.5" customHeight="1" x14ac:dyDescent="0.45">
      <c r="L174" s="405"/>
      <c r="M174" s="345"/>
    </row>
    <row r="175" spans="10:18" ht="31.5" customHeight="1" x14ac:dyDescent="0.45">
      <c r="L175" s="405"/>
    </row>
    <row r="176" spans="10:18" ht="31.5" customHeight="1" x14ac:dyDescent="0.45">
      <c r="M176" s="424"/>
      <c r="N176" s="425"/>
      <c r="O176" s="424"/>
      <c r="P176" s="425"/>
    </row>
    <row r="177" spans="4:4" ht="31.5" customHeight="1" x14ac:dyDescent="0.45"/>
    <row r="178" spans="4:4" ht="31.5" customHeight="1" x14ac:dyDescent="0.45"/>
    <row r="179" spans="4:4" ht="31.5" customHeight="1" x14ac:dyDescent="0.45"/>
    <row r="180" spans="4:4" ht="31.5" customHeight="1" x14ac:dyDescent="0.45">
      <c r="D180" s="417" t="str">
        <f>IF(MAX(Criteria!I38:I42)&gt;1,"AUDITOR'S COMPILATION REPORT TO THE DIRECTORS OF","AUDITOR'S COMPILATION REPORT TO THE DIRECTOR OF")</f>
        <v>AUDITOR'S COMPILATION REPORT TO THE DIRECTOR OF</v>
      </c>
    </row>
    <row r="181" spans="4:4" ht="31.5" customHeight="1" x14ac:dyDescent="0.45">
      <c r="D181" s="417" t="str">
        <f>Criteria!E9</f>
        <v>HOLDING COMPANY 268 (PROPRIETARY) LIMITED</v>
      </c>
    </row>
    <row r="182" spans="4:4" ht="31.5" customHeight="1" x14ac:dyDescent="0.45">
      <c r="D182" s="417" t="s">
        <v>860</v>
      </c>
    </row>
    <row r="183" spans="4:4" ht="31.5" customHeight="1" x14ac:dyDescent="0.45"/>
    <row r="184" spans="4:4" ht="31.5" customHeight="1" x14ac:dyDescent="0.45">
      <c r="D184" s="400" t="s">
        <v>883</v>
      </c>
    </row>
    <row r="185" spans="4:4" ht="31.5" customHeight="1" x14ac:dyDescent="0.45">
      <c r="D185" s="400" t="str">
        <f>CONCATENATE(Criteria!E11,", as set out on pages ",Q348," to ",MAX(Q348:Q2118),", based on")</f>
        <v>Holding Company 268 (Pty) Ltd Group, as set out on pages 5 to 54, based on</v>
      </c>
    </row>
    <row r="186" spans="4:4" ht="31.5" customHeight="1" x14ac:dyDescent="0.45">
      <c r="D186" s="400" t="s">
        <v>1188</v>
      </c>
    </row>
    <row r="187" spans="4:4" ht="31.5" customHeight="1" x14ac:dyDescent="0.45">
      <c r="D187" s="400" t="str">
        <f>CONCATENATE("of financial position of ",Criteria!E11," as at ",Criteria!G24,",")</f>
        <v>of financial position of Holding Company 268 (Pty) Ltd Group as at 29 February 2024,</v>
      </c>
    </row>
    <row r="188" spans="4:4" ht="31.5" customHeight="1" x14ac:dyDescent="0.45">
      <c r="D188" s="400" t="s">
        <v>1185</v>
      </c>
    </row>
    <row r="189" spans="4:4" ht="31.5" customHeight="1" x14ac:dyDescent="0.45">
      <c r="D189" s="400" t="s">
        <v>1189</v>
      </c>
    </row>
    <row r="190" spans="4:4" ht="31.5" customHeight="1" x14ac:dyDescent="0.45">
      <c r="D190" s="400" t="s">
        <v>1186</v>
      </c>
    </row>
    <row r="191" spans="4:4" ht="31.5" customHeight="1" x14ac:dyDescent="0.45"/>
    <row r="192" spans="4:4" ht="31.5" customHeight="1" x14ac:dyDescent="0.45">
      <c r="D192" s="400" t="s">
        <v>891</v>
      </c>
    </row>
    <row r="193" spans="4:4" ht="31.5" customHeight="1" x14ac:dyDescent="0.45">
      <c r="D193" s="400" t="s">
        <v>890</v>
      </c>
    </row>
    <row r="194" spans="4:4" ht="31.5" customHeight="1" x14ac:dyDescent="0.45"/>
    <row r="195" spans="4:4" ht="31.5" customHeight="1" x14ac:dyDescent="0.45">
      <c r="D195" s="400" t="s">
        <v>892</v>
      </c>
    </row>
    <row r="196" spans="4:4" ht="31.5" customHeight="1" x14ac:dyDescent="0.45">
      <c r="D196" s="400" t="s">
        <v>1146</v>
      </c>
    </row>
    <row r="197" spans="4:4" ht="31.5" customHeight="1" x14ac:dyDescent="0.45">
      <c r="D197" s="400" t="s">
        <v>1148</v>
      </c>
    </row>
    <row r="198" spans="4:4" ht="31.5" customHeight="1" x14ac:dyDescent="0.45">
      <c r="D198" s="400" t="s">
        <v>1147</v>
      </c>
    </row>
    <row r="199" spans="4:4" ht="31.5" customHeight="1" x14ac:dyDescent="0.45"/>
    <row r="200" spans="4:4" ht="31.5" customHeight="1" x14ac:dyDescent="0.45">
      <c r="D200" s="400" t="s">
        <v>1150</v>
      </c>
    </row>
    <row r="201" spans="4:4" ht="31.5" customHeight="1" x14ac:dyDescent="0.45">
      <c r="D201" s="400" t="s">
        <v>1149</v>
      </c>
    </row>
    <row r="202" spans="4:4" ht="31.5" customHeight="1" x14ac:dyDescent="0.45"/>
    <row r="203" spans="4:4" ht="31.5" customHeight="1" x14ac:dyDescent="0.45">
      <c r="D203" s="400" t="s">
        <v>893</v>
      </c>
    </row>
    <row r="204" spans="4:4" ht="31.5" customHeight="1" x14ac:dyDescent="0.45">
      <c r="D204" s="400" t="s">
        <v>1154</v>
      </c>
    </row>
    <row r="205" spans="4:4" ht="31.5" customHeight="1" x14ac:dyDescent="0.45">
      <c r="D205" s="400" t="s">
        <v>1152</v>
      </c>
    </row>
    <row r="206" spans="4:4" ht="31.5" customHeight="1" x14ac:dyDescent="0.45">
      <c r="D206" s="400" t="s">
        <v>1153</v>
      </c>
    </row>
    <row r="207" spans="4:4" ht="31.5" customHeight="1" x14ac:dyDescent="0.45">
      <c r="D207" s="400" t="s">
        <v>1155</v>
      </c>
    </row>
    <row r="208" spans="4:4" ht="31.5" customHeight="1" x14ac:dyDescent="0.45"/>
    <row r="209" spans="4:16" ht="31.5" customHeight="1" x14ac:dyDescent="0.45"/>
    <row r="210" spans="4:16" ht="31.5" customHeight="1" x14ac:dyDescent="0.45"/>
    <row r="211" spans="4:16" ht="31.5" customHeight="1" x14ac:dyDescent="0.45">
      <c r="D211" s="400" t="s">
        <v>127</v>
      </c>
    </row>
    <row r="212" spans="4:16" ht="31.5" customHeight="1" x14ac:dyDescent="0.45">
      <c r="D212" s="509" t="s">
        <v>884</v>
      </c>
      <c r="E212" s="509"/>
      <c r="F212" s="509"/>
      <c r="G212" s="509"/>
      <c r="H212" s="509"/>
    </row>
    <row r="213" spans="4:16" ht="31.5" customHeight="1" x14ac:dyDescent="0.45"/>
    <row r="214" spans="4:16" ht="31.5" customHeight="1" x14ac:dyDescent="0.45"/>
    <row r="215" spans="4:16" ht="31.5" customHeight="1" x14ac:dyDescent="0.45"/>
    <row r="216" spans="4:16" ht="31.5" customHeight="1" x14ac:dyDescent="0.45">
      <c r="D216" s="400" t="s">
        <v>101</v>
      </c>
      <c r="E216" s="509"/>
      <c r="F216" s="509"/>
      <c r="G216" s="509"/>
      <c r="H216" s="509"/>
    </row>
    <row r="217" spans="4:16" ht="14.25" customHeight="1" x14ac:dyDescent="0.45">
      <c r="E217" s="400" t="s">
        <v>128</v>
      </c>
    </row>
    <row r="218" spans="4:16" ht="31.5" customHeight="1" x14ac:dyDescent="0.45">
      <c r="D218" s="400" t="str">
        <f>Criteria!F29</f>
        <v>Johannesburg</v>
      </c>
    </row>
    <row r="219" spans="4:16" ht="31.5" customHeight="1" x14ac:dyDescent="0.45">
      <c r="D219" s="405"/>
    </row>
    <row r="220" spans="4:16" ht="31.5" customHeight="1" x14ac:dyDescent="0.45"/>
    <row r="221" spans="4:16" ht="31.5" customHeight="1" x14ac:dyDescent="0.45"/>
    <row r="222" spans="4:16" ht="31.5" customHeight="1" x14ac:dyDescent="0.45"/>
    <row r="223" spans="4:16" ht="31.5" customHeight="1" x14ac:dyDescent="0.45">
      <c r="M223" s="422"/>
      <c r="N223" s="400"/>
      <c r="O223" s="422"/>
      <c r="P223" s="400"/>
    </row>
    <row r="224" spans="4:16" ht="31.5" customHeight="1" x14ac:dyDescent="0.45">
      <c r="M224" s="422"/>
      <c r="N224" s="400"/>
      <c r="O224" s="422"/>
      <c r="P224" s="400"/>
    </row>
    <row r="225" spans="2:18" ht="31.5" customHeight="1" x14ac:dyDescent="0.45"/>
    <row r="226" spans="2:18" ht="31.5" customHeight="1" x14ac:dyDescent="0.45">
      <c r="D226" s="417" t="str">
        <f>Criteria!E9</f>
        <v>HOLDING COMPANY 268 (PROPRIETARY) LIMITED</v>
      </c>
      <c r="O226" s="346" t="s">
        <v>96</v>
      </c>
      <c r="P226" s="295"/>
      <c r="Q226" s="292">
        <f>MAX($Q$114:Q225)+1</f>
        <v>3</v>
      </c>
    </row>
    <row r="227" spans="2:18" ht="31.5" customHeight="1" x14ac:dyDescent="0.45">
      <c r="D227" s="417" t="str">
        <f>Criteria!E10</f>
        <v>CONSOLIDATED FINANCIAL STATEMENTS</v>
      </c>
      <c r="R227" s="403" t="str">
        <f>IF(D227=0,"DELETE"," ")</f>
        <v xml:space="preserve"> </v>
      </c>
    </row>
    <row r="228" spans="2:18" ht="31.5" customHeight="1" x14ac:dyDescent="0.45"/>
    <row r="229" spans="2:18" ht="31.5" customHeight="1" x14ac:dyDescent="0.45">
      <c r="D229" s="417" t="str">
        <f>IF(SUM(Criteria!I38:I42)&gt;1,"DIRECTORS' REPORT FOR THE YEAR ENDED","DIRECTOR'S REPORT FOR THE YEAR ENDED")</f>
        <v>DIRECTOR'S REPORT FOR THE YEAR ENDED</v>
      </c>
      <c r="M229" s="427"/>
      <c r="N229" s="428"/>
    </row>
    <row r="230" spans="2:18" ht="31.5" customHeight="1" x14ac:dyDescent="0.45">
      <c r="D230" s="417" t="str">
        <f>Criteria!E20</f>
        <v>29 FEBRUARY 2024</v>
      </c>
      <c r="M230" s="427"/>
      <c r="N230" s="428"/>
    </row>
    <row r="231" spans="2:18" ht="31.5" customHeight="1" x14ac:dyDescent="0.45">
      <c r="D231" s="429"/>
      <c r="E231" s="429"/>
      <c r="F231" s="429"/>
      <c r="G231" s="429"/>
      <c r="H231" s="429"/>
      <c r="I231" s="429"/>
      <c r="J231" s="429"/>
      <c r="K231" s="429"/>
      <c r="L231" s="429"/>
      <c r="M231" s="430"/>
      <c r="N231" s="431"/>
      <c r="O231" s="432"/>
      <c r="P231" s="433"/>
      <c r="Q231" s="429"/>
    </row>
    <row r="232" spans="2:18" ht="31.5" customHeight="1" x14ac:dyDescent="0.45"/>
    <row r="233" spans="2:18" ht="31.5" customHeight="1" x14ac:dyDescent="0.45">
      <c r="B233" s="405"/>
      <c r="C233" s="292">
        <v>1</v>
      </c>
      <c r="D233" s="400" t="str">
        <f>IF(MAX(Criteria!I38:I42)&gt;1,"The directors have pleasure in presenting the annual Consolidated Financial Statements and their","The director has pleasure in presenting the annual Consolidated Financial Statements and the")</f>
        <v>The director has pleasure in presenting the annual Consolidated Financial Statements and the</v>
      </c>
    </row>
    <row r="234" spans="2:18" ht="31.5" customHeight="1" x14ac:dyDescent="0.45">
      <c r="B234" s="405"/>
      <c r="C234" s="292"/>
      <c r="D234" s="400" t="str">
        <f>IF(MAX(Criteria!I39:I43)&gt;1,"annual report which forms part of the Consolidated Financial Statements of the group for the","Director's report which forms part of the Consolidated Financial Statements of the group for the")</f>
        <v>Director's report which forms part of the Consolidated Financial Statements of the group for the</v>
      </c>
    </row>
    <row r="235" spans="2:18" ht="31.5" customHeight="1" x14ac:dyDescent="0.45">
      <c r="B235" s="405"/>
      <c r="C235" s="292"/>
      <c r="D235" s="400" t="str">
        <f>CONCATENATE("year ended ",Criteria!G24,".")</f>
        <v>year ended 29 February 2024.</v>
      </c>
    </row>
    <row r="236" spans="2:18" ht="31.5" customHeight="1" x14ac:dyDescent="0.45">
      <c r="B236" s="405"/>
      <c r="C236" s="292"/>
    </row>
    <row r="237" spans="2:18" ht="31.5" customHeight="1" x14ac:dyDescent="0.45">
      <c r="B237" s="405"/>
      <c r="C237" s="292">
        <f>MAX(C$233:C236)+1</f>
        <v>2</v>
      </c>
      <c r="D237" s="417" t="s">
        <v>485</v>
      </c>
    </row>
    <row r="238" spans="2:18" ht="31.5" customHeight="1" x14ac:dyDescent="0.45">
      <c r="B238" s="405"/>
      <c r="C238" s="292"/>
      <c r="D238" s="400" t="str">
        <f>Criteria!C80</f>
        <v>The group's main objective is the investment in financial instruments.</v>
      </c>
    </row>
    <row r="239" spans="2:18" ht="31.5" customHeight="1" x14ac:dyDescent="0.45">
      <c r="B239" s="405"/>
      <c r="C239" s="292"/>
      <c r="D239" s="400" t="str">
        <f>CONCATENATE(Criteria!E11," is registered, incorporated and operates in the")</f>
        <v>Holding Company 268 (Pty) Ltd Group is registered, incorporated and operates in the</v>
      </c>
    </row>
    <row r="240" spans="2:18" ht="31.5" customHeight="1" x14ac:dyDescent="0.45">
      <c r="B240" s="405"/>
      <c r="C240" s="292"/>
      <c r="D240" s="400" t="str">
        <f>CONCATENATE("Republic of South Africa and the Company's registration number is ",Criteria!E18,".")</f>
        <v>Republic of South Africa and the Company's registration number is 2000/123456/07.</v>
      </c>
    </row>
    <row r="241" spans="2:18" ht="31.5" customHeight="1" x14ac:dyDescent="0.45">
      <c r="B241" s="405"/>
      <c r="C241" s="292"/>
      <c r="D241" s="400" t="str">
        <f>IF(Criteria!F86="No","There were no changes in the nature of the group's business during the period under review.","The group sold all it's assets in the current financial year and will be deregistered the")</f>
        <v>There were no changes in the nature of the group's business during the period under review.</v>
      </c>
      <c r="R241" s="403" t="str">
        <f>IF(D241=" ","DELETE"," ")</f>
        <v xml:space="preserve"> </v>
      </c>
    </row>
    <row r="242" spans="2:18" ht="31.5" customHeight="1" x14ac:dyDescent="0.45">
      <c r="B242" s="405"/>
      <c r="C242" s="292"/>
      <c r="D242" s="400" t="str">
        <f>IF(Criteria!F86="No"," ","following year.")</f>
        <v xml:space="preserve"> </v>
      </c>
      <c r="R242" s="403" t="str">
        <f>IF(D242=" ","DELETE"," ")</f>
        <v>DELETE</v>
      </c>
    </row>
    <row r="243" spans="2:18" ht="31.5" customHeight="1" x14ac:dyDescent="0.45">
      <c r="B243" s="405"/>
      <c r="C243" s="292"/>
    </row>
    <row r="244" spans="2:18" ht="31.5" customHeight="1" x14ac:dyDescent="0.45">
      <c r="B244" s="405"/>
      <c r="C244" s="292">
        <f>MAX(C$233:C243)+1</f>
        <v>3</v>
      </c>
      <c r="D244" s="417" t="s">
        <v>486</v>
      </c>
    </row>
    <row r="245" spans="2:18" ht="31.5" customHeight="1" x14ac:dyDescent="0.45">
      <c r="B245" s="405"/>
      <c r="C245" s="292"/>
      <c r="D245" s="400" t="str">
        <f>IF(Criteria!F84="No"," ","The accounting policies have been applied consistently compared to the prior year.")</f>
        <v>The accounting policies have been applied consistently compared to the prior year.</v>
      </c>
      <c r="R245" s="403" t="str">
        <f>IF(D245=" ","DELETE"," ")</f>
        <v xml:space="preserve"> </v>
      </c>
    </row>
    <row r="246" spans="2:18" ht="31.5" customHeight="1" x14ac:dyDescent="0.45">
      <c r="B246" s="405"/>
      <c r="C246" s="292"/>
      <c r="D246" s="400" t="str">
        <f>CONCATENATE("The ",IF(MAX(Criteria!I38:I42)&gt;1,"directors present","director presents")," the following extracts from the Consolidated Financial Statements for the")</f>
        <v>The director presents the following extracts from the Consolidated Financial Statements for the</v>
      </c>
    </row>
    <row r="247" spans="2:18" ht="31.5" customHeight="1" x14ac:dyDescent="0.45">
      <c r="B247" s="405"/>
      <c r="C247" s="292"/>
      <c r="D247" s="400" t="s">
        <v>1157</v>
      </c>
    </row>
    <row r="248" spans="2:18" ht="31.5" customHeight="1" x14ac:dyDescent="0.45">
      <c r="B248" s="405"/>
      <c r="C248" s="292"/>
    </row>
    <row r="249" spans="2:18" ht="31.5" customHeight="1" x14ac:dyDescent="0.45">
      <c r="B249" s="405"/>
      <c r="C249" s="292"/>
      <c r="E249" s="400" t="s">
        <v>1110</v>
      </c>
      <c r="O249" s="426">
        <f>SUM(TrialBalance!L229:L281)</f>
        <v>0</v>
      </c>
    </row>
    <row r="250" spans="2:18" ht="9" customHeight="1" thickBot="1" x14ac:dyDescent="0.5">
      <c r="B250" s="405"/>
      <c r="C250" s="292"/>
      <c r="O250" s="435"/>
    </row>
    <row r="251" spans="2:18" ht="9" customHeight="1" thickTop="1" x14ac:dyDescent="0.45">
      <c r="B251" s="405"/>
      <c r="C251" s="292"/>
      <c r="O251" s="436"/>
    </row>
    <row r="252" spans="2:18" ht="31.5" customHeight="1" x14ac:dyDescent="0.45">
      <c r="B252" s="405"/>
      <c r="C252" s="292"/>
      <c r="E252" s="400" t="s">
        <v>1111</v>
      </c>
      <c r="O252" s="426">
        <f>SUM(TrialBalance!L229:L233)+SUM(TrialBalance!L240:L244)+SUM(TrialBalance!L251:L253)+SUM(TrialBalance!L259:L261)+SUM(TrialBalance!L267:L269)+SUM(TrialBalance!L275:L277)</f>
        <v>0</v>
      </c>
    </row>
    <row r="253" spans="2:18" ht="9" customHeight="1" thickBot="1" x14ac:dyDescent="0.5">
      <c r="B253" s="405"/>
      <c r="C253" s="292"/>
      <c r="O253" s="435"/>
    </row>
    <row r="254" spans="2:18" ht="9" customHeight="1" thickTop="1" x14ac:dyDescent="0.45">
      <c r="B254" s="405"/>
      <c r="C254" s="292"/>
      <c r="O254" s="436"/>
    </row>
    <row r="255" spans="2:18" ht="31.5" customHeight="1" x14ac:dyDescent="0.45">
      <c r="B255" s="405"/>
      <c r="C255" s="292"/>
      <c r="E255" s="400" t="s">
        <v>714</v>
      </c>
      <c r="O255" s="426">
        <f>O447</f>
        <v>0</v>
      </c>
    </row>
    <row r="256" spans="2:18" ht="9" customHeight="1" thickBot="1" x14ac:dyDescent="0.5">
      <c r="B256" s="405"/>
      <c r="C256" s="292"/>
      <c r="O256" s="435"/>
    </row>
    <row r="257" spans="2:21" ht="9" customHeight="1" thickTop="1" x14ac:dyDescent="0.45">
      <c r="B257" s="405"/>
      <c r="C257" s="292"/>
      <c r="O257" s="436"/>
    </row>
    <row r="258" spans="2:21" ht="31.5" customHeight="1" x14ac:dyDescent="0.45">
      <c r="B258" s="405"/>
      <c r="C258" s="292"/>
      <c r="O258" s="426"/>
    </row>
    <row r="259" spans="2:21" ht="31.5" customHeight="1" x14ac:dyDescent="0.45">
      <c r="B259" s="405"/>
      <c r="C259" s="292"/>
      <c r="E259" s="400" t="s">
        <v>905</v>
      </c>
      <c r="O259" s="426">
        <f>SUM(O357:O358)</f>
        <v>0</v>
      </c>
    </row>
    <row r="260" spans="2:21" ht="9" customHeight="1" thickBot="1" x14ac:dyDescent="0.5">
      <c r="B260" s="405"/>
      <c r="C260" s="292"/>
      <c r="O260" s="435"/>
    </row>
    <row r="261" spans="2:21" ht="9" customHeight="1" thickTop="1" x14ac:dyDescent="0.45">
      <c r="B261" s="405"/>
      <c r="C261" s="292"/>
      <c r="O261" s="426"/>
    </row>
    <row r="262" spans="2:21" ht="31.5" customHeight="1" x14ac:dyDescent="0.45">
      <c r="B262" s="405"/>
      <c r="C262" s="292"/>
      <c r="O262" s="426"/>
    </row>
    <row r="263" spans="2:21" ht="31.5" customHeight="1" x14ac:dyDescent="0.45">
      <c r="B263" s="405"/>
      <c r="C263" s="292"/>
      <c r="E263" s="400" t="str">
        <f>IF(O263&lt;0,"Net loss before taxation","Net profit before taxation")</f>
        <v>Net profit before taxation</v>
      </c>
      <c r="O263" s="426">
        <f>O380</f>
        <v>0</v>
      </c>
    </row>
    <row r="264" spans="2:21" ht="31.5" customHeight="1" x14ac:dyDescent="0.45">
      <c r="B264" s="405"/>
      <c r="C264" s="292"/>
      <c r="E264" s="400" t="s">
        <v>811</v>
      </c>
      <c r="O264" s="426">
        <f>O382</f>
        <v>0</v>
      </c>
    </row>
    <row r="265" spans="2:21" ht="9" customHeight="1" x14ac:dyDescent="0.45">
      <c r="B265" s="405"/>
      <c r="C265" s="292"/>
      <c r="O265" s="437"/>
    </row>
    <row r="266" spans="2:21" ht="9" customHeight="1" x14ac:dyDescent="0.45">
      <c r="B266" s="405"/>
      <c r="C266" s="292"/>
      <c r="O266" s="436"/>
    </row>
    <row r="267" spans="2:21" ht="31.5" customHeight="1" x14ac:dyDescent="0.45">
      <c r="B267" s="405"/>
      <c r="C267" s="292"/>
      <c r="E267" s="400" t="str">
        <f>IF(O267&lt;0,"Net loss after taxation","Net profit after taxation")</f>
        <v>Net profit after taxation</v>
      </c>
      <c r="O267" s="426">
        <f>SUM(O263:O266)</f>
        <v>0</v>
      </c>
      <c r="U267" s="378" t="b">
        <f>O267=O385</f>
        <v>1</v>
      </c>
    </row>
    <row r="268" spans="2:21" ht="31.5" customHeight="1" x14ac:dyDescent="0.45">
      <c r="B268" s="405"/>
      <c r="C268" s="292"/>
      <c r="E268" s="400" t="s">
        <v>690</v>
      </c>
      <c r="O268" s="426">
        <f>-SUM(TrialBalance!L163:L164)</f>
        <v>0</v>
      </c>
    </row>
    <row r="269" spans="2:21" ht="9" customHeight="1" x14ac:dyDescent="0.45">
      <c r="B269" s="405"/>
      <c r="C269" s="292"/>
      <c r="O269" s="437"/>
    </row>
    <row r="270" spans="2:21" ht="9" customHeight="1" x14ac:dyDescent="0.45">
      <c r="B270" s="405"/>
      <c r="C270" s="292"/>
      <c r="O270" s="426"/>
    </row>
    <row r="271" spans="2:21" ht="31.5" customHeight="1" x14ac:dyDescent="0.45">
      <c r="B271" s="405"/>
      <c r="C271" s="292"/>
      <c r="E271" s="400" t="str">
        <f>IF(O271&lt;0,"Net loss for the year","Net profit for the year")</f>
        <v>Net profit for the year</v>
      </c>
      <c r="O271" s="426">
        <f>SUM(O267:O270)</f>
        <v>0</v>
      </c>
    </row>
    <row r="272" spans="2:21" ht="9" customHeight="1" thickBot="1" x14ac:dyDescent="0.5">
      <c r="B272" s="405"/>
      <c r="C272" s="292"/>
      <c r="O272" s="435"/>
    </row>
    <row r="273" spans="2:18" ht="9" customHeight="1" thickTop="1" x14ac:dyDescent="0.45">
      <c r="B273" s="405"/>
      <c r="C273" s="292"/>
    </row>
    <row r="274" spans="2:18" ht="31.5" customHeight="1" x14ac:dyDescent="0.45">
      <c r="B274" s="405"/>
      <c r="C274" s="292"/>
    </row>
    <row r="275" spans="2:18" ht="31.5" customHeight="1" x14ac:dyDescent="0.45">
      <c r="B275" s="405"/>
      <c r="C275" s="292"/>
      <c r="D275" s="400" t="str">
        <f>IF(Criteria!F82="No","The company did not have any operations in the current financial year."," ")</f>
        <v xml:space="preserve"> </v>
      </c>
      <c r="R275" s="403" t="str">
        <f>IF(D275=" ","DELETE"," ")</f>
        <v>DELETE</v>
      </c>
    </row>
    <row r="276" spans="2:18" ht="31.5" customHeight="1" x14ac:dyDescent="0.45">
      <c r="B276" s="405"/>
      <c r="C276" s="292"/>
      <c r="D276" s="400" t="s">
        <v>1159</v>
      </c>
    </row>
    <row r="277" spans="2:18" ht="31.5" customHeight="1" x14ac:dyDescent="0.45">
      <c r="B277" s="405"/>
      <c r="C277" s="292"/>
      <c r="D277" s="400" t="str">
        <f>CONCATENATE("and the ",IF(MAX(Criteria!I38:I42)&gt;1,"directors are","director is")," of the opinion that no further comment thereon is necessary.")</f>
        <v>and the director is of the opinion that no further comment thereon is necessary.</v>
      </c>
    </row>
    <row r="278" spans="2:18" ht="31.5" customHeight="1" x14ac:dyDescent="0.45">
      <c r="B278" s="405"/>
      <c r="C278" s="292"/>
    </row>
    <row r="279" spans="2:18" ht="31.5" customHeight="1" x14ac:dyDescent="0.45">
      <c r="B279" s="405"/>
      <c r="C279" s="292">
        <f>MAX(C$233:C278)+1</f>
        <v>4</v>
      </c>
      <c r="D279" s="417" t="s">
        <v>492</v>
      </c>
    </row>
    <row r="280" spans="2:18" ht="31.5" customHeight="1" x14ac:dyDescent="0.45">
      <c r="B280" s="405"/>
      <c r="C280" s="292"/>
      <c r="D280" s="400" t="str">
        <f>IF(Criteria!F88="Yes",Criteria!G88,"No dividends have been declared nor are any recommended.")</f>
        <v>No dividends have been declared nor are any recommended.</v>
      </c>
    </row>
    <row r="281" spans="2:18" ht="31.5" customHeight="1" x14ac:dyDescent="0.45">
      <c r="B281" s="405"/>
      <c r="C281" s="292"/>
    </row>
    <row r="282" spans="2:18" ht="31.5" customHeight="1" x14ac:dyDescent="0.45">
      <c r="B282" s="405"/>
      <c r="C282" s="292">
        <f>MAX(C$233:C281)+1</f>
        <v>5</v>
      </c>
      <c r="D282" s="417" t="s">
        <v>493</v>
      </c>
    </row>
    <row r="283" spans="2:18" ht="31.5" customHeight="1" x14ac:dyDescent="0.45">
      <c r="B283" s="405"/>
      <c r="C283" s="292"/>
      <c r="D283" s="400" t="str">
        <f>CONCATENATE("The authorised and issued share capital are presented at Note ",B1688," of the Notes to the Consolidated")</f>
        <v>The authorised and issued share capital are presented at Note 19 of the Notes to the Consolidated</v>
      </c>
    </row>
    <row r="284" spans="2:18" ht="31.5" customHeight="1" x14ac:dyDescent="0.45">
      <c r="B284" s="405"/>
      <c r="C284" s="292"/>
      <c r="D284" s="400" t="s">
        <v>1160</v>
      </c>
    </row>
    <row r="285" spans="2:18" ht="31.5" customHeight="1" x14ac:dyDescent="0.45">
      <c r="B285" s="405"/>
      <c r="C285" s="292"/>
      <c r="D285" s="400" t="str">
        <f>IF(Criteria!F90="No","The authorised and issued share capital remained unchanged during the financial year under",Criteria!G91)</f>
        <v>The authorised and issued share capital remained unchanged during the financial year under</v>
      </c>
    </row>
    <row r="286" spans="2:18" ht="31.5" customHeight="1" x14ac:dyDescent="0.45">
      <c r="B286" s="405"/>
      <c r="C286" s="292"/>
      <c r="D286" s="400" t="str">
        <f>IF(Criteria!F90="Yes",Criteria!G92,"review. ")</f>
        <v xml:space="preserve">review. </v>
      </c>
      <c r="R286" s="403" t="str">
        <f>IF(D286=0,"DELETE"," ")</f>
        <v xml:space="preserve"> </v>
      </c>
    </row>
    <row r="287" spans="2:18" ht="31.5" customHeight="1" x14ac:dyDescent="0.45">
      <c r="B287" s="405"/>
      <c r="C287" s="292"/>
    </row>
    <row r="288" spans="2:18" ht="31.5" customHeight="1" x14ac:dyDescent="0.45">
      <c r="B288" s="405"/>
      <c r="C288" s="292">
        <f>MAX(C$233:C287)+1</f>
        <v>6</v>
      </c>
      <c r="D288" s="417" t="s">
        <v>103</v>
      </c>
    </row>
    <row r="289" spans="2:18" ht="31.5" customHeight="1" x14ac:dyDescent="0.45">
      <c r="B289" s="405"/>
      <c r="D289" s="400" t="str">
        <f>IF(Criteria!F94="Yes",Criteria!G95,"No fundamental change in the nature or use of fixed assets took place during the financial year.")</f>
        <v>No fundamental change in the nature or use of fixed assets took place during the financial year.</v>
      </c>
    </row>
    <row r="290" spans="2:18" ht="31.5" customHeight="1" x14ac:dyDescent="0.45">
      <c r="B290" s="405"/>
    </row>
    <row r="291" spans="2:18" ht="31.5" customHeight="1" x14ac:dyDescent="0.45">
      <c r="B291" s="405"/>
      <c r="C291" s="292"/>
    </row>
    <row r="292" spans="2:18" ht="31.5" customHeight="1" x14ac:dyDescent="0.45">
      <c r="D292" s="417" t="str">
        <f>Criteria!E9</f>
        <v>HOLDING COMPANY 268 (PROPRIETARY) LIMITED</v>
      </c>
      <c r="O292" s="346" t="s">
        <v>96</v>
      </c>
      <c r="P292" s="295"/>
      <c r="Q292" s="292">
        <f>MAX($Q$114:Q291)+1</f>
        <v>4</v>
      </c>
    </row>
    <row r="293" spans="2:18" ht="31.5" customHeight="1" x14ac:dyDescent="0.45">
      <c r="D293" s="417" t="str">
        <f>Criteria!E10</f>
        <v>CONSOLIDATED FINANCIAL STATEMENTS</v>
      </c>
      <c r="R293" s="403" t="str">
        <f>IF(D293=0,"DELETE"," ")</f>
        <v xml:space="preserve"> </v>
      </c>
    </row>
    <row r="294" spans="2:18" ht="31.5" customHeight="1" x14ac:dyDescent="0.45"/>
    <row r="295" spans="2:18" ht="31.5" customHeight="1" x14ac:dyDescent="0.45">
      <c r="D295" s="417" t="str">
        <f>D229</f>
        <v>DIRECTOR'S REPORT FOR THE YEAR ENDED</v>
      </c>
      <c r="M295" s="427"/>
      <c r="N295" s="428"/>
    </row>
    <row r="296" spans="2:18" ht="31.5" customHeight="1" x14ac:dyDescent="0.45">
      <c r="D296" s="417" t="str">
        <f>Criteria!E20</f>
        <v>29 FEBRUARY 2024</v>
      </c>
      <c r="J296" s="400" t="s">
        <v>247</v>
      </c>
      <c r="M296" s="427"/>
      <c r="N296" s="428"/>
    </row>
    <row r="297" spans="2:18" ht="31.5" customHeight="1" x14ac:dyDescent="0.45">
      <c r="D297" s="429"/>
      <c r="E297" s="429"/>
      <c r="F297" s="429"/>
      <c r="G297" s="429"/>
      <c r="H297" s="429"/>
      <c r="I297" s="429"/>
      <c r="J297" s="429"/>
      <c r="K297" s="429"/>
      <c r="L297" s="429"/>
      <c r="M297" s="430"/>
      <c r="N297" s="431"/>
      <c r="O297" s="432"/>
      <c r="P297" s="433"/>
      <c r="Q297" s="429"/>
    </row>
    <row r="298" spans="2:18" ht="31.5" customHeight="1" x14ac:dyDescent="0.45">
      <c r="B298" s="405"/>
      <c r="C298" s="405"/>
      <c r="D298" s="405"/>
      <c r="E298" s="405"/>
      <c r="F298" s="405"/>
      <c r="G298" s="405"/>
      <c r="H298" s="405"/>
      <c r="I298" s="405"/>
      <c r="J298" s="405"/>
      <c r="K298" s="405"/>
      <c r="L298" s="405"/>
      <c r="M298" s="421"/>
      <c r="N298" s="405"/>
      <c r="O298" s="421"/>
      <c r="P298" s="405"/>
      <c r="Q298" s="405"/>
      <c r="R298" s="404"/>
    </row>
    <row r="299" spans="2:18" ht="31.5" customHeight="1" x14ac:dyDescent="0.45">
      <c r="B299" s="405"/>
      <c r="C299" s="292">
        <f>MAX(C$233:C298)+1</f>
        <v>7</v>
      </c>
      <c r="D299" s="417" t="str">
        <f>IF(MAX(Criteria!I38:I42)&gt;1,"DIRECTORS","DIRECTOR")</f>
        <v>DIRECTOR</v>
      </c>
    </row>
    <row r="300" spans="2:18" ht="31.5" customHeight="1" x14ac:dyDescent="0.45">
      <c r="B300" s="405"/>
      <c r="C300" s="292"/>
      <c r="D300" s="400" t="str">
        <f>IF(MAX(Criteria!I38:I42)&gt;1,"The directors in office at the date of the financial year end are as follows:","The director in office at the date of the financial year end is as follows:")</f>
        <v>The director in office at the date of the financial year end is as follows:</v>
      </c>
    </row>
    <row r="301" spans="2:18" ht="31.5" customHeight="1" x14ac:dyDescent="0.45">
      <c r="B301" s="405"/>
      <c r="C301" s="292"/>
      <c r="D301" s="417"/>
      <c r="M301" s="401" t="s">
        <v>711</v>
      </c>
    </row>
    <row r="302" spans="2:18" ht="31.5" customHeight="1" x14ac:dyDescent="0.45">
      <c r="C302" s="292"/>
      <c r="D302" s="400" t="str">
        <f>Criteria!E38</f>
        <v>A Director</v>
      </c>
      <c r="M302" s="344" t="str">
        <f>Criteria!G38</f>
        <v>RSA</v>
      </c>
    </row>
    <row r="303" spans="2:18" ht="31.5" customHeight="1" x14ac:dyDescent="0.45">
      <c r="C303" s="292"/>
      <c r="D303" s="400">
        <f>Criteria!E39</f>
        <v>0</v>
      </c>
      <c r="M303" s="344">
        <f>Criteria!G39</f>
        <v>0</v>
      </c>
      <c r="R303" s="403" t="str">
        <f>IF(D303=0,"DELETE"," ")</f>
        <v>DELETE</v>
      </c>
    </row>
    <row r="304" spans="2:18" ht="31.5" customHeight="1" x14ac:dyDescent="0.45">
      <c r="C304" s="292"/>
      <c r="D304" s="400">
        <f>Criteria!E40</f>
        <v>0</v>
      </c>
      <c r="M304" s="344">
        <f>Criteria!G40</f>
        <v>0</v>
      </c>
      <c r="R304" s="403" t="str">
        <f t="shared" ref="R304:R306" si="3">IF(D304=0,"DELETE"," ")</f>
        <v>DELETE</v>
      </c>
    </row>
    <row r="305" spans="3:18" ht="31.5" customHeight="1" x14ac:dyDescent="0.45">
      <c r="C305" s="292"/>
      <c r="D305" s="400">
        <f>Criteria!E41</f>
        <v>0</v>
      </c>
      <c r="M305" s="344">
        <f>Criteria!G41</f>
        <v>0</v>
      </c>
      <c r="R305" s="403" t="str">
        <f t="shared" si="3"/>
        <v>DELETE</v>
      </c>
    </row>
    <row r="306" spans="3:18" ht="31.5" customHeight="1" x14ac:dyDescent="0.45">
      <c r="C306" s="292"/>
      <c r="D306" s="400">
        <f>Criteria!E42</f>
        <v>0</v>
      </c>
      <c r="M306" s="344">
        <f>Criteria!G42</f>
        <v>0</v>
      </c>
      <c r="R306" s="403" t="str">
        <f t="shared" si="3"/>
        <v>DELETE</v>
      </c>
    </row>
    <row r="307" spans="3:18" ht="31.5" customHeight="1" x14ac:dyDescent="0.45">
      <c r="C307" s="292"/>
    </row>
    <row r="308" spans="3:18" ht="31.5" customHeight="1" x14ac:dyDescent="0.45">
      <c r="C308" s="292"/>
      <c r="D308" s="400" t="str">
        <f>IF(Criteria!G47="Yes",Criteria!G48,"There have been no changes to the directorate during the period under review.")</f>
        <v>There have been no changes to the directorate during the period under review.</v>
      </c>
    </row>
    <row r="309" spans="3:18" ht="31.5" customHeight="1" x14ac:dyDescent="0.45"/>
    <row r="310" spans="3:18" ht="31.5" customHeight="1" x14ac:dyDescent="0.45">
      <c r="C310" s="292">
        <f>MAX(C$233:C309)+1</f>
        <v>8</v>
      </c>
      <c r="D310" s="417" t="s">
        <v>717</v>
      </c>
    </row>
    <row r="311" spans="3:18" ht="31.5" customHeight="1" x14ac:dyDescent="0.45">
      <c r="C311" s="292"/>
      <c r="D311" s="400" t="s">
        <v>1165</v>
      </c>
    </row>
    <row r="312" spans="3:18" ht="31.5" customHeight="1" x14ac:dyDescent="0.45">
      <c r="C312" s="292"/>
      <c r="D312" s="400" t="s">
        <v>1162</v>
      </c>
    </row>
    <row r="313" spans="3:18" ht="31.5" customHeight="1" x14ac:dyDescent="0.45">
      <c r="C313" s="292"/>
      <c r="D313" s="400" t="s">
        <v>1164</v>
      </c>
    </row>
    <row r="314" spans="3:18" ht="31.5" customHeight="1" x14ac:dyDescent="0.45">
      <c r="C314" s="292"/>
      <c r="D314" s="400" t="s">
        <v>1163</v>
      </c>
    </row>
    <row r="315" spans="3:18" ht="31.5" customHeight="1" x14ac:dyDescent="0.45"/>
    <row r="316" spans="3:18" ht="31.5" customHeight="1" x14ac:dyDescent="0.45">
      <c r="C316" s="292">
        <f>MAX(C$233:C315)+1</f>
        <v>9</v>
      </c>
      <c r="D316" s="417" t="s">
        <v>494</v>
      </c>
    </row>
    <row r="317" spans="3:18" ht="31.5" customHeight="1" x14ac:dyDescent="0.45">
      <c r="D317" s="400" t="str">
        <f>IF(Criteria!F97="No","No material fact or event that could have a major impact on the financial position of the group",Criteria!G99 )</f>
        <v>No material fact or event that could have a major impact on the financial position of the group</v>
      </c>
    </row>
    <row r="318" spans="3:18" ht="31.5" customHeight="1" x14ac:dyDescent="0.45">
      <c r="D318" s="400" t="str">
        <f>IF(Criteria!F97="No","or its results took place between the date of the Consolidated Financial Statements and the date",Criteria!G100)</f>
        <v>or its results took place between the date of the Consolidated Financial Statements and the date</v>
      </c>
    </row>
    <row r="319" spans="3:18" ht="31.5" customHeight="1" x14ac:dyDescent="0.45">
      <c r="D319" s="400" t="str">
        <f>IF(Criteria!F97="No","of approval thereof. ",Criteria!G101)</f>
        <v xml:space="preserve">of approval thereof. </v>
      </c>
      <c r="R319" s="403" t="str">
        <f>IF(D319=" ","DELETE"," ")</f>
        <v xml:space="preserve"> </v>
      </c>
    </row>
    <row r="320" spans="3:18" ht="31.5" customHeight="1" x14ac:dyDescent="0.45">
      <c r="R320" s="403" t="str">
        <f>R321</f>
        <v>DELETE</v>
      </c>
    </row>
    <row r="321" spans="3:18" ht="31.5" customHeight="1" x14ac:dyDescent="0.45">
      <c r="C321" s="292">
        <f>MAX(C$233:C320)+1</f>
        <v>10</v>
      </c>
      <c r="D321" s="417" t="s">
        <v>194</v>
      </c>
      <c r="R321" s="403" t="str">
        <f>R322</f>
        <v>DELETE</v>
      </c>
    </row>
    <row r="322" spans="3:18" ht="31.5" customHeight="1" x14ac:dyDescent="0.45">
      <c r="C322" s="417"/>
      <c r="D322" s="400" t="str">
        <f>IF(Criteria!F103="No","No provision is being made for deferred taxation as there are no temporary differences between"," ")</f>
        <v xml:space="preserve"> </v>
      </c>
      <c r="R322" s="403" t="str">
        <f>IF(D322=" ","DELETE"," ")</f>
        <v>DELETE</v>
      </c>
    </row>
    <row r="323" spans="3:18" ht="31.5" customHeight="1" x14ac:dyDescent="0.45">
      <c r="C323" s="417"/>
      <c r="D323" s="400" t="str">
        <f>IF(Criteria!F103="No","the tax bases of assets and liabilities and their carrying values for financial reporting purposes."," ")</f>
        <v xml:space="preserve"> </v>
      </c>
      <c r="R323" s="403" t="str">
        <f>IF(D323=" ","DELETE"," ")</f>
        <v>DELETE</v>
      </c>
    </row>
    <row r="324" spans="3:18" ht="31.5" customHeight="1" x14ac:dyDescent="0.45">
      <c r="R324" s="403" t="str">
        <f>R325</f>
        <v xml:space="preserve"> </v>
      </c>
    </row>
    <row r="325" spans="3:18" ht="31.5" customHeight="1" x14ac:dyDescent="0.45">
      <c r="C325" s="292">
        <f>MAX(C$233:C324)+1</f>
        <v>11</v>
      </c>
      <c r="D325" s="417" t="s">
        <v>93</v>
      </c>
      <c r="R325" s="403" t="str">
        <f>R326</f>
        <v xml:space="preserve"> </v>
      </c>
    </row>
    <row r="326" spans="3:18" ht="31.5" customHeight="1" x14ac:dyDescent="0.45">
      <c r="D326" s="297" t="str">
        <f>IF(Criteria!F105="No","As the group's cash flow is comprehensively disclosed in the Statement of Comprehensive"," ")</f>
        <v>As the group's cash flow is comprehensively disclosed in the Statement of Comprehensive</v>
      </c>
      <c r="E326" s="405"/>
      <c r="R326" s="403" t="str">
        <f>IF(D326=" ","DELETE"," ")</f>
        <v xml:space="preserve"> </v>
      </c>
    </row>
    <row r="327" spans="3:18" ht="31.5" customHeight="1" x14ac:dyDescent="0.45">
      <c r="D327" s="297" t="str">
        <f>IF(Criteria!F105="No","Income, a separate Cash Flow Statement is considered to be of no value and is therefore not"," ")</f>
        <v>Income, a separate Cash Flow Statement is considered to be of no value and is therefore not</v>
      </c>
      <c r="E327" s="405"/>
      <c r="R327" s="403" t="str">
        <f>IF(D327=" ","DELETE"," ")</f>
        <v xml:space="preserve"> </v>
      </c>
    </row>
    <row r="328" spans="3:18" ht="31.5" customHeight="1" x14ac:dyDescent="0.45">
      <c r="D328" s="297" t="str">
        <f>IF(Criteria!F105="No","presented."," ")</f>
        <v>presented.</v>
      </c>
      <c r="E328" s="405"/>
      <c r="R328" s="403" t="str">
        <f>IF(D328=" ","DELETE"," ")</f>
        <v xml:space="preserve"> </v>
      </c>
    </row>
    <row r="329" spans="3:18" ht="31.5" customHeight="1" x14ac:dyDescent="0.45"/>
    <row r="330" spans="3:18" ht="31.5" customHeight="1" x14ac:dyDescent="0.45"/>
    <row r="331" spans="3:18" ht="31.5" customHeight="1" x14ac:dyDescent="0.45"/>
    <row r="332" spans="3:18" ht="31.5" customHeight="1" x14ac:dyDescent="0.45"/>
    <row r="333" spans="3:18" ht="31.5" customHeight="1" x14ac:dyDescent="0.45"/>
    <row r="334" spans="3:18" ht="31.5" customHeight="1" x14ac:dyDescent="0.45"/>
    <row r="335" spans="3:18" ht="31.5" customHeight="1" x14ac:dyDescent="0.45"/>
    <row r="336" spans="3:18" ht="31.5" customHeight="1" x14ac:dyDescent="0.45"/>
    <row r="337" spans="4:18" ht="31.5" customHeight="1" x14ac:dyDescent="0.45"/>
    <row r="338" spans="4:18" ht="31.5" customHeight="1" x14ac:dyDescent="0.45"/>
    <row r="339" spans="4:18" ht="31.5" customHeight="1" x14ac:dyDescent="0.45"/>
    <row r="340" spans="4:18" ht="31.5" customHeight="1" x14ac:dyDescent="0.45"/>
    <row r="341" spans="4:18" ht="31.5" customHeight="1" x14ac:dyDescent="0.45"/>
    <row r="342" spans="4:18" ht="31.5" customHeight="1" x14ac:dyDescent="0.45"/>
    <row r="343" spans="4:18" ht="31.5" customHeight="1" x14ac:dyDescent="0.45"/>
    <row r="344" spans="4:18" ht="31.5" customHeight="1" x14ac:dyDescent="0.45"/>
    <row r="345" spans="4:18" ht="31.5" customHeight="1" x14ac:dyDescent="0.45"/>
    <row r="346" spans="4:18" ht="31.5" customHeight="1" x14ac:dyDescent="0.45"/>
    <row r="347" spans="4:18" ht="31.5" customHeight="1" x14ac:dyDescent="0.45"/>
    <row r="348" spans="4:18" ht="31.5" customHeight="1" x14ac:dyDescent="0.45">
      <c r="D348" s="417" t="str">
        <f>Criteria!E9</f>
        <v>HOLDING COMPANY 268 (PROPRIETARY) LIMITED</v>
      </c>
      <c r="O348" s="346" t="s">
        <v>96</v>
      </c>
      <c r="Q348" s="292">
        <f>MAX($Q$114:Q347)+1</f>
        <v>5</v>
      </c>
    </row>
    <row r="349" spans="4:18" ht="31.5" customHeight="1" x14ac:dyDescent="0.45">
      <c r="D349" s="417" t="str">
        <f>Criteria!E10</f>
        <v>CONSOLIDATED FINANCIAL STATEMENTS</v>
      </c>
      <c r="R349" s="403" t="str">
        <f>IF(D349=0,"DELETE"," ")</f>
        <v xml:space="preserve"> </v>
      </c>
    </row>
    <row r="350" spans="4:18" ht="31.5" customHeight="1" x14ac:dyDescent="0.45"/>
    <row r="351" spans="4:18" ht="31.5" customHeight="1" x14ac:dyDescent="0.45">
      <c r="D351" s="417" t="s">
        <v>1166</v>
      </c>
    </row>
    <row r="352" spans="4:18" ht="31.5" customHeight="1" x14ac:dyDescent="0.45">
      <c r="D352" s="417" t="str">
        <f>CONCATENATE("YEAR ENDED ",Criteria!E20)</f>
        <v>YEAR ENDED 29 FEBRUARY 2024</v>
      </c>
    </row>
    <row r="353" spans="2:23" ht="31.5" customHeight="1" x14ac:dyDescent="0.45">
      <c r="K353" s="429"/>
      <c r="L353" s="429"/>
      <c r="M353" s="432"/>
      <c r="N353" s="433"/>
      <c r="O353" s="432"/>
    </row>
    <row r="354" spans="2:23" ht="31.5" customHeight="1" x14ac:dyDescent="0.45">
      <c r="B354" s="438"/>
      <c r="C354" s="439"/>
      <c r="D354" s="439"/>
      <c r="E354" s="439"/>
      <c r="F354" s="439"/>
      <c r="G354" s="439"/>
      <c r="H354" s="439"/>
      <c r="I354" s="439"/>
      <c r="J354" s="439"/>
      <c r="K354" s="292"/>
      <c r="L354" s="292"/>
      <c r="M354" s="344"/>
      <c r="N354" s="294"/>
      <c r="O354" s="344"/>
      <c r="P354" s="303"/>
      <c r="Q354" s="440"/>
    </row>
    <row r="355" spans="2:23" ht="31.5" customHeight="1" x14ac:dyDescent="0.45">
      <c r="B355" s="441"/>
      <c r="K355" s="292" t="s">
        <v>104</v>
      </c>
      <c r="L355" s="405"/>
      <c r="M355" s="421"/>
      <c r="N355" s="292"/>
      <c r="O355" s="344">
        <f>Criteria!E22</f>
        <v>2024</v>
      </c>
      <c r="P355" s="294"/>
      <c r="Q355" s="442"/>
    </row>
    <row r="356" spans="2:23" ht="31.5" customHeight="1" x14ac:dyDescent="0.45">
      <c r="B356" s="441"/>
      <c r="K356" s="292"/>
      <c r="L356" s="405"/>
      <c r="M356" s="421"/>
      <c r="N356" s="292"/>
      <c r="O356" s="346"/>
      <c r="P356" s="295"/>
      <c r="Q356" s="442"/>
    </row>
    <row r="357" spans="2:23" ht="31.5" customHeight="1" x14ac:dyDescent="0.45">
      <c r="B357" s="441"/>
      <c r="D357" s="400" t="s">
        <v>112</v>
      </c>
      <c r="K357" s="292">
        <f>B807</f>
        <v>3</v>
      </c>
      <c r="L357" s="405"/>
      <c r="M357" s="421"/>
      <c r="N357" s="292"/>
      <c r="O357" s="347">
        <f>-SUM(TrialBalance!L4:L11)-SUM(TrialBalanceA!I4:I11)-SUM(TrialBalanceB!I4:I11)-SUM(TrialBalanceC!I4:I11)</f>
        <v>0</v>
      </c>
      <c r="P357" s="295"/>
      <c r="Q357" s="442"/>
      <c r="S357" s="380">
        <f>O357</f>
        <v>0</v>
      </c>
      <c r="T357" s="380"/>
      <c r="U357" s="378" t="b">
        <f>O357=O817</f>
        <v>1</v>
      </c>
    </row>
    <row r="358" spans="2:23" ht="31.5" customHeight="1" x14ac:dyDescent="0.45">
      <c r="B358" s="441"/>
      <c r="K358" s="292"/>
      <c r="L358" s="405"/>
      <c r="M358" s="421"/>
      <c r="N358" s="292"/>
      <c r="O358" s="347"/>
      <c r="P358" s="295"/>
      <c r="Q358" s="442"/>
    </row>
    <row r="359" spans="2:23" ht="31.5" customHeight="1" x14ac:dyDescent="0.45">
      <c r="B359" s="441"/>
      <c r="D359" s="400" t="s">
        <v>113</v>
      </c>
      <c r="K359" s="292"/>
      <c r="L359" s="405"/>
      <c r="M359" s="421"/>
      <c r="N359" s="292"/>
      <c r="O359" s="348">
        <f>-SUM(TrialBalance!L12:L26)-SUM(TrialBalanceA!I12:I26)-SUM(TrialBalanceB!I12:I26)-SUM(TrialBalanceC!I12:I26)</f>
        <v>0</v>
      </c>
      <c r="P359" s="295"/>
      <c r="Q359" s="442"/>
      <c r="R359" s="403" t="str">
        <f t="shared" ref="R359" si="4">IF(O359=0,"DELETE"," ")</f>
        <v>DELETE</v>
      </c>
      <c r="S359" s="380">
        <f>O359</f>
        <v>0</v>
      </c>
      <c r="T359" s="380"/>
    </row>
    <row r="360" spans="2:23" ht="9" customHeight="1" x14ac:dyDescent="0.45">
      <c r="B360" s="441"/>
      <c r="K360" s="292"/>
      <c r="L360" s="405"/>
      <c r="M360" s="421"/>
      <c r="N360" s="292"/>
      <c r="O360" s="349"/>
      <c r="P360" s="295"/>
      <c r="Q360" s="442"/>
      <c r="R360" s="403" t="str">
        <f>R359</f>
        <v>DELETE</v>
      </c>
    </row>
    <row r="361" spans="2:23" ht="9" customHeight="1" x14ac:dyDescent="0.45">
      <c r="B361" s="441"/>
      <c r="K361" s="292"/>
      <c r="L361" s="405"/>
      <c r="M361" s="421"/>
      <c r="N361" s="292"/>
      <c r="O361" s="347"/>
      <c r="P361" s="295"/>
      <c r="Q361" s="442"/>
      <c r="R361" s="403" t="str">
        <f>R360</f>
        <v>DELETE</v>
      </c>
    </row>
    <row r="362" spans="2:23" ht="31.5" customHeight="1" x14ac:dyDescent="0.45">
      <c r="B362" s="441"/>
      <c r="D362" s="297" t="str">
        <f>IF(W362=2,"GROSS PROFIT","GROSS LOSS")</f>
        <v>GROSS PROFIT</v>
      </c>
      <c r="J362" s="443"/>
      <c r="K362" s="305"/>
      <c r="L362" s="405"/>
      <c r="M362" s="421"/>
      <c r="N362" s="292"/>
      <c r="O362" s="347">
        <f>SUM(S357:S359)</f>
        <v>0</v>
      </c>
      <c r="P362" s="295"/>
      <c r="Q362" s="442"/>
      <c r="R362" s="403" t="str">
        <f>R361</f>
        <v>DELETE</v>
      </c>
      <c r="W362" s="378">
        <f>IF(O362&lt;0,1,2)</f>
        <v>2</v>
      </c>
    </row>
    <row r="363" spans="2:23" ht="31.5" customHeight="1" x14ac:dyDescent="0.45">
      <c r="B363" s="441"/>
      <c r="K363" s="292"/>
      <c r="L363" s="405"/>
      <c r="M363" s="421"/>
      <c r="N363" s="292"/>
      <c r="O363" s="347"/>
      <c r="P363" s="295"/>
      <c r="Q363" s="442"/>
      <c r="R363" s="403" t="str">
        <f>R362</f>
        <v>DELETE</v>
      </c>
    </row>
    <row r="364" spans="2:23" ht="31.5" customHeight="1" x14ac:dyDescent="0.45">
      <c r="B364" s="441"/>
      <c r="D364" s="400" t="s">
        <v>323</v>
      </c>
      <c r="K364" s="292">
        <f>B834</f>
        <v>4</v>
      </c>
      <c r="L364" s="405"/>
      <c r="M364" s="421"/>
      <c r="N364" s="292"/>
      <c r="O364" s="347">
        <f>-SUM(TrialBalance!L27:L33)-SUM(TrialBalanceA!I27:I33)-SUM(TrialBalanceB!I27:I33)-SUM(TrialBalanceC!I27:I33)</f>
        <v>0</v>
      </c>
      <c r="P364" s="295"/>
      <c r="Q364" s="442"/>
      <c r="R364" s="403" t="str">
        <f t="shared" ref="R364:R368" si="5">IF(O364=0,"DELETE"," ")</f>
        <v>DELETE</v>
      </c>
      <c r="S364" s="380">
        <f>O364</f>
        <v>0</v>
      </c>
      <c r="T364" s="380"/>
      <c r="U364" s="378" t="b">
        <f>O364=O861</f>
        <v>1</v>
      </c>
    </row>
    <row r="365" spans="2:23" ht="31.5" customHeight="1" x14ac:dyDescent="0.45">
      <c r="B365" s="441"/>
      <c r="K365" s="292"/>
      <c r="L365" s="405"/>
      <c r="M365" s="421"/>
      <c r="N365" s="292"/>
      <c r="O365" s="347"/>
      <c r="P365" s="295"/>
      <c r="Q365" s="442"/>
      <c r="R365" s="403" t="str">
        <f>R364</f>
        <v>DELETE</v>
      </c>
    </row>
    <row r="366" spans="2:23" ht="31.5" customHeight="1" x14ac:dyDescent="0.45">
      <c r="B366" s="441"/>
      <c r="D366" s="400" t="s">
        <v>995</v>
      </c>
      <c r="K366" s="292"/>
      <c r="L366" s="405"/>
      <c r="M366" s="421"/>
      <c r="N366" s="292"/>
      <c r="O366" s="350">
        <f>-SUM(TrialBalance!L39:L81)-SUM(TrialBalanceA!I39:I81)-SUM(TrialBalanceB!I39:I81)-SUM(TrialBalanceC!I39:I81)</f>
        <v>0</v>
      </c>
      <c r="P366" s="295"/>
      <c r="Q366" s="442"/>
      <c r="R366" s="403" t="str">
        <f t="shared" si="5"/>
        <v>DELETE</v>
      </c>
      <c r="S366" s="380">
        <f>O366</f>
        <v>0</v>
      </c>
      <c r="T366" s="380"/>
    </row>
    <row r="367" spans="2:23" ht="31.5" customHeight="1" x14ac:dyDescent="0.45">
      <c r="B367" s="441"/>
      <c r="K367" s="292"/>
      <c r="L367" s="405"/>
      <c r="M367" s="421"/>
      <c r="N367" s="292"/>
      <c r="O367" s="347"/>
      <c r="P367" s="295"/>
      <c r="Q367" s="442"/>
      <c r="R367" s="403" t="str">
        <f>R366</f>
        <v>DELETE</v>
      </c>
    </row>
    <row r="368" spans="2:23" ht="31.5" customHeight="1" x14ac:dyDescent="0.45">
      <c r="B368" s="441"/>
      <c r="D368" s="400" t="s">
        <v>903</v>
      </c>
      <c r="K368" s="292"/>
      <c r="L368" s="405"/>
      <c r="M368" s="421"/>
      <c r="N368" s="292"/>
      <c r="O368" s="350">
        <f>-SUM(TrialBalance!L97:L139)-SUM(TrialBalance!L154:L155)-IF(TrialBalance!L93&lt;0,0,TrialBalance!L93)-SUM(TrialBalanceA!I97:I139)-SUM(TrialBalanceA!I154:I155)-IF(TrialBalanceA!I93&lt;0,0,TrialBalanceA!I93)-SUM(TrialBalanceB!I97:I139)-SUM(TrialBalanceB!I154:I155)-IF(TrialBalanceB!I93&lt;0,0,TrialBalanceB!I93)-SUM(TrialBalanceC!I97:I139)-SUM(TrialBalanceC!I154:I155)-IF(TrialBalanceC!I93&lt;0,0,TrialBalanceC!I93)</f>
        <v>0</v>
      </c>
      <c r="P368" s="295"/>
      <c r="Q368" s="442"/>
      <c r="R368" s="403" t="str">
        <f t="shared" si="5"/>
        <v>DELETE</v>
      </c>
      <c r="S368" s="380">
        <f>O368</f>
        <v>0</v>
      </c>
      <c r="T368" s="380"/>
    </row>
    <row r="369" spans="2:25" ht="31.5" customHeight="1" x14ac:dyDescent="0.45">
      <c r="B369" s="441"/>
      <c r="K369" s="292"/>
      <c r="L369" s="405"/>
      <c r="M369" s="421"/>
      <c r="N369" s="292"/>
      <c r="O369" s="347"/>
      <c r="P369" s="295"/>
      <c r="Q369" s="442"/>
      <c r="R369" s="403" t="str">
        <f>R368</f>
        <v>DELETE</v>
      </c>
    </row>
    <row r="370" spans="2:25" ht="9" customHeight="1" x14ac:dyDescent="0.45">
      <c r="B370" s="441"/>
      <c r="K370" s="292"/>
      <c r="L370" s="405"/>
      <c r="M370" s="421"/>
      <c r="N370" s="292"/>
      <c r="O370" s="349"/>
      <c r="P370" s="295"/>
      <c r="Q370" s="442"/>
      <c r="R370" s="403" t="str">
        <f>R372</f>
        <v>DELETE</v>
      </c>
    </row>
    <row r="371" spans="2:25" ht="9" customHeight="1" x14ac:dyDescent="0.45">
      <c r="B371" s="441"/>
      <c r="K371" s="292"/>
      <c r="L371" s="405"/>
      <c r="M371" s="421"/>
      <c r="N371" s="292"/>
      <c r="O371" s="347"/>
      <c r="P371" s="295"/>
      <c r="Q371" s="442"/>
      <c r="R371" s="403" t="str">
        <f>R372</f>
        <v>DELETE</v>
      </c>
    </row>
    <row r="372" spans="2:25" ht="31.5" customHeight="1" x14ac:dyDescent="0.45">
      <c r="B372" s="441"/>
      <c r="D372" s="297" t="str">
        <f>IF(W372=2,"OPERATING PROFIT","OPERATING LOSS")</f>
        <v>OPERATING PROFIT</v>
      </c>
      <c r="K372" s="292">
        <f>B878</f>
        <v>5</v>
      </c>
      <c r="L372" s="405"/>
      <c r="M372" s="421"/>
      <c r="N372" s="292"/>
      <c r="O372" s="347">
        <f>SUM(S357:S369)</f>
        <v>0</v>
      </c>
      <c r="P372" s="295"/>
      <c r="Q372" s="442"/>
      <c r="R372" s="403" t="str">
        <f t="shared" ref="R372:R376" si="6">IF(O372=0,"DELETE"," ")</f>
        <v>DELETE</v>
      </c>
      <c r="W372" s="378">
        <f>IF(O372&lt;0,1,2)</f>
        <v>2</v>
      </c>
      <c r="Y372" s="378"/>
    </row>
    <row r="373" spans="2:25" ht="31.5" customHeight="1" x14ac:dyDescent="0.45">
      <c r="B373" s="441"/>
      <c r="K373" s="292"/>
      <c r="L373" s="405"/>
      <c r="M373" s="421"/>
      <c r="N373" s="292"/>
      <c r="O373" s="347"/>
      <c r="P373" s="295"/>
      <c r="Q373" s="442"/>
      <c r="R373" s="403" t="str">
        <f>R372</f>
        <v>DELETE</v>
      </c>
    </row>
    <row r="374" spans="2:25" ht="31.5" customHeight="1" x14ac:dyDescent="0.45">
      <c r="B374" s="441"/>
      <c r="D374" s="400" t="s">
        <v>114</v>
      </c>
      <c r="K374" s="292">
        <f>B965</f>
        <v>6</v>
      </c>
      <c r="L374" s="405"/>
      <c r="M374" s="421"/>
      <c r="N374" s="292"/>
      <c r="O374" s="347">
        <f>-SUM(TrialBalance!L82:L92)-SUM(TrialBalance!L94:L96)+IF(TrialBalance!L93&lt;0,-TrialBalance!L93,0)-SUM(TrialBalanceA!I82:I92)-SUM(TrialBalanceA!I94:I96)+IF(TrialBalanceA!I93&lt;0,-TrialBalanceA!I93,0)-SUM(TrialBalanceB!I82:I92)-SUM(TrialBalanceB!I94:I96)+IF(TrialBalanceB!I93&lt;0,-TrialBalanceB!I93,0)-SUM(TrialBalanceC!I82:I92)-SUM(TrialBalanceC!I94:I96)+IF(TrialBalanceC!I93&lt;0,-TrialBalanceC!I93,0)</f>
        <v>0</v>
      </c>
      <c r="P374" s="295"/>
      <c r="Q374" s="442"/>
      <c r="R374" s="403" t="str">
        <f t="shared" si="6"/>
        <v>DELETE</v>
      </c>
      <c r="S374" s="380">
        <f>O374</f>
        <v>0</v>
      </c>
      <c r="T374" s="380"/>
      <c r="U374" s="378" t="b">
        <f>O374=O1007</f>
        <v>1</v>
      </c>
    </row>
    <row r="375" spans="2:25" ht="31.5" customHeight="1" x14ac:dyDescent="0.45">
      <c r="B375" s="441"/>
      <c r="K375" s="292"/>
      <c r="L375" s="405"/>
      <c r="M375" s="421"/>
      <c r="N375" s="292"/>
      <c r="O375" s="347"/>
      <c r="P375" s="295"/>
      <c r="Q375" s="442"/>
      <c r="R375" s="403" t="str">
        <f>R374</f>
        <v>DELETE</v>
      </c>
    </row>
    <row r="376" spans="2:25" ht="31.5" customHeight="1" x14ac:dyDescent="0.45">
      <c r="B376" s="441"/>
      <c r="D376" s="400" t="s">
        <v>115</v>
      </c>
      <c r="K376" s="292">
        <f>B1024</f>
        <v>7</v>
      </c>
      <c r="L376" s="405"/>
      <c r="M376" s="421"/>
      <c r="N376" s="292"/>
      <c r="O376" s="350">
        <f>-SUM(TrialBalance!L140:L152)-SUM(TrialBalanceA!I140:I152)-SUM(TrialBalanceB!I140:I152)-SUM(TrialBalanceC!I140:I152)</f>
        <v>0</v>
      </c>
      <c r="P376" s="295"/>
      <c r="Q376" s="442"/>
      <c r="R376" s="403" t="str">
        <f t="shared" si="6"/>
        <v>DELETE</v>
      </c>
      <c r="S376" s="380">
        <f>O376</f>
        <v>0</v>
      </c>
      <c r="T376" s="380"/>
      <c r="U376" s="378" t="b">
        <f>-O376=O1071</f>
        <v>1</v>
      </c>
    </row>
    <row r="377" spans="2:25" ht="31.5" customHeight="1" x14ac:dyDescent="0.45">
      <c r="B377" s="441"/>
      <c r="K377" s="292"/>
      <c r="L377" s="405"/>
      <c r="M377" s="421"/>
      <c r="N377" s="292"/>
      <c r="O377" s="347"/>
      <c r="P377" s="295"/>
      <c r="Q377" s="442"/>
      <c r="R377" s="403" t="str">
        <f>R376</f>
        <v>DELETE</v>
      </c>
    </row>
    <row r="378" spans="2:25" ht="9" customHeight="1" x14ac:dyDescent="0.45">
      <c r="B378" s="441"/>
      <c r="K378" s="292"/>
      <c r="L378" s="405"/>
      <c r="M378" s="421"/>
      <c r="N378" s="292"/>
      <c r="O378" s="349"/>
      <c r="P378" s="295"/>
      <c r="Q378" s="442"/>
    </row>
    <row r="379" spans="2:25" ht="9" customHeight="1" x14ac:dyDescent="0.45">
      <c r="B379" s="441"/>
      <c r="K379" s="292"/>
      <c r="L379" s="405"/>
      <c r="M379" s="421"/>
      <c r="N379" s="292"/>
      <c r="O379" s="347"/>
      <c r="P379" s="295"/>
      <c r="Q379" s="442"/>
    </row>
    <row r="380" spans="2:25" ht="31.5" customHeight="1" x14ac:dyDescent="0.45">
      <c r="B380" s="441"/>
      <c r="D380" s="297" t="str">
        <f>IF(W380=2,"NET PROFIT BEFORE TAXATION","NET LOSS BEFORE TAXATION")</f>
        <v>NET PROFIT BEFORE TAXATION</v>
      </c>
      <c r="K380" s="292"/>
      <c r="L380" s="405"/>
      <c r="M380" s="421"/>
      <c r="N380" s="292"/>
      <c r="O380" s="347">
        <f>SUM(S357:S377)</f>
        <v>0</v>
      </c>
      <c r="P380" s="295"/>
      <c r="Q380" s="442"/>
      <c r="W380" s="378">
        <f>IF(O380&lt;0,1,2)</f>
        <v>2</v>
      </c>
    </row>
    <row r="381" spans="2:25" ht="31.5" customHeight="1" x14ac:dyDescent="0.45">
      <c r="B381" s="441"/>
      <c r="K381" s="292"/>
      <c r="L381" s="405"/>
      <c r="M381" s="421"/>
      <c r="N381" s="292"/>
      <c r="O381" s="347"/>
      <c r="P381" s="295"/>
      <c r="Q381" s="442"/>
    </row>
    <row r="382" spans="2:25" ht="31.5" customHeight="1" x14ac:dyDescent="0.45">
      <c r="B382" s="441"/>
      <c r="D382" s="400" t="s">
        <v>116</v>
      </c>
      <c r="K382" s="292"/>
      <c r="L382" s="405"/>
      <c r="M382" s="421"/>
      <c r="N382" s="292"/>
      <c r="O382" s="350">
        <f>-SUM(TrialBalance!L156:L162)</f>
        <v>0</v>
      </c>
      <c r="P382" s="295"/>
      <c r="Q382" s="442"/>
    </row>
    <row r="383" spans="2:25" ht="9" customHeight="1" x14ac:dyDescent="0.45">
      <c r="B383" s="441"/>
      <c r="K383" s="292"/>
      <c r="L383" s="405"/>
      <c r="M383" s="421"/>
      <c r="N383" s="292"/>
      <c r="O383" s="349"/>
      <c r="P383" s="295"/>
      <c r="Q383" s="442"/>
      <c r="U383" s="381"/>
      <c r="V383" s="381"/>
    </row>
    <row r="384" spans="2:25" ht="9" customHeight="1" x14ac:dyDescent="0.45">
      <c r="B384" s="441"/>
      <c r="K384" s="292"/>
      <c r="L384" s="405"/>
      <c r="M384" s="421"/>
      <c r="N384" s="292"/>
      <c r="O384" s="347"/>
      <c r="P384" s="295"/>
      <c r="Q384" s="442"/>
    </row>
    <row r="385" spans="2:23" ht="31.5" customHeight="1" x14ac:dyDescent="0.45">
      <c r="B385" s="441"/>
      <c r="D385" s="297" t="str">
        <f>IF(W385=2,"NET PROFIT FOR THE YEAR AFTER TAXATION","NET LOSS FOR THE YEAR AFTER TAXATION")</f>
        <v>NET PROFIT FOR THE YEAR AFTER TAXATION</v>
      </c>
      <c r="K385" s="292"/>
      <c r="L385" s="405"/>
      <c r="M385" s="421"/>
      <c r="N385" s="292"/>
      <c r="O385" s="347">
        <f>SUM(O380:O383)</f>
        <v>0</v>
      </c>
      <c r="P385" s="295"/>
      <c r="Q385" s="442"/>
      <c r="U385" s="378" t="b">
        <f>O385=-SUM(TrialBalance!L5:L33)-SUM(TrialBalance!L39:L162)-SUM(TrialBalanceA!I5:I154)-SUM(TrialBalanceB!I5:I154)-SUM(TrialBalanceC!I5:I154)</f>
        <v>1</v>
      </c>
      <c r="W385" s="378">
        <f>IF(O385&lt;0,1,2)</f>
        <v>2</v>
      </c>
    </row>
    <row r="386" spans="2:23" ht="9" customHeight="1" thickBot="1" x14ac:dyDescent="0.5">
      <c r="B386" s="441"/>
      <c r="K386" s="292"/>
      <c r="L386" s="405"/>
      <c r="M386" s="421"/>
      <c r="N386" s="292"/>
      <c r="O386" s="351"/>
      <c r="P386" s="295"/>
      <c r="Q386" s="442"/>
    </row>
    <row r="387" spans="2:23" ht="31.5" customHeight="1" thickTop="1" x14ac:dyDescent="0.45">
      <c r="B387" s="441"/>
      <c r="K387" s="292"/>
      <c r="L387" s="405"/>
      <c r="M387" s="421"/>
      <c r="N387" s="292"/>
      <c r="O387" s="347"/>
      <c r="P387" s="295"/>
      <c r="Q387" s="442"/>
    </row>
    <row r="388" spans="2:23" ht="31.5" customHeight="1" x14ac:dyDescent="0.45">
      <c r="B388" s="441"/>
      <c r="K388" s="292"/>
      <c r="L388" s="405"/>
      <c r="M388" s="421"/>
      <c r="N388" s="292"/>
      <c r="O388" s="346"/>
      <c r="P388" s="295"/>
      <c r="Q388" s="442"/>
      <c r="U388" s="378" t="b">
        <f>O385=O2287</f>
        <v>1</v>
      </c>
    </row>
    <row r="389" spans="2:23" ht="31.5" customHeight="1" x14ac:dyDescent="0.45">
      <c r="B389" s="441"/>
      <c r="K389" s="292"/>
      <c r="L389" s="405"/>
      <c r="M389" s="421"/>
      <c r="N389" s="292"/>
      <c r="O389" s="346"/>
      <c r="P389" s="295"/>
      <c r="Q389" s="442"/>
    </row>
    <row r="390" spans="2:23" ht="31.5" customHeight="1" x14ac:dyDescent="0.45">
      <c r="B390" s="441"/>
      <c r="K390" s="292"/>
      <c r="L390" s="405"/>
      <c r="M390" s="421"/>
      <c r="N390" s="292"/>
      <c r="O390" s="346"/>
      <c r="P390" s="295"/>
      <c r="Q390" s="442"/>
    </row>
    <row r="391" spans="2:23" ht="31.5" customHeight="1" x14ac:dyDescent="0.45">
      <c r="B391" s="441"/>
      <c r="K391" s="292"/>
      <c r="L391" s="405"/>
      <c r="M391" s="421"/>
      <c r="N391" s="292"/>
      <c r="O391" s="346"/>
      <c r="P391" s="295"/>
      <c r="Q391" s="442"/>
    </row>
    <row r="392" spans="2:23" ht="31.5" customHeight="1" x14ac:dyDescent="0.45">
      <c r="B392" s="441"/>
      <c r="K392" s="292"/>
      <c r="L392" s="405"/>
      <c r="M392" s="421"/>
      <c r="N392" s="292"/>
      <c r="O392" s="346"/>
      <c r="P392" s="295"/>
      <c r="Q392" s="442"/>
    </row>
    <row r="393" spans="2:23" ht="31.5" customHeight="1" x14ac:dyDescent="0.45">
      <c r="B393" s="441"/>
      <c r="K393" s="292"/>
      <c r="L393" s="405"/>
      <c r="M393" s="421"/>
      <c r="N393" s="292"/>
      <c r="O393" s="346"/>
      <c r="P393" s="295"/>
      <c r="Q393" s="442"/>
    </row>
    <row r="394" spans="2:23" ht="31.5" customHeight="1" x14ac:dyDescent="0.45">
      <c r="B394" s="441"/>
      <c r="K394" s="292"/>
      <c r="L394" s="405"/>
      <c r="M394" s="421"/>
      <c r="N394" s="292"/>
      <c r="O394" s="346"/>
      <c r="P394" s="295"/>
      <c r="Q394" s="442"/>
    </row>
    <row r="395" spans="2:23" ht="31.5" customHeight="1" x14ac:dyDescent="0.45">
      <c r="B395" s="441"/>
      <c r="K395" s="292"/>
      <c r="L395" s="405"/>
      <c r="M395" s="421"/>
      <c r="N395" s="292"/>
      <c r="O395" s="346"/>
      <c r="P395" s="295"/>
      <c r="Q395" s="442"/>
    </row>
    <row r="396" spans="2:23" ht="31.5" customHeight="1" x14ac:dyDescent="0.45">
      <c r="B396" s="441"/>
      <c r="K396" s="292"/>
      <c r="L396" s="405"/>
      <c r="M396" s="421"/>
      <c r="N396" s="292"/>
      <c r="O396" s="346"/>
      <c r="P396" s="295"/>
      <c r="Q396" s="442"/>
    </row>
    <row r="397" spans="2:23" ht="31.5" customHeight="1" x14ac:dyDescent="0.45">
      <c r="B397" s="441"/>
      <c r="K397" s="292"/>
      <c r="L397" s="405"/>
      <c r="M397" s="421"/>
      <c r="N397" s="292"/>
      <c r="O397" s="346"/>
      <c r="P397" s="295"/>
      <c r="Q397" s="442"/>
    </row>
    <row r="398" spans="2:23" ht="31.5" customHeight="1" x14ac:dyDescent="0.45">
      <c r="B398" s="441"/>
      <c r="K398" s="292"/>
      <c r="L398" s="405"/>
      <c r="M398" s="421"/>
      <c r="N398" s="292"/>
      <c r="O398" s="346"/>
      <c r="P398" s="295"/>
      <c r="Q398" s="442"/>
    </row>
    <row r="399" spans="2:23" ht="31.5" customHeight="1" x14ac:dyDescent="0.45">
      <c r="B399" s="441"/>
      <c r="K399" s="292"/>
      <c r="L399" s="405"/>
      <c r="M399" s="421"/>
      <c r="N399" s="292"/>
      <c r="O399" s="346"/>
      <c r="P399" s="295"/>
      <c r="Q399" s="442"/>
    </row>
    <row r="400" spans="2:23" ht="31.5" customHeight="1" x14ac:dyDescent="0.45">
      <c r="B400" s="441"/>
      <c r="K400" s="292"/>
      <c r="L400" s="405"/>
      <c r="M400" s="421"/>
      <c r="N400" s="292"/>
      <c r="O400" s="346"/>
      <c r="P400" s="295"/>
      <c r="Q400" s="442"/>
    </row>
    <row r="401" spans="2:22" ht="31.5" customHeight="1" x14ac:dyDescent="0.45">
      <c r="B401" s="441"/>
      <c r="K401" s="292"/>
      <c r="L401" s="405"/>
      <c r="M401" s="421"/>
      <c r="N401" s="292"/>
      <c r="O401" s="346"/>
      <c r="P401" s="295"/>
      <c r="Q401" s="442"/>
    </row>
    <row r="402" spans="2:22" ht="31.5" customHeight="1" x14ac:dyDescent="0.45">
      <c r="B402" s="441"/>
      <c r="K402" s="292"/>
      <c r="L402" s="405"/>
      <c r="M402" s="421"/>
      <c r="N402" s="292"/>
      <c r="O402" s="346"/>
      <c r="P402" s="295"/>
      <c r="Q402" s="442"/>
    </row>
    <row r="403" spans="2:22" ht="31.5" customHeight="1" x14ac:dyDescent="0.45">
      <c r="B403" s="441"/>
      <c r="K403" s="292"/>
      <c r="L403" s="405"/>
      <c r="M403" s="421"/>
      <c r="N403" s="292"/>
      <c r="O403" s="346"/>
      <c r="P403" s="295"/>
      <c r="Q403" s="442"/>
    </row>
    <row r="404" spans="2:22" ht="31.5" customHeight="1" x14ac:dyDescent="0.45">
      <c r="B404" s="441"/>
      <c r="K404" s="292"/>
      <c r="L404" s="405"/>
      <c r="M404" s="421"/>
      <c r="N404" s="292"/>
      <c r="O404" s="346"/>
      <c r="P404" s="295"/>
      <c r="Q404" s="442"/>
    </row>
    <row r="405" spans="2:22" ht="31.5" customHeight="1" x14ac:dyDescent="0.45">
      <c r="B405" s="441"/>
      <c r="K405" s="292"/>
      <c r="L405" s="405"/>
      <c r="M405" s="421"/>
      <c r="N405" s="292"/>
      <c r="O405" s="346"/>
      <c r="P405" s="295"/>
      <c r="Q405" s="442"/>
    </row>
    <row r="406" spans="2:22" ht="31.5" customHeight="1" x14ac:dyDescent="0.45">
      <c r="B406" s="441"/>
      <c r="K406" s="292"/>
      <c r="L406" s="292"/>
      <c r="M406" s="346"/>
      <c r="N406" s="295"/>
      <c r="O406" s="346"/>
      <c r="P406" s="295"/>
      <c r="Q406" s="442"/>
    </row>
    <row r="407" spans="2:22" ht="31.5" customHeight="1" x14ac:dyDescent="0.45">
      <c r="B407" s="445"/>
      <c r="C407" s="429"/>
      <c r="D407" s="429"/>
      <c r="E407" s="429"/>
      <c r="F407" s="429"/>
      <c r="G407" s="429"/>
      <c r="H407" s="429"/>
      <c r="I407" s="429"/>
      <c r="J407" s="429"/>
      <c r="K407" s="306"/>
      <c r="L407" s="306"/>
      <c r="M407" s="352"/>
      <c r="N407" s="307"/>
      <c r="O407" s="352"/>
      <c r="P407" s="307"/>
      <c r="Q407" s="446"/>
    </row>
    <row r="408" spans="2:22" ht="31.5" customHeight="1" x14ac:dyDescent="0.45"/>
    <row r="409" spans="2:22" ht="31.5" customHeight="1" x14ac:dyDescent="0.45"/>
    <row r="410" spans="2:22" ht="31.5" customHeight="1" x14ac:dyDescent="0.45">
      <c r="D410" s="417" t="str">
        <f>Criteria!E9</f>
        <v>HOLDING COMPANY 268 (PROPRIETARY) LIMITED</v>
      </c>
      <c r="O410" s="346" t="s">
        <v>96</v>
      </c>
      <c r="Q410" s="292">
        <f>MAX($Q$114:Q409)+1</f>
        <v>6</v>
      </c>
      <c r="S410" s="382"/>
      <c r="T410" s="382"/>
      <c r="U410" s="382"/>
      <c r="V410" s="382"/>
    </row>
    <row r="411" spans="2:22" ht="31.5" customHeight="1" x14ac:dyDescent="0.45">
      <c r="D411" s="417" t="str">
        <f>Criteria!E10</f>
        <v>CONSOLIDATED FINANCIAL STATEMENTS</v>
      </c>
      <c r="R411" s="403" t="str">
        <f>IF(D411=0,"DELETE"," ")</f>
        <v xml:space="preserve"> </v>
      </c>
      <c r="S411" s="382"/>
      <c r="T411" s="382"/>
      <c r="U411" s="382"/>
      <c r="V411" s="382"/>
    </row>
    <row r="412" spans="2:22" ht="31.5" customHeight="1" x14ac:dyDescent="0.45">
      <c r="S412" s="382"/>
      <c r="T412" s="382"/>
      <c r="U412" s="382"/>
      <c r="V412" s="382"/>
    </row>
    <row r="413" spans="2:22" ht="31.5" customHeight="1" x14ac:dyDescent="0.45">
      <c r="D413" s="417" t="str">
        <f>CONCATENATE("CONSOLIDATED STATEMENT OF FINANCIAL POSITION AS AT ",Criteria!E20)</f>
        <v>CONSOLIDATED STATEMENT OF FINANCIAL POSITION AS AT 29 FEBRUARY 2024</v>
      </c>
      <c r="H413" s="417"/>
    </row>
    <row r="414" spans="2:22" ht="31.5" customHeight="1" x14ac:dyDescent="0.45"/>
    <row r="415" spans="2:22" ht="31.5" customHeight="1" x14ac:dyDescent="0.45">
      <c r="B415" s="438"/>
      <c r="C415" s="439"/>
      <c r="D415" s="439"/>
      <c r="E415" s="439"/>
      <c r="F415" s="439"/>
      <c r="G415" s="439"/>
      <c r="H415" s="439"/>
      <c r="I415" s="439"/>
      <c r="J415" s="439"/>
      <c r="K415" s="439"/>
      <c r="L415" s="439"/>
      <c r="M415" s="447"/>
      <c r="N415" s="448"/>
      <c r="O415" s="447"/>
      <c r="P415" s="448"/>
      <c r="Q415" s="440"/>
    </row>
    <row r="416" spans="2:22" ht="31.5" customHeight="1" x14ac:dyDescent="0.45">
      <c r="B416" s="441"/>
      <c r="K416" s="292" t="s">
        <v>104</v>
      </c>
      <c r="L416" s="405"/>
      <c r="M416" s="421"/>
      <c r="N416" s="292"/>
      <c r="O416" s="344">
        <f>Criteria!E22</f>
        <v>2024</v>
      </c>
      <c r="P416" s="294"/>
      <c r="Q416" s="442"/>
    </row>
    <row r="417" spans="2:24" ht="31.5" customHeight="1" x14ac:dyDescent="0.45">
      <c r="B417" s="441"/>
      <c r="K417" s="292"/>
      <c r="L417" s="405"/>
      <c r="M417" s="421"/>
      <c r="N417" s="292"/>
      <c r="O417" s="346"/>
      <c r="P417" s="295"/>
      <c r="Q417" s="442"/>
    </row>
    <row r="418" spans="2:24" ht="31.5" customHeight="1" x14ac:dyDescent="0.45">
      <c r="B418" s="441"/>
      <c r="C418" s="417" t="s">
        <v>105</v>
      </c>
      <c r="K418" s="292"/>
      <c r="L418" s="405"/>
      <c r="M418" s="421"/>
      <c r="N418" s="292"/>
      <c r="O418" s="346"/>
      <c r="P418" s="295"/>
      <c r="Q418" s="442"/>
    </row>
    <row r="419" spans="2:24" ht="31.5" customHeight="1" x14ac:dyDescent="0.45">
      <c r="B419" s="441"/>
      <c r="C419" s="417"/>
      <c r="K419" s="292"/>
      <c r="L419" s="405"/>
      <c r="M419" s="421"/>
      <c r="N419" s="292"/>
      <c r="O419" s="346"/>
      <c r="P419" s="295"/>
      <c r="Q419" s="442"/>
    </row>
    <row r="420" spans="2:24" ht="31.5" customHeight="1" x14ac:dyDescent="0.45">
      <c r="B420" s="441"/>
      <c r="D420" s="400" t="s">
        <v>13</v>
      </c>
      <c r="K420" s="292"/>
      <c r="L420" s="405"/>
      <c r="M420" s="421"/>
      <c r="N420" s="292"/>
      <c r="O420" s="347">
        <f>SUM(O422:O432)</f>
        <v>0</v>
      </c>
      <c r="P420" s="295"/>
      <c r="Q420" s="442"/>
      <c r="R420" s="403" t="str">
        <f>IF(O420=0,"DELETE"," ")</f>
        <v>DELETE</v>
      </c>
      <c r="S420" s="380">
        <f>O420</f>
        <v>0</v>
      </c>
      <c r="T420" s="380"/>
      <c r="U420" s="380"/>
      <c r="V420" s="380"/>
    </row>
    <row r="421" spans="2:24" ht="9" customHeight="1" x14ac:dyDescent="0.45">
      <c r="B421" s="441"/>
      <c r="D421" s="417"/>
      <c r="K421" s="292"/>
      <c r="L421" s="405"/>
      <c r="M421" s="421"/>
      <c r="N421" s="292"/>
      <c r="O421" s="347"/>
      <c r="P421" s="295"/>
      <c r="Q421" s="442"/>
      <c r="R421" s="403" t="str">
        <f>R420</f>
        <v>DELETE</v>
      </c>
    </row>
    <row r="422" spans="2:24" ht="9" customHeight="1" x14ac:dyDescent="0.45">
      <c r="B422" s="441"/>
      <c r="D422" s="417"/>
      <c r="K422" s="292"/>
      <c r="L422" s="405"/>
      <c r="M422" s="421"/>
      <c r="N422" s="292"/>
      <c r="O422" s="372"/>
      <c r="P422" s="295"/>
      <c r="Q422" s="442"/>
      <c r="R422" s="403" t="str">
        <f>R420</f>
        <v>DELETE</v>
      </c>
    </row>
    <row r="423" spans="2:24" ht="31.5" customHeight="1" x14ac:dyDescent="0.45">
      <c r="B423" s="441"/>
      <c r="D423" s="400" t="s">
        <v>959</v>
      </c>
      <c r="K423" s="292">
        <f>B1088</f>
        <v>8</v>
      </c>
      <c r="L423" s="405"/>
      <c r="M423" s="421"/>
      <c r="N423" s="292"/>
      <c r="O423" s="373">
        <f>SUM(TrialBalance!L228:L238)</f>
        <v>0</v>
      </c>
      <c r="P423" s="295"/>
      <c r="Q423" s="442"/>
      <c r="R423" s="403" t="str">
        <f t="shared" ref="R423:R431" si="7">IF(O423=0,"DELETE"," ")</f>
        <v>DELETE</v>
      </c>
      <c r="U423" s="378" t="b">
        <f>O423=O1118</f>
        <v>1</v>
      </c>
    </row>
    <row r="424" spans="2:24" ht="31.5" customHeight="1" x14ac:dyDescent="0.45">
      <c r="B424" s="441"/>
      <c r="D424" s="400" t="s">
        <v>730</v>
      </c>
      <c r="K424" s="292">
        <f>B1198</f>
        <v>9</v>
      </c>
      <c r="L424" s="405"/>
      <c r="M424" s="421"/>
      <c r="N424" s="292"/>
      <c r="O424" s="373">
        <f>SUM(TrialBalance!L250:L281)</f>
        <v>0</v>
      </c>
      <c r="P424" s="295"/>
      <c r="Q424" s="442"/>
      <c r="R424" s="403" t="str">
        <f t="shared" si="7"/>
        <v>DELETE</v>
      </c>
      <c r="U424" s="383" t="b">
        <f>O424=O1224</f>
        <v>1</v>
      </c>
      <c r="V424" s="383"/>
      <c r="X424" s="383"/>
    </row>
    <row r="425" spans="2:24" ht="31.5" customHeight="1" x14ac:dyDescent="0.45">
      <c r="B425" s="441"/>
      <c r="D425" s="400" t="s">
        <v>1078</v>
      </c>
      <c r="K425" s="292">
        <f>B1268</f>
        <v>10</v>
      </c>
      <c r="L425" s="405"/>
      <c r="M425" s="421"/>
      <c r="N425" s="292"/>
      <c r="O425" s="373">
        <f>SUM(TrialBalance!L239:L249)</f>
        <v>0</v>
      </c>
      <c r="P425" s="295"/>
      <c r="Q425" s="442"/>
      <c r="R425" s="403" t="str">
        <f t="shared" si="7"/>
        <v>DELETE</v>
      </c>
      <c r="U425" s="383" t="b">
        <f>O425=O1298</f>
        <v>1</v>
      </c>
      <c r="V425" s="383"/>
      <c r="X425" s="383"/>
    </row>
    <row r="426" spans="2:24" ht="31.5" customHeight="1" x14ac:dyDescent="0.45">
      <c r="B426" s="441"/>
      <c r="D426" s="400" t="s">
        <v>1063</v>
      </c>
      <c r="K426" s="292">
        <f>B1380</f>
        <v>11</v>
      </c>
      <c r="L426" s="405"/>
      <c r="M426" s="421"/>
      <c r="N426" s="292"/>
      <c r="O426" s="373">
        <f>SUM(TrialBalance!L284:L300)</f>
        <v>0</v>
      </c>
      <c r="P426" s="295"/>
      <c r="Q426" s="442"/>
      <c r="R426" s="403" t="str">
        <f t="shared" si="7"/>
        <v>DELETE</v>
      </c>
      <c r="U426" s="383" t="b">
        <f>O426=O1445</f>
        <v>1</v>
      </c>
      <c r="V426" s="383"/>
      <c r="X426" s="383"/>
    </row>
    <row r="427" spans="2:24" ht="31.5" customHeight="1" x14ac:dyDescent="0.45">
      <c r="B427" s="441"/>
      <c r="D427" s="400" t="str">
        <f>IF(COUNTIF(TrialBalance!L303:L305,"&gt;0")&gt;1,"Investments in associates","Investment in associate")</f>
        <v>Investment in associate</v>
      </c>
      <c r="K427" s="292">
        <f>B1462</f>
        <v>12</v>
      </c>
      <c r="L427" s="405"/>
      <c r="M427" s="421"/>
      <c r="N427" s="292"/>
      <c r="O427" s="373">
        <f>SUM(TrialBalance!L303:L305)</f>
        <v>0</v>
      </c>
      <c r="P427" s="295"/>
      <c r="Q427" s="442"/>
      <c r="R427" s="403" t="str">
        <f t="shared" si="7"/>
        <v>DELETE</v>
      </c>
      <c r="U427" s="383" t="b">
        <f>O427=O1468</f>
        <v>1</v>
      </c>
      <c r="V427" s="383"/>
      <c r="X427" s="383"/>
    </row>
    <row r="428" spans="2:24" ht="31.5" customHeight="1" x14ac:dyDescent="0.45">
      <c r="B428" s="441"/>
      <c r="D428" s="400" t="str">
        <f>IF(COUNTIF(TrialBalance!L307:L311,"&gt;0")&gt;1,"Listed investments","Listed investment")</f>
        <v>Listed investment</v>
      </c>
      <c r="K428" s="292">
        <f>B1486</f>
        <v>13</v>
      </c>
      <c r="L428" s="405"/>
      <c r="M428" s="421"/>
      <c r="N428" s="292"/>
      <c r="O428" s="373">
        <f>SUM(TrialBalance!L307:L311)</f>
        <v>0</v>
      </c>
      <c r="P428" s="295"/>
      <c r="Q428" s="442"/>
      <c r="R428" s="403" t="str">
        <f t="shared" si="7"/>
        <v>DELETE</v>
      </c>
      <c r="U428" s="383" t="b">
        <f>O428=O1494</f>
        <v>1</v>
      </c>
      <c r="V428" s="383"/>
      <c r="X428" s="383"/>
    </row>
    <row r="429" spans="2:24" ht="31.5" customHeight="1" x14ac:dyDescent="0.45">
      <c r="B429" s="441"/>
      <c r="D429" s="400" t="str">
        <f>IF(COUNTIF(TrialBalance!L313:L317,"&gt;0")&gt;1,"Other investments","Other investment")</f>
        <v>Other investment</v>
      </c>
      <c r="K429" s="292">
        <f>B1517</f>
        <v>14</v>
      </c>
      <c r="L429" s="405"/>
      <c r="M429" s="421"/>
      <c r="N429" s="292"/>
      <c r="O429" s="373">
        <f>SUM(TrialBalance!L313:L317)</f>
        <v>0</v>
      </c>
      <c r="P429" s="295"/>
      <c r="Q429" s="442"/>
      <c r="R429" s="403" t="str">
        <f t="shared" si="7"/>
        <v>DELETE</v>
      </c>
      <c r="U429" s="383" t="b">
        <f>O429=O1525</f>
        <v>1</v>
      </c>
      <c r="V429" s="383"/>
      <c r="X429" s="383"/>
    </row>
    <row r="430" spans="2:24" ht="31.5" customHeight="1" x14ac:dyDescent="0.45">
      <c r="B430" s="441"/>
      <c r="D430" s="400" t="str">
        <f>IF(COUNTIF(TrialBalance!L318:L352,"&gt;0")&gt;1,"Non - current receivables","Non - current receivable")</f>
        <v>Non - current receivable</v>
      </c>
      <c r="K430" s="292">
        <f>B1547</f>
        <v>15</v>
      </c>
      <c r="L430" s="405"/>
      <c r="M430" s="421"/>
      <c r="N430" s="292"/>
      <c r="O430" s="373">
        <f>SUM(TrialBalance!L318:L352)</f>
        <v>0</v>
      </c>
      <c r="P430" s="295"/>
      <c r="Q430" s="442"/>
      <c r="R430" s="403" t="str">
        <f t="shared" si="7"/>
        <v>DELETE</v>
      </c>
      <c r="U430" s="383" t="b">
        <f>O430=O1588</f>
        <v>1</v>
      </c>
      <c r="V430" s="383"/>
    </row>
    <row r="431" spans="2:24" ht="31.5" customHeight="1" x14ac:dyDescent="0.45">
      <c r="B431" s="441"/>
      <c r="D431" s="400" t="s">
        <v>549</v>
      </c>
      <c r="K431" s="292">
        <f>B1845</f>
        <v>24</v>
      </c>
      <c r="L431" s="405"/>
      <c r="M431" s="421"/>
      <c r="N431" s="292"/>
      <c r="O431" s="373">
        <f>IF(SUM(TrialBalance!L220:L227)&gt;0,SUM(TrialBalance!L220:L227),0)</f>
        <v>0</v>
      </c>
      <c r="P431" s="295"/>
      <c r="Q431" s="442"/>
      <c r="R431" s="403" t="str">
        <f t="shared" si="7"/>
        <v>DELETE</v>
      </c>
      <c r="U431" s="383" t="str">
        <f>IF(O431=0,"TRUE",O431=-O1887)</f>
        <v>TRUE</v>
      </c>
      <c r="V431" s="383"/>
    </row>
    <row r="432" spans="2:24" ht="9" customHeight="1" x14ac:dyDescent="0.45">
      <c r="B432" s="441"/>
      <c r="K432" s="292"/>
      <c r="L432" s="405"/>
      <c r="M432" s="421"/>
      <c r="N432" s="292"/>
      <c r="O432" s="374"/>
      <c r="P432" s="295"/>
      <c r="Q432" s="442"/>
      <c r="R432" s="403" t="str">
        <f>R420</f>
        <v>DELETE</v>
      </c>
    </row>
    <row r="433" spans="2:24" ht="9" customHeight="1" x14ac:dyDescent="0.45">
      <c r="B433" s="441"/>
      <c r="K433" s="292"/>
      <c r="L433" s="405"/>
      <c r="M433" s="421"/>
      <c r="N433" s="292"/>
      <c r="O433" s="347"/>
      <c r="P433" s="295"/>
      <c r="Q433" s="442"/>
      <c r="R433" s="403" t="str">
        <f>R420</f>
        <v>DELETE</v>
      </c>
    </row>
    <row r="434" spans="2:24" ht="31.5" customHeight="1" x14ac:dyDescent="0.45">
      <c r="B434" s="441"/>
      <c r="K434" s="292"/>
      <c r="L434" s="405"/>
      <c r="M434" s="421"/>
      <c r="N434" s="292"/>
      <c r="O434" s="347"/>
      <c r="P434" s="295"/>
      <c r="Q434" s="442"/>
      <c r="R434" s="403" t="str">
        <f>R420</f>
        <v>DELETE</v>
      </c>
    </row>
    <row r="435" spans="2:24" ht="31.5" customHeight="1" x14ac:dyDescent="0.45">
      <c r="B435" s="441"/>
      <c r="D435" s="400" t="s">
        <v>14</v>
      </c>
      <c r="K435" s="292"/>
      <c r="L435" s="405"/>
      <c r="M435" s="421"/>
      <c r="N435" s="292"/>
      <c r="O435" s="347">
        <f>SUM(O438:O442)</f>
        <v>0</v>
      </c>
      <c r="P435" s="295"/>
      <c r="Q435" s="442"/>
      <c r="R435" s="403" t="str">
        <f>IF(O435=0,"DELETE"," ")</f>
        <v>DELETE</v>
      </c>
      <c r="S435" s="380">
        <f>O435</f>
        <v>0</v>
      </c>
      <c r="T435" s="380"/>
      <c r="U435" s="380"/>
      <c r="V435" s="380"/>
    </row>
    <row r="436" spans="2:24" ht="9" customHeight="1" x14ac:dyDescent="0.45">
      <c r="B436" s="441"/>
      <c r="K436" s="292"/>
      <c r="L436" s="405"/>
      <c r="M436" s="421"/>
      <c r="N436" s="292"/>
      <c r="O436" s="347"/>
      <c r="P436" s="295"/>
      <c r="Q436" s="442"/>
      <c r="R436" s="403" t="str">
        <f>R435</f>
        <v>DELETE</v>
      </c>
    </row>
    <row r="437" spans="2:24" ht="9" customHeight="1" x14ac:dyDescent="0.45">
      <c r="B437" s="441"/>
      <c r="K437" s="292"/>
      <c r="L437" s="405"/>
      <c r="M437" s="421"/>
      <c r="N437" s="292"/>
      <c r="O437" s="372"/>
      <c r="P437" s="295"/>
      <c r="Q437" s="442"/>
      <c r="R437" s="403" t="str">
        <f>R435</f>
        <v>DELETE</v>
      </c>
    </row>
    <row r="438" spans="2:24" ht="31.5" customHeight="1" x14ac:dyDescent="0.45">
      <c r="B438" s="441"/>
      <c r="D438" s="400" t="s">
        <v>914</v>
      </c>
      <c r="K438" s="292">
        <f>B1605</f>
        <v>16</v>
      </c>
      <c r="L438" s="405"/>
      <c r="M438" s="421"/>
      <c r="N438" s="292"/>
      <c r="O438" s="373">
        <f>SUM(TrialBalance!L354:L357)</f>
        <v>0</v>
      </c>
      <c r="P438" s="295"/>
      <c r="Q438" s="442"/>
      <c r="R438" s="403" t="str">
        <f t="shared" ref="R438:R441" si="8">IF(O438=0,"DELETE"," ")</f>
        <v>DELETE</v>
      </c>
      <c r="U438" s="383" t="b">
        <f>O438=O1613</f>
        <v>1</v>
      </c>
      <c r="V438" s="383"/>
      <c r="X438" s="383"/>
    </row>
    <row r="439" spans="2:24" ht="31.5" customHeight="1" x14ac:dyDescent="0.45">
      <c r="B439" s="441"/>
      <c r="D439" s="400" t="s">
        <v>724</v>
      </c>
      <c r="K439" s="292">
        <f>B1630</f>
        <v>17</v>
      </c>
      <c r="L439" s="405"/>
      <c r="M439" s="421"/>
      <c r="N439" s="292"/>
      <c r="O439" s="373">
        <f>SUM(TrialBalance!L359:L364)+IF(TrialBalance!L398&gt;0,TrialBalance!L398,0)</f>
        <v>0</v>
      </c>
      <c r="P439" s="295"/>
      <c r="Q439" s="442"/>
      <c r="R439" s="403" t="str">
        <f t="shared" si="8"/>
        <v>DELETE</v>
      </c>
      <c r="U439" s="383" t="b">
        <f>O439=O1643</f>
        <v>1</v>
      </c>
      <c r="V439" s="383"/>
    </row>
    <row r="440" spans="2:24" ht="31.5" customHeight="1" x14ac:dyDescent="0.45">
      <c r="B440" s="441"/>
      <c r="D440" s="400" t="s">
        <v>687</v>
      </c>
      <c r="K440" s="292">
        <f>B1661</f>
        <v>18</v>
      </c>
      <c r="L440" s="405"/>
      <c r="M440" s="421"/>
      <c r="N440" s="292"/>
      <c r="O440" s="373">
        <f>TrialBalance!L372+IF(TrialBalance!L366&gt;0,TrialBalance!L366,0)+IF(TrialBalance!L367&gt;0,TrialBalance!L367,0)+IF(TrialBalance!L368&gt;0,TrialBalance!L368,0)+IF(TrialBalance!L369&gt;0,TrialBalance!L369,0)+IF(TrialBalance!L370&gt;0,TrialBalance!L370,0)+IF(TrialBalance!L371&gt;0,TrialBalance!L371,0)</f>
        <v>0</v>
      </c>
      <c r="P440" s="295"/>
      <c r="Q440" s="442"/>
      <c r="R440" s="403" t="str">
        <f t="shared" si="8"/>
        <v>DELETE</v>
      </c>
      <c r="U440" s="383" t="b">
        <f>O440=O1671</f>
        <v>1</v>
      </c>
      <c r="V440" s="383"/>
    </row>
    <row r="441" spans="2:24" ht="31.5" customHeight="1" x14ac:dyDescent="0.45">
      <c r="B441" s="441"/>
      <c r="D441" s="400" t="s">
        <v>657</v>
      </c>
      <c r="K441" s="292">
        <f>B2009</f>
        <v>29</v>
      </c>
      <c r="L441" s="405"/>
      <c r="M441" s="421"/>
      <c r="N441" s="292"/>
      <c r="O441" s="373">
        <f>IF(SUM(TrialBalance!L385:L391)&gt;0,SUM(TrialBalance!L385:L391),0)</f>
        <v>0</v>
      </c>
      <c r="P441" s="295"/>
      <c r="Q441" s="442"/>
      <c r="R441" s="403" t="str">
        <f t="shared" si="8"/>
        <v>DELETE</v>
      </c>
      <c r="U441" s="383" t="str">
        <f>IF(O441=0,"TRUE",O441=-O2019)</f>
        <v>TRUE</v>
      </c>
      <c r="V441" s="383"/>
    </row>
    <row r="442" spans="2:24" ht="9" customHeight="1" x14ac:dyDescent="0.45">
      <c r="B442" s="441"/>
      <c r="K442" s="292"/>
      <c r="L442" s="405"/>
      <c r="M442" s="421"/>
      <c r="N442" s="292"/>
      <c r="O442" s="374"/>
      <c r="P442" s="295"/>
      <c r="Q442" s="442"/>
      <c r="R442" s="403" t="str">
        <f>R435</f>
        <v>DELETE</v>
      </c>
    </row>
    <row r="443" spans="2:24" ht="9" customHeight="1" x14ac:dyDescent="0.45">
      <c r="B443" s="441"/>
      <c r="K443" s="292"/>
      <c r="L443" s="405"/>
      <c r="M443" s="421"/>
      <c r="N443" s="292"/>
      <c r="O443" s="347"/>
      <c r="P443" s="295"/>
      <c r="Q443" s="442"/>
      <c r="R443" s="403" t="str">
        <f>R435</f>
        <v>DELETE</v>
      </c>
    </row>
    <row r="444" spans="2:24" ht="31.5" customHeight="1" x14ac:dyDescent="0.45">
      <c r="B444" s="441"/>
      <c r="K444" s="292"/>
      <c r="L444" s="405"/>
      <c r="M444" s="421"/>
      <c r="N444" s="292"/>
      <c r="O444" s="347"/>
      <c r="P444" s="295"/>
      <c r="Q444" s="442"/>
      <c r="R444" s="403" t="str">
        <f>R435</f>
        <v>DELETE</v>
      </c>
    </row>
    <row r="445" spans="2:24" ht="9" customHeight="1" x14ac:dyDescent="0.45">
      <c r="B445" s="441"/>
      <c r="K445" s="292"/>
      <c r="L445" s="405"/>
      <c r="M445" s="421"/>
      <c r="N445" s="292"/>
      <c r="O445" s="349"/>
      <c r="P445" s="295"/>
      <c r="Q445" s="442"/>
    </row>
    <row r="446" spans="2:24" ht="9" customHeight="1" x14ac:dyDescent="0.45">
      <c r="B446" s="441"/>
      <c r="K446" s="292"/>
      <c r="L446" s="405"/>
      <c r="M446" s="421"/>
      <c r="N446" s="292"/>
      <c r="O446" s="347"/>
      <c r="P446" s="295"/>
      <c r="Q446" s="442"/>
    </row>
    <row r="447" spans="2:24" ht="31.5" customHeight="1" x14ac:dyDescent="0.45">
      <c r="B447" s="441"/>
      <c r="D447" s="400" t="s">
        <v>106</v>
      </c>
      <c r="K447" s="292"/>
      <c r="L447" s="405"/>
      <c r="M447" s="421"/>
      <c r="N447" s="292"/>
      <c r="O447" s="347">
        <f>SUM(S420:S445)</f>
        <v>0</v>
      </c>
      <c r="P447" s="295"/>
      <c r="Q447" s="442"/>
      <c r="U447" s="384" t="b">
        <f>O447=O486</f>
        <v>1</v>
      </c>
      <c r="V447" s="384"/>
    </row>
    <row r="448" spans="2:24" ht="9" customHeight="1" thickBot="1" x14ac:dyDescent="0.5">
      <c r="B448" s="441"/>
      <c r="K448" s="292"/>
      <c r="L448" s="405"/>
      <c r="M448" s="421"/>
      <c r="N448" s="292"/>
      <c r="O448" s="351"/>
      <c r="P448" s="295"/>
      <c r="Q448" s="442"/>
    </row>
    <row r="449" spans="2:22" ht="9" customHeight="1" thickTop="1" x14ac:dyDescent="0.45">
      <c r="B449" s="441"/>
      <c r="K449" s="292"/>
      <c r="L449" s="405"/>
      <c r="M449" s="421"/>
      <c r="N449" s="292"/>
      <c r="O449" s="347"/>
      <c r="P449" s="295"/>
      <c r="Q449" s="442"/>
    </row>
    <row r="450" spans="2:22" ht="31.5" customHeight="1" x14ac:dyDescent="0.45">
      <c r="B450" s="441"/>
      <c r="K450" s="292"/>
      <c r="L450" s="405"/>
      <c r="M450" s="421"/>
      <c r="N450" s="292"/>
      <c r="O450" s="347"/>
      <c r="P450" s="295"/>
      <c r="Q450" s="442"/>
    </row>
    <row r="451" spans="2:22" ht="31.5" customHeight="1" x14ac:dyDescent="0.45">
      <c r="B451" s="441"/>
      <c r="C451" s="417" t="s">
        <v>107</v>
      </c>
      <c r="K451" s="292"/>
      <c r="L451" s="405"/>
      <c r="M451" s="421"/>
      <c r="N451" s="292"/>
      <c r="O451" s="347"/>
      <c r="P451" s="295"/>
      <c r="Q451" s="442"/>
    </row>
    <row r="452" spans="2:22" ht="31.5" customHeight="1" x14ac:dyDescent="0.45">
      <c r="B452" s="441"/>
      <c r="C452" s="417"/>
      <c r="K452" s="292"/>
      <c r="L452" s="405"/>
      <c r="M452" s="421"/>
      <c r="N452" s="292"/>
      <c r="O452" s="347"/>
      <c r="P452" s="295"/>
      <c r="Q452" s="442"/>
    </row>
    <row r="453" spans="2:22" ht="31.5" customHeight="1" x14ac:dyDescent="0.45">
      <c r="B453" s="441"/>
      <c r="D453" s="400" t="s">
        <v>108</v>
      </c>
      <c r="K453" s="292"/>
      <c r="L453" s="405"/>
      <c r="M453" s="421"/>
      <c r="N453" s="292"/>
      <c r="O453" s="347">
        <f>SUM(O456:O459)</f>
        <v>0</v>
      </c>
      <c r="P453" s="295"/>
      <c r="Q453" s="442"/>
      <c r="S453" s="380">
        <f>O453</f>
        <v>0</v>
      </c>
      <c r="T453" s="380"/>
      <c r="U453" s="380"/>
      <c r="V453" s="380"/>
    </row>
    <row r="454" spans="2:22" ht="9" customHeight="1" x14ac:dyDescent="0.45">
      <c r="B454" s="441"/>
      <c r="K454" s="292"/>
      <c r="L454" s="405"/>
      <c r="M454" s="421"/>
      <c r="N454" s="292"/>
      <c r="O454" s="347"/>
      <c r="P454" s="295"/>
      <c r="Q454" s="442"/>
    </row>
    <row r="455" spans="2:22" ht="9" customHeight="1" x14ac:dyDescent="0.45">
      <c r="B455" s="441"/>
      <c r="K455" s="292"/>
      <c r="L455" s="405"/>
      <c r="M455" s="421"/>
      <c r="N455" s="292"/>
      <c r="O455" s="372"/>
      <c r="P455" s="295"/>
      <c r="Q455" s="442"/>
    </row>
    <row r="456" spans="2:22" ht="33" customHeight="1" x14ac:dyDescent="0.45">
      <c r="B456" s="441"/>
      <c r="D456" s="400" t="s">
        <v>550</v>
      </c>
      <c r="K456" s="292">
        <f>B1688</f>
        <v>19</v>
      </c>
      <c r="L456" s="405"/>
      <c r="M456" s="421"/>
      <c r="N456" s="292"/>
      <c r="O456" s="373">
        <f>-SUM(TrialBalance!L169:L170)</f>
        <v>0</v>
      </c>
      <c r="P456" s="295"/>
      <c r="Q456" s="442"/>
      <c r="U456" s="383" t="b">
        <f>O1694=O456</f>
        <v>1</v>
      </c>
      <c r="V456" s="383"/>
    </row>
    <row r="457" spans="2:22" ht="31.5" customHeight="1" x14ac:dyDescent="0.45">
      <c r="B457" s="441"/>
      <c r="D457" s="400" t="s">
        <v>551</v>
      </c>
      <c r="K457" s="292">
        <f>B1710</f>
        <v>20</v>
      </c>
      <c r="L457" s="405"/>
      <c r="M457" s="421"/>
      <c r="N457" s="292"/>
      <c r="O457" s="373">
        <f>-SUM(TrialBalance!L172:L174)</f>
        <v>0</v>
      </c>
      <c r="P457" s="295"/>
      <c r="Q457" s="442"/>
      <c r="R457" s="403" t="str">
        <f t="shared" ref="R457:R458" si="9">IF(O457=0,"DELETE"," ")</f>
        <v>DELETE</v>
      </c>
      <c r="U457" s="383" t="b">
        <f>O457=O1716</f>
        <v>1</v>
      </c>
      <c r="V457" s="383"/>
    </row>
    <row r="458" spans="2:22" ht="31.5" customHeight="1" x14ac:dyDescent="0.45">
      <c r="B458" s="441"/>
      <c r="D458" s="400" t="s">
        <v>15</v>
      </c>
      <c r="K458" s="292">
        <f>B1733</f>
        <v>21</v>
      </c>
      <c r="L458" s="405"/>
      <c r="M458" s="421"/>
      <c r="N458" s="292"/>
      <c r="O458" s="373">
        <f>-SUM(TrialBalance!L176:L178)-SUM(TrialBalance!L180:L182)</f>
        <v>0</v>
      </c>
      <c r="P458" s="295"/>
      <c r="Q458" s="442"/>
      <c r="R458" s="403" t="str">
        <f t="shared" si="9"/>
        <v>DELETE</v>
      </c>
      <c r="U458" s="383" t="b">
        <f>O458=O1751</f>
        <v>1</v>
      </c>
      <c r="V458" s="383"/>
    </row>
    <row r="459" spans="2:22" ht="31.5" customHeight="1" x14ac:dyDescent="0.45">
      <c r="B459" s="441"/>
      <c r="D459" s="297" t="str">
        <f>IF(O459&lt;0,"Accumulated loss","Retained income")</f>
        <v>Retained income</v>
      </c>
      <c r="K459" s="292"/>
      <c r="L459" s="405"/>
      <c r="M459" s="421"/>
      <c r="N459" s="292"/>
      <c r="O459" s="376">
        <f>-TrialBalance!L183-SUM(TrialBalance!L5:L165)</f>
        <v>0</v>
      </c>
      <c r="P459" s="295"/>
      <c r="Q459" s="442"/>
      <c r="U459" s="383" t="b">
        <f>O459=O541</f>
        <v>1</v>
      </c>
      <c r="V459" s="383"/>
    </row>
    <row r="460" spans="2:22" ht="9" customHeight="1" x14ac:dyDescent="0.45">
      <c r="B460" s="441"/>
      <c r="K460" s="292"/>
      <c r="L460" s="405"/>
      <c r="M460" s="421"/>
      <c r="N460" s="292"/>
      <c r="O460" s="374"/>
      <c r="P460" s="295"/>
      <c r="Q460" s="442"/>
    </row>
    <row r="461" spans="2:22" ht="9" customHeight="1" x14ac:dyDescent="0.45">
      <c r="B461" s="441"/>
      <c r="K461" s="292"/>
      <c r="L461" s="405"/>
      <c r="M461" s="421"/>
      <c r="N461" s="292"/>
      <c r="O461" s="347"/>
      <c r="P461" s="295"/>
      <c r="Q461" s="442"/>
    </row>
    <row r="462" spans="2:22" ht="31.5" customHeight="1" x14ac:dyDescent="0.45">
      <c r="B462" s="441"/>
      <c r="K462" s="292"/>
      <c r="L462" s="405"/>
      <c r="M462" s="421"/>
      <c r="N462" s="292"/>
      <c r="O462" s="347"/>
      <c r="P462" s="295"/>
      <c r="Q462" s="442"/>
      <c r="U462" s="383">
        <f>O459-O541</f>
        <v>0</v>
      </c>
    </row>
    <row r="463" spans="2:22" ht="31.5" customHeight="1" x14ac:dyDescent="0.45">
      <c r="B463" s="441"/>
      <c r="D463" s="400" t="s">
        <v>109</v>
      </c>
      <c r="K463" s="292"/>
      <c r="L463" s="405"/>
      <c r="M463" s="421"/>
      <c r="N463" s="292"/>
      <c r="O463" s="347">
        <f>SUM(O466:O469)</f>
        <v>0</v>
      </c>
      <c r="P463" s="295"/>
      <c r="Q463" s="442"/>
      <c r="R463" s="403" t="str">
        <f t="shared" ref="R463" si="10">IF(O463=0,"DELETE"," ")</f>
        <v>DELETE</v>
      </c>
      <c r="S463" s="380">
        <f>O463</f>
        <v>0</v>
      </c>
      <c r="T463" s="380"/>
      <c r="U463" s="380"/>
      <c r="V463" s="380"/>
    </row>
    <row r="464" spans="2:22" ht="9" customHeight="1" x14ac:dyDescent="0.45">
      <c r="B464" s="441"/>
      <c r="K464" s="292"/>
      <c r="L464" s="405"/>
      <c r="M464" s="421"/>
      <c r="N464" s="292"/>
      <c r="O464" s="347"/>
      <c r="P464" s="295"/>
      <c r="Q464" s="442"/>
      <c r="R464" s="403" t="str">
        <f>R463</f>
        <v>DELETE</v>
      </c>
    </row>
    <row r="465" spans="2:22" ht="9" customHeight="1" x14ac:dyDescent="0.45">
      <c r="B465" s="441"/>
      <c r="K465" s="292"/>
      <c r="L465" s="405"/>
      <c r="M465" s="421"/>
      <c r="N465" s="292"/>
      <c r="O465" s="372"/>
      <c r="P465" s="295"/>
      <c r="Q465" s="442"/>
      <c r="R465" s="403" t="str">
        <f>R463</f>
        <v>DELETE</v>
      </c>
    </row>
    <row r="466" spans="2:22" ht="31.5" customHeight="1" x14ac:dyDescent="0.45">
      <c r="B466" s="441"/>
      <c r="D466" s="400" t="str">
        <f>IF(COUNTIF(TrialBalance!L185:L199,"&lt;0")&gt;1,"Interest bearing borrowings","Interest bearing borrowing")</f>
        <v>Interest bearing borrowing</v>
      </c>
      <c r="K466" s="292">
        <f>B1768</f>
        <v>22</v>
      </c>
      <c r="L466" s="405"/>
      <c r="M466" s="421"/>
      <c r="N466" s="292"/>
      <c r="O466" s="373">
        <f>-SUM(TrialBalance!L185:L200)</f>
        <v>0</v>
      </c>
      <c r="P466" s="295"/>
      <c r="Q466" s="442"/>
      <c r="R466" s="403" t="str">
        <f t="shared" ref="R466:R468" si="11">IF(O466=0,"DELETE"," ")</f>
        <v>DELETE</v>
      </c>
      <c r="U466" s="378" t="b">
        <f>O466=O1790</f>
        <v>1</v>
      </c>
    </row>
    <row r="467" spans="2:22" ht="31.5" customHeight="1" x14ac:dyDescent="0.45">
      <c r="B467" s="441"/>
      <c r="D467" s="400" t="str">
        <f>IF(COUNTIF(TrialBalance!L202:L218,"&lt;0")&gt;1,"Interest free borrowings","Interest free borrowing")</f>
        <v>Interest free borrowing</v>
      </c>
      <c r="K467" s="292">
        <f>B1807</f>
        <v>23</v>
      </c>
      <c r="L467" s="405"/>
      <c r="M467" s="421"/>
      <c r="N467" s="292"/>
      <c r="O467" s="373">
        <f>-SUM(TrialBalance!L202:L218)</f>
        <v>0</v>
      </c>
      <c r="P467" s="295"/>
      <c r="Q467" s="442"/>
      <c r="R467" s="403" t="str">
        <f t="shared" si="11"/>
        <v>DELETE</v>
      </c>
      <c r="U467" s="378" t="b">
        <f>O467=O1827</f>
        <v>1</v>
      </c>
    </row>
    <row r="468" spans="2:22" ht="31.5" customHeight="1" x14ac:dyDescent="0.45">
      <c r="B468" s="441"/>
      <c r="D468" s="400" t="s">
        <v>552</v>
      </c>
      <c r="K468" s="292">
        <f>B1845</f>
        <v>24</v>
      </c>
      <c r="L468" s="405"/>
      <c r="M468" s="421"/>
      <c r="N468" s="292"/>
      <c r="O468" s="373">
        <f>IF(SUM(TrialBalance!L220:L227)&gt;0,0,-SUM(TrialBalance!L220:L227))</f>
        <v>0</v>
      </c>
      <c r="P468" s="295"/>
      <c r="Q468" s="442"/>
      <c r="R468" s="403" t="str">
        <f t="shared" si="11"/>
        <v>DELETE</v>
      </c>
      <c r="U468" s="383" t="str">
        <f>IF(O468=0,"TRUE",O468=O1887)</f>
        <v>TRUE</v>
      </c>
      <c r="V468" s="383"/>
    </row>
    <row r="469" spans="2:22" ht="9" customHeight="1" x14ac:dyDescent="0.45">
      <c r="B469" s="441"/>
      <c r="K469" s="292"/>
      <c r="L469" s="405"/>
      <c r="M469" s="421"/>
      <c r="N469" s="292"/>
      <c r="O469" s="374"/>
      <c r="P469" s="295"/>
      <c r="Q469" s="442"/>
      <c r="R469" s="403" t="str">
        <f>R463</f>
        <v>DELETE</v>
      </c>
    </row>
    <row r="470" spans="2:22" ht="9" customHeight="1" x14ac:dyDescent="0.45">
      <c r="B470" s="441"/>
      <c r="K470" s="292"/>
      <c r="L470" s="405"/>
      <c r="M470" s="421"/>
      <c r="N470" s="292"/>
      <c r="O470" s="347"/>
      <c r="P470" s="295"/>
      <c r="Q470" s="442"/>
      <c r="R470" s="403" t="str">
        <f>R463</f>
        <v>DELETE</v>
      </c>
    </row>
    <row r="471" spans="2:22" ht="31.5" customHeight="1" x14ac:dyDescent="0.45">
      <c r="B471" s="441"/>
      <c r="K471" s="292"/>
      <c r="L471" s="405"/>
      <c r="M471" s="421"/>
      <c r="N471" s="292"/>
      <c r="O471" s="347"/>
      <c r="P471" s="295"/>
      <c r="Q471" s="442"/>
      <c r="R471" s="403" t="str">
        <f>R463</f>
        <v>DELETE</v>
      </c>
    </row>
    <row r="472" spans="2:22" ht="31.5" customHeight="1" x14ac:dyDescent="0.45">
      <c r="B472" s="441"/>
      <c r="D472" s="400" t="s">
        <v>110</v>
      </c>
      <c r="K472" s="292"/>
      <c r="L472" s="405"/>
      <c r="M472" s="421"/>
      <c r="N472" s="292"/>
      <c r="O472" s="347">
        <f>SUM(O475:O480)</f>
        <v>0</v>
      </c>
      <c r="P472" s="295"/>
      <c r="Q472" s="442"/>
      <c r="R472" s="403" t="str">
        <f t="shared" ref="R472" si="12">IF(O472=0,"DELETE"," ")</f>
        <v>DELETE</v>
      </c>
      <c r="S472" s="380">
        <f>O472</f>
        <v>0</v>
      </c>
      <c r="T472" s="380"/>
      <c r="U472" s="380"/>
      <c r="V472" s="380"/>
    </row>
    <row r="473" spans="2:22" ht="9" customHeight="1" x14ac:dyDescent="0.45">
      <c r="B473" s="441"/>
      <c r="K473" s="292"/>
      <c r="L473" s="405"/>
      <c r="M473" s="421"/>
      <c r="N473" s="292"/>
      <c r="O473" s="347"/>
      <c r="P473" s="295"/>
      <c r="Q473" s="442"/>
      <c r="R473" s="403" t="str">
        <f>R472</f>
        <v>DELETE</v>
      </c>
    </row>
    <row r="474" spans="2:22" ht="9" customHeight="1" x14ac:dyDescent="0.45">
      <c r="B474" s="441"/>
      <c r="K474" s="292"/>
      <c r="L474" s="405"/>
      <c r="M474" s="421"/>
      <c r="N474" s="292"/>
      <c r="O474" s="372"/>
      <c r="P474" s="295"/>
      <c r="Q474" s="442"/>
      <c r="R474" s="403" t="str">
        <f>R472</f>
        <v>DELETE</v>
      </c>
    </row>
    <row r="475" spans="2:22" ht="31.5" customHeight="1" x14ac:dyDescent="0.45">
      <c r="B475" s="441"/>
      <c r="D475" s="400" t="s">
        <v>731</v>
      </c>
      <c r="K475" s="292">
        <f>B1909</f>
        <v>25</v>
      </c>
      <c r="L475" s="405"/>
      <c r="M475" s="421"/>
      <c r="N475" s="292"/>
      <c r="O475" s="373">
        <f>-SUM(TrialBalance!L378:L383)-IF(TrialBalance!L398&lt;0,TrialBalance!L398,0)</f>
        <v>0</v>
      </c>
      <c r="P475" s="295"/>
      <c r="Q475" s="442"/>
      <c r="R475" s="403" t="str">
        <f t="shared" ref="R475:R480" si="13">IF(O475=0,"DELETE"," ")</f>
        <v>DELETE</v>
      </c>
      <c r="U475" s="378" t="b">
        <f>O475=O1918</f>
        <v>1</v>
      </c>
    </row>
    <row r="476" spans="2:22" ht="31.5" customHeight="1" x14ac:dyDescent="0.45">
      <c r="B476" s="441"/>
      <c r="D476" s="400" t="str">
        <f>IF(COUNTIF(TrialBalance!L366:L371,"&lt;0")&gt;1,"Bank overdrafts","Bank overdraft")</f>
        <v>Bank overdraft</v>
      </c>
      <c r="K476" s="292">
        <f>B1935</f>
        <v>26</v>
      </c>
      <c r="L476" s="405"/>
      <c r="M476" s="421"/>
      <c r="N476" s="292"/>
      <c r="O476" s="373">
        <f>IF(TrialBalance!L366&lt;0,-TrialBalance!L366,0)+IF(TrialBalance!L367&lt;0,-TrialBalance!L367,0)+IF(TrialBalance!L368&lt;0,-TrialBalance!L368,0)+IF(TrialBalance!L369&lt;0,-TrialBalance!L369,0)+IF(TrialBalance!L370&lt;0,-TrialBalance!L370,0)+IF(TrialBalance!L371&lt;0,-TrialBalance!L371,0)</f>
        <v>0</v>
      </c>
      <c r="P476" s="295"/>
      <c r="Q476" s="442"/>
      <c r="R476" s="403" t="str">
        <f t="shared" si="13"/>
        <v>DELETE</v>
      </c>
      <c r="U476" s="378" t="b">
        <f>O476=O1944</f>
        <v>1</v>
      </c>
    </row>
    <row r="477" spans="2:22" ht="31.5" customHeight="1" x14ac:dyDescent="0.45">
      <c r="B477" s="441"/>
      <c r="D477" s="400" t="str">
        <f>IF(COUNTIF(TrialBalance!L374:L376,"&lt;0")&gt;1,"Short term loans","Short term loan")</f>
        <v>Short term loan</v>
      </c>
      <c r="K477" s="292">
        <f>B1961</f>
        <v>27</v>
      </c>
      <c r="L477" s="405"/>
      <c r="M477" s="421"/>
      <c r="N477" s="292"/>
      <c r="O477" s="373">
        <f>-SUM(TrialBalance!L374:L376)</f>
        <v>0</v>
      </c>
      <c r="P477" s="295"/>
      <c r="Q477" s="442"/>
      <c r="R477" s="403" t="str">
        <f t="shared" si="13"/>
        <v>DELETE</v>
      </c>
      <c r="U477" s="378" t="b">
        <f>O477=O1967</f>
        <v>1</v>
      </c>
    </row>
    <row r="478" spans="2:22" ht="31.5" customHeight="1" x14ac:dyDescent="0.45">
      <c r="B478" s="441"/>
      <c r="D478" s="400" t="str">
        <f>IF(COUNTIF(TrialBalance!L185:L199,"&lt;0")&gt;1,"Current portion of interest bearing borrowings","Current portion of interest bearing borrowing")</f>
        <v>Current portion of interest bearing borrowing</v>
      </c>
      <c r="K478" s="292">
        <f>B1768</f>
        <v>22</v>
      </c>
      <c r="L478" s="405"/>
      <c r="M478" s="421"/>
      <c r="N478" s="292"/>
      <c r="O478" s="373">
        <f>-TrialBalance!L377</f>
        <v>0</v>
      </c>
      <c r="P478" s="295"/>
      <c r="Q478" s="442"/>
      <c r="R478" s="403" t="str">
        <f t="shared" si="13"/>
        <v>DELETE</v>
      </c>
      <c r="U478" s="378" t="b">
        <f>O478=O1787</f>
        <v>1</v>
      </c>
    </row>
    <row r="479" spans="2:22" ht="31.5" customHeight="1" x14ac:dyDescent="0.45">
      <c r="B479" s="441"/>
      <c r="D479" s="400" t="str">
        <f>IF(COUNTIF(TrialBalance!L392:L396,"&lt;0")&gt;1,"Provisions","Provision")</f>
        <v>Provision</v>
      </c>
      <c r="K479" s="292">
        <f>B1984</f>
        <v>28</v>
      </c>
      <c r="L479" s="405"/>
      <c r="M479" s="421"/>
      <c r="N479" s="292"/>
      <c r="O479" s="373">
        <f>-SUM(TrialBalance!L392:L396)</f>
        <v>0</v>
      </c>
      <c r="P479" s="295"/>
      <c r="Q479" s="442"/>
      <c r="R479" s="403" t="str">
        <f t="shared" si="13"/>
        <v>DELETE</v>
      </c>
      <c r="U479" s="378" t="b">
        <f>O479=O1992</f>
        <v>1</v>
      </c>
    </row>
    <row r="480" spans="2:22" ht="31.5" customHeight="1" x14ac:dyDescent="0.45">
      <c r="B480" s="441"/>
      <c r="D480" s="400" t="s">
        <v>553</v>
      </c>
      <c r="K480" s="292">
        <f>B2009</f>
        <v>29</v>
      </c>
      <c r="L480" s="405"/>
      <c r="M480" s="421"/>
      <c r="N480" s="292"/>
      <c r="O480" s="373">
        <f>IF(-SUM(TrialBalance!L385:L391)&gt;0,-SUM(TrialBalance!L385:L391),0)</f>
        <v>0</v>
      </c>
      <c r="P480" s="295"/>
      <c r="Q480" s="442"/>
      <c r="R480" s="403" t="str">
        <f t="shared" si="13"/>
        <v>DELETE</v>
      </c>
      <c r="U480" s="383" t="str">
        <f>IF(O480=0,"TRUE",O480=O2019)</f>
        <v>TRUE</v>
      </c>
    </row>
    <row r="481" spans="2:18" ht="9" customHeight="1" x14ac:dyDescent="0.45">
      <c r="B481" s="441"/>
      <c r="K481" s="292"/>
      <c r="L481" s="405"/>
      <c r="M481" s="421"/>
      <c r="N481" s="292"/>
      <c r="O481" s="374"/>
      <c r="P481" s="295"/>
      <c r="Q481" s="442"/>
      <c r="R481" s="403" t="str">
        <f>R472</f>
        <v>DELETE</v>
      </c>
    </row>
    <row r="482" spans="2:18" ht="9" customHeight="1" x14ac:dyDescent="0.45">
      <c r="B482" s="441"/>
      <c r="K482" s="292"/>
      <c r="L482" s="405"/>
      <c r="M482" s="421"/>
      <c r="N482" s="292"/>
      <c r="O482" s="347"/>
      <c r="P482" s="295"/>
      <c r="Q482" s="442"/>
      <c r="R482" s="403" t="str">
        <f>R472</f>
        <v>DELETE</v>
      </c>
    </row>
    <row r="483" spans="2:18" ht="31.5" customHeight="1" x14ac:dyDescent="0.45">
      <c r="B483" s="441"/>
      <c r="K483" s="292"/>
      <c r="L483" s="405"/>
      <c r="M483" s="421"/>
      <c r="N483" s="292"/>
      <c r="O483" s="347"/>
      <c r="P483" s="295"/>
      <c r="Q483" s="442"/>
      <c r="R483" s="403" t="str">
        <f>R472</f>
        <v>DELETE</v>
      </c>
    </row>
    <row r="484" spans="2:18" ht="9" customHeight="1" x14ac:dyDescent="0.45">
      <c r="B484" s="441"/>
      <c r="K484" s="292"/>
      <c r="L484" s="405"/>
      <c r="M484" s="421"/>
      <c r="N484" s="292"/>
      <c r="O484" s="349"/>
      <c r="P484" s="295"/>
      <c r="Q484" s="442"/>
    </row>
    <row r="485" spans="2:18" ht="9" customHeight="1" x14ac:dyDescent="0.45">
      <c r="B485" s="441"/>
      <c r="K485" s="292"/>
      <c r="L485" s="405"/>
      <c r="M485" s="421"/>
      <c r="N485" s="292"/>
      <c r="O485" s="347"/>
      <c r="P485" s="295"/>
      <c r="Q485" s="442"/>
    </row>
    <row r="486" spans="2:18" ht="31.5" customHeight="1" x14ac:dyDescent="0.45">
      <c r="B486" s="441"/>
      <c r="D486" s="400" t="s">
        <v>111</v>
      </c>
      <c r="J486" s="449"/>
      <c r="K486" s="292"/>
      <c r="L486" s="405"/>
      <c r="M486" s="421"/>
      <c r="N486" s="292"/>
      <c r="O486" s="347">
        <f>SUM(S453:S483)</f>
        <v>0</v>
      </c>
      <c r="P486" s="295"/>
      <c r="Q486" s="442"/>
      <c r="R486" s="450"/>
    </row>
    <row r="487" spans="2:18" ht="9" customHeight="1" thickBot="1" x14ac:dyDescent="0.5">
      <c r="B487" s="441"/>
      <c r="J487" s="449"/>
      <c r="K487" s="292"/>
      <c r="L487" s="405"/>
      <c r="M487" s="421"/>
      <c r="N487" s="292"/>
      <c r="O487" s="351"/>
      <c r="P487" s="295"/>
      <c r="Q487" s="442"/>
    </row>
    <row r="488" spans="2:18" ht="9" customHeight="1" thickTop="1" x14ac:dyDescent="0.45">
      <c r="B488" s="441"/>
      <c r="J488" s="449"/>
      <c r="K488" s="292"/>
      <c r="L488" s="405"/>
      <c r="M488" s="421"/>
      <c r="N488" s="292"/>
      <c r="O488" s="347"/>
      <c r="P488" s="295"/>
      <c r="Q488" s="442"/>
    </row>
    <row r="489" spans="2:18" ht="31.5" customHeight="1" x14ac:dyDescent="0.45">
      <c r="B489" s="441"/>
      <c r="J489" s="449"/>
      <c r="K489" s="292"/>
      <c r="L489" s="405"/>
      <c r="M489" s="421"/>
      <c r="N489" s="292"/>
      <c r="O489" s="347"/>
      <c r="P489" s="295"/>
      <c r="Q489" s="442"/>
    </row>
    <row r="490" spans="2:18" ht="31.5" customHeight="1" x14ac:dyDescent="0.45">
      <c r="B490" s="445"/>
      <c r="C490" s="429"/>
      <c r="D490" s="429"/>
      <c r="E490" s="429"/>
      <c r="F490" s="429"/>
      <c r="G490" s="429"/>
      <c r="H490" s="429"/>
      <c r="I490" s="429"/>
      <c r="J490" s="451"/>
      <c r="K490" s="429"/>
      <c r="L490" s="429"/>
      <c r="M490" s="432"/>
      <c r="N490" s="433"/>
      <c r="O490" s="432"/>
      <c r="P490" s="433"/>
      <c r="Q490" s="446"/>
    </row>
    <row r="491" spans="2:18" ht="31.5" customHeight="1" x14ac:dyDescent="0.45"/>
    <row r="492" spans="2:18" ht="31.5" customHeight="1" x14ac:dyDescent="0.45"/>
    <row r="493" spans="2:18" ht="31.5" customHeight="1" x14ac:dyDescent="0.45">
      <c r="D493" s="417" t="str">
        <f>Criteria!E9</f>
        <v>HOLDING COMPANY 268 (PROPRIETARY) LIMITED</v>
      </c>
      <c r="O493" s="346" t="s">
        <v>96</v>
      </c>
      <c r="Q493" s="292">
        <f>MAX($Q$114:Q492)+1</f>
        <v>7</v>
      </c>
    </row>
    <row r="494" spans="2:18" ht="31.5" customHeight="1" x14ac:dyDescent="0.45">
      <c r="D494" s="417" t="str">
        <f>Criteria!E10</f>
        <v>CONSOLIDATED FINANCIAL STATEMENTS</v>
      </c>
      <c r="R494" s="403" t="str">
        <f>IF(D494=0,"DELETE"," ")</f>
        <v xml:space="preserve"> </v>
      </c>
    </row>
    <row r="495" spans="2:18" ht="31.5" customHeight="1" x14ac:dyDescent="0.45"/>
    <row r="496" spans="2:18" ht="31.5" customHeight="1" x14ac:dyDescent="0.45">
      <c r="D496" s="417" t="s">
        <v>1167</v>
      </c>
    </row>
    <row r="497" spans="2:21" ht="31.5" customHeight="1" x14ac:dyDescent="0.45">
      <c r="D497" s="417" t="str">
        <f>Criteria!E20</f>
        <v>29 FEBRUARY 2024</v>
      </c>
    </row>
    <row r="498" spans="2:21" ht="31.5" customHeight="1" x14ac:dyDescent="0.45">
      <c r="K498" s="429"/>
      <c r="L498" s="429"/>
      <c r="M498" s="432"/>
      <c r="N498" s="433"/>
      <c r="O498" s="432"/>
    </row>
    <row r="499" spans="2:21" ht="31.5" customHeight="1" x14ac:dyDescent="0.45">
      <c r="B499" s="438"/>
      <c r="C499" s="439"/>
      <c r="D499" s="439"/>
      <c r="E499" s="439"/>
      <c r="F499" s="439"/>
      <c r="G499" s="439"/>
      <c r="H499" s="439"/>
      <c r="I499" s="439"/>
      <c r="J499" s="439"/>
      <c r="K499" s="292"/>
      <c r="L499" s="292"/>
      <c r="M499" s="344"/>
      <c r="N499" s="294"/>
      <c r="O499" s="344"/>
      <c r="P499" s="303"/>
      <c r="Q499" s="440"/>
    </row>
    <row r="500" spans="2:21" ht="31.5" customHeight="1" x14ac:dyDescent="0.45">
      <c r="B500" s="441"/>
      <c r="K500" s="292"/>
      <c r="L500" s="405"/>
      <c r="M500" s="421"/>
      <c r="N500" s="292"/>
      <c r="O500" s="344">
        <f>Criteria!E22</f>
        <v>2024</v>
      </c>
      <c r="P500" s="294"/>
      <c r="Q500" s="442"/>
    </row>
    <row r="501" spans="2:21" ht="31.5" customHeight="1" x14ac:dyDescent="0.45">
      <c r="B501" s="441"/>
      <c r="K501" s="292"/>
      <c r="L501" s="405"/>
      <c r="M501" s="421"/>
      <c r="N501" s="292"/>
      <c r="O501" s="346"/>
      <c r="P501" s="295"/>
      <c r="Q501" s="442"/>
    </row>
    <row r="502" spans="2:21" ht="31.5" customHeight="1" x14ac:dyDescent="0.45">
      <c r="B502" s="308">
        <v>1</v>
      </c>
      <c r="C502" s="417" t="s">
        <v>493</v>
      </c>
      <c r="L502" s="405"/>
      <c r="M502" s="421"/>
      <c r="N502" s="400"/>
      <c r="O502" s="357"/>
      <c r="P502" s="295"/>
      <c r="Q502" s="442"/>
    </row>
    <row r="503" spans="2:21" ht="31.5" customHeight="1" x14ac:dyDescent="0.45">
      <c r="B503" s="308"/>
      <c r="L503" s="405"/>
      <c r="M503" s="421"/>
      <c r="N503" s="400"/>
      <c r="O503" s="357"/>
      <c r="P503" s="295"/>
      <c r="Q503" s="442"/>
    </row>
    <row r="504" spans="2:21" ht="31.5" customHeight="1" x14ac:dyDescent="0.45">
      <c r="B504" s="308"/>
      <c r="D504" s="400" t="s">
        <v>495</v>
      </c>
      <c r="L504" s="405"/>
      <c r="M504" s="421"/>
      <c r="N504" s="400"/>
      <c r="O504" s="358">
        <f>-TrialBalance!L169</f>
        <v>0</v>
      </c>
      <c r="P504" s="295"/>
      <c r="Q504" s="442"/>
    </row>
    <row r="505" spans="2:21" ht="31.5" customHeight="1" x14ac:dyDescent="0.45">
      <c r="B505" s="308"/>
      <c r="D505" s="400" t="s">
        <v>496</v>
      </c>
      <c r="L505" s="405"/>
      <c r="M505" s="421"/>
      <c r="N505" s="400"/>
      <c r="O505" s="358">
        <f>-TrialBalance!L170</f>
        <v>0</v>
      </c>
      <c r="P505" s="295"/>
      <c r="Q505" s="442"/>
    </row>
    <row r="506" spans="2:21" ht="9" customHeight="1" x14ac:dyDescent="0.45">
      <c r="B506" s="308"/>
      <c r="L506" s="405"/>
      <c r="M506" s="421"/>
      <c r="N506" s="400"/>
      <c r="O506" s="359"/>
      <c r="P506" s="295"/>
      <c r="Q506" s="442"/>
    </row>
    <row r="507" spans="2:21" ht="9" customHeight="1" x14ac:dyDescent="0.45">
      <c r="B507" s="308"/>
      <c r="L507" s="405"/>
      <c r="M507" s="421"/>
      <c r="N507" s="400"/>
      <c r="O507" s="358"/>
      <c r="P507" s="295"/>
      <c r="Q507" s="442"/>
    </row>
    <row r="508" spans="2:21" ht="31.5" customHeight="1" x14ac:dyDescent="0.45">
      <c r="B508" s="308"/>
      <c r="D508" s="400" t="s">
        <v>497</v>
      </c>
      <c r="L508" s="405"/>
      <c r="M508" s="421"/>
      <c r="N508" s="400"/>
      <c r="O508" s="347">
        <f>SUM(O504:O507)</f>
        <v>0</v>
      </c>
      <c r="P508" s="295"/>
      <c r="Q508" s="442"/>
      <c r="U508" s="378" t="b">
        <f>O508=O1694</f>
        <v>1</v>
      </c>
    </row>
    <row r="509" spans="2:21" ht="9" customHeight="1" thickBot="1" x14ac:dyDescent="0.5">
      <c r="B509" s="308"/>
      <c r="L509" s="405"/>
      <c r="M509" s="421"/>
      <c r="N509" s="400"/>
      <c r="O509" s="360"/>
      <c r="P509" s="295"/>
      <c r="Q509" s="442"/>
    </row>
    <row r="510" spans="2:21" ht="9" customHeight="1" thickTop="1" x14ac:dyDescent="0.45">
      <c r="B510" s="308"/>
      <c r="L510" s="405"/>
      <c r="M510" s="421"/>
      <c r="N510" s="400"/>
      <c r="O510" s="361"/>
      <c r="P510" s="295"/>
      <c r="Q510" s="442"/>
    </row>
    <row r="511" spans="2:21" ht="31.5" customHeight="1" x14ac:dyDescent="0.45">
      <c r="B511" s="308"/>
      <c r="L511" s="405"/>
      <c r="M511" s="421"/>
      <c r="N511" s="400"/>
      <c r="O511" s="358"/>
      <c r="P511" s="295"/>
      <c r="Q511" s="442"/>
      <c r="R511" s="403" t="str">
        <f>R512</f>
        <v>DELETE</v>
      </c>
    </row>
    <row r="512" spans="2:21" ht="31.5" customHeight="1" x14ac:dyDescent="0.45">
      <c r="B512" s="308">
        <f>MAX(B$502:B511)+1</f>
        <v>2</v>
      </c>
      <c r="C512" s="417" t="s">
        <v>498</v>
      </c>
      <c r="L512" s="405"/>
      <c r="M512" s="421"/>
      <c r="N512" s="400"/>
      <c r="O512" s="358"/>
      <c r="P512" s="295"/>
      <c r="Q512" s="442"/>
      <c r="R512" s="403" t="str">
        <f>R519</f>
        <v>DELETE</v>
      </c>
    </row>
    <row r="513" spans="2:21" ht="31.5" customHeight="1" x14ac:dyDescent="0.45">
      <c r="B513" s="308"/>
      <c r="L513" s="405"/>
      <c r="M513" s="421"/>
      <c r="N513" s="400"/>
      <c r="O513" s="358"/>
      <c r="P513" s="295"/>
      <c r="Q513" s="442"/>
      <c r="R513" s="403" t="str">
        <f>R519</f>
        <v>DELETE</v>
      </c>
    </row>
    <row r="514" spans="2:21" ht="31.5" customHeight="1" x14ac:dyDescent="0.45">
      <c r="B514" s="308"/>
      <c r="D514" s="400" t="s">
        <v>1205</v>
      </c>
      <c r="L514" s="405"/>
      <c r="M514" s="421"/>
      <c r="N514" s="400"/>
      <c r="O514" s="358">
        <f>-TrialBalance!L172</f>
        <v>0</v>
      </c>
      <c r="P514" s="295"/>
      <c r="Q514" s="442"/>
      <c r="R514" s="403" t="str">
        <f>R519</f>
        <v>DELETE</v>
      </c>
    </row>
    <row r="515" spans="2:21" ht="31.5" customHeight="1" x14ac:dyDescent="0.45">
      <c r="B515" s="308"/>
      <c r="D515" s="400" t="s">
        <v>500</v>
      </c>
      <c r="L515" s="405"/>
      <c r="M515" s="421"/>
      <c r="N515" s="400"/>
      <c r="O515" s="358">
        <f>-TrialBalance!L173</f>
        <v>0</v>
      </c>
      <c r="P515" s="295"/>
      <c r="Q515" s="442"/>
      <c r="R515" s="403" t="str">
        <f t="shared" ref="R515:R516" si="14">IF(O515=0,"DELETE"," ")</f>
        <v>DELETE</v>
      </c>
    </row>
    <row r="516" spans="2:21" ht="31.5" customHeight="1" x14ac:dyDescent="0.45">
      <c r="B516" s="308"/>
      <c r="D516" s="400" t="s">
        <v>501</v>
      </c>
      <c r="L516" s="405"/>
      <c r="M516" s="421"/>
      <c r="N516" s="400"/>
      <c r="O516" s="358">
        <f>-TrialBalance!L174</f>
        <v>0</v>
      </c>
      <c r="P516" s="295"/>
      <c r="Q516" s="442"/>
      <c r="R516" s="403" t="str">
        <f t="shared" si="14"/>
        <v>DELETE</v>
      </c>
    </row>
    <row r="517" spans="2:21" ht="9" customHeight="1" x14ac:dyDescent="0.45">
      <c r="B517" s="308"/>
      <c r="L517" s="405"/>
      <c r="M517" s="421"/>
      <c r="N517" s="400"/>
      <c r="O517" s="359"/>
      <c r="P517" s="295"/>
      <c r="Q517" s="442"/>
      <c r="R517" s="403" t="str">
        <f>R519</f>
        <v>DELETE</v>
      </c>
    </row>
    <row r="518" spans="2:21" ht="9" customHeight="1" x14ac:dyDescent="0.45">
      <c r="B518" s="308"/>
      <c r="L518" s="405"/>
      <c r="M518" s="421"/>
      <c r="N518" s="400"/>
      <c r="O518" s="358"/>
      <c r="P518" s="295"/>
      <c r="Q518" s="442"/>
      <c r="R518" s="403" t="str">
        <f>R519</f>
        <v>DELETE</v>
      </c>
    </row>
    <row r="519" spans="2:21" ht="31.5" customHeight="1" x14ac:dyDescent="0.45">
      <c r="B519" s="308"/>
      <c r="D519" s="400" t="s">
        <v>502</v>
      </c>
      <c r="L519" s="405"/>
      <c r="M519" s="421"/>
      <c r="N519" s="400"/>
      <c r="O519" s="347">
        <f>SUM(O514:O517)</f>
        <v>0</v>
      </c>
      <c r="P519" s="295"/>
      <c r="Q519" s="442"/>
      <c r="R519" s="403" t="str">
        <f>IF(COUNTIF(O514:O516,"&gt;0")&gt;0," ","DELETE")</f>
        <v>DELETE</v>
      </c>
      <c r="U519" s="378" t="b">
        <f>O519=O1716</f>
        <v>1</v>
      </c>
    </row>
    <row r="520" spans="2:21" ht="9" customHeight="1" thickBot="1" x14ac:dyDescent="0.5">
      <c r="B520" s="308"/>
      <c r="L520" s="405"/>
      <c r="M520" s="421"/>
      <c r="N520" s="400"/>
      <c r="O520" s="360"/>
      <c r="P520" s="295"/>
      <c r="Q520" s="442"/>
      <c r="R520" s="403" t="str">
        <f>R519</f>
        <v>DELETE</v>
      </c>
    </row>
    <row r="521" spans="2:21" ht="9" customHeight="1" thickTop="1" x14ac:dyDescent="0.45">
      <c r="B521" s="308"/>
      <c r="L521" s="405"/>
      <c r="M521" s="421"/>
      <c r="N521" s="400"/>
      <c r="O521" s="361"/>
      <c r="P521" s="295"/>
      <c r="Q521" s="442"/>
      <c r="R521" s="403" t="str">
        <f>R520</f>
        <v>DELETE</v>
      </c>
    </row>
    <row r="522" spans="2:21" ht="31.5" customHeight="1" x14ac:dyDescent="0.45">
      <c r="B522" s="308"/>
      <c r="L522" s="405"/>
      <c r="M522" s="421"/>
      <c r="N522" s="400"/>
      <c r="O522" s="358"/>
      <c r="P522" s="295"/>
      <c r="Q522" s="442"/>
      <c r="R522" s="403" t="str">
        <f>R520</f>
        <v>DELETE</v>
      </c>
    </row>
    <row r="523" spans="2:21" ht="31.5" customHeight="1" x14ac:dyDescent="0.45">
      <c r="B523" s="308">
        <f>MAX(B$502:B522)+1</f>
        <v>3</v>
      </c>
      <c r="C523" s="417" t="s">
        <v>117</v>
      </c>
      <c r="L523" s="405"/>
      <c r="M523" s="421"/>
      <c r="N523" s="400"/>
      <c r="O523" s="358"/>
      <c r="P523" s="295"/>
      <c r="Q523" s="442"/>
      <c r="R523" s="403" t="str">
        <f>R$530</f>
        <v>DELETE</v>
      </c>
    </row>
    <row r="524" spans="2:21" ht="31.5" customHeight="1" x14ac:dyDescent="0.45">
      <c r="B524" s="308"/>
      <c r="L524" s="405"/>
      <c r="M524" s="421"/>
      <c r="N524" s="400"/>
      <c r="O524" s="358"/>
      <c r="P524" s="295"/>
      <c r="Q524" s="442"/>
      <c r="R524" s="403" t="str">
        <f>R$530</f>
        <v>DELETE</v>
      </c>
    </row>
    <row r="525" spans="2:21" ht="31.5" customHeight="1" x14ac:dyDescent="0.45">
      <c r="B525" s="308"/>
      <c r="D525" s="400" t="s">
        <v>118</v>
      </c>
      <c r="L525" s="405"/>
      <c r="M525" s="421"/>
      <c r="N525" s="400"/>
      <c r="O525" s="358">
        <f>-TrialBalance!L176-TrialBalance!L180</f>
        <v>0</v>
      </c>
      <c r="P525" s="295"/>
      <c r="Q525" s="442"/>
      <c r="R525" s="403" t="str">
        <f>R$530</f>
        <v>DELETE</v>
      </c>
    </row>
    <row r="526" spans="2:21" ht="31.5" customHeight="1" x14ac:dyDescent="0.45">
      <c r="B526" s="308"/>
      <c r="D526" s="400" t="s">
        <v>720</v>
      </c>
      <c r="L526" s="405"/>
      <c r="M526" s="421"/>
      <c r="N526" s="400"/>
      <c r="O526" s="358">
        <f>-TrialBalance!L177-TrialBalance!L181</f>
        <v>0</v>
      </c>
      <c r="P526" s="295"/>
      <c r="Q526" s="442"/>
      <c r="R526" s="403" t="str">
        <f>IF(O526=0,"DELETE"," ")</f>
        <v>DELETE</v>
      </c>
    </row>
    <row r="527" spans="2:21" ht="31.5" customHeight="1" x14ac:dyDescent="0.45">
      <c r="B527" s="308"/>
      <c r="D527" s="400" t="s">
        <v>721</v>
      </c>
      <c r="L527" s="405"/>
      <c r="M527" s="421"/>
      <c r="N527" s="400"/>
      <c r="O527" s="347">
        <f>-TrialBalance!L178-TrialBalance!L182</f>
        <v>0</v>
      </c>
      <c r="P527" s="295"/>
      <c r="Q527" s="442"/>
      <c r="R527" s="403" t="str">
        <f>IF(O527=0,"DELETE"," ")</f>
        <v>DELETE</v>
      </c>
    </row>
    <row r="528" spans="2:21" ht="9" customHeight="1" x14ac:dyDescent="0.45">
      <c r="B528" s="308"/>
      <c r="L528" s="405"/>
      <c r="M528" s="421"/>
      <c r="N528" s="400"/>
      <c r="O528" s="359"/>
      <c r="P528" s="295"/>
      <c r="Q528" s="442"/>
      <c r="R528" s="403" t="str">
        <f>R$530</f>
        <v>DELETE</v>
      </c>
    </row>
    <row r="529" spans="2:23" ht="9" customHeight="1" x14ac:dyDescent="0.45">
      <c r="B529" s="308"/>
      <c r="L529" s="405"/>
      <c r="M529" s="421"/>
      <c r="N529" s="400"/>
      <c r="O529" s="358"/>
      <c r="P529" s="295"/>
      <c r="Q529" s="442"/>
      <c r="R529" s="403" t="str">
        <f>R$530</f>
        <v>DELETE</v>
      </c>
    </row>
    <row r="530" spans="2:23" ht="31.5" customHeight="1" x14ac:dyDescent="0.45">
      <c r="B530" s="308"/>
      <c r="D530" s="400" t="s">
        <v>503</v>
      </c>
      <c r="L530" s="405"/>
      <c r="M530" s="421"/>
      <c r="N530" s="400"/>
      <c r="O530" s="347">
        <f>SUM(O525:O528)</f>
        <v>0</v>
      </c>
      <c r="P530" s="295"/>
      <c r="Q530" s="442"/>
      <c r="R530" s="403" t="str">
        <f>IF(COUNTIF(O525:O527,"&gt;0")&gt;0," ","DELETE")</f>
        <v>DELETE</v>
      </c>
      <c r="U530" s="378" t="b">
        <f>O530=O1751</f>
        <v>1</v>
      </c>
    </row>
    <row r="531" spans="2:23" ht="9" customHeight="1" thickBot="1" x14ac:dyDescent="0.5">
      <c r="B531" s="308"/>
      <c r="L531" s="405"/>
      <c r="M531" s="421"/>
      <c r="N531" s="400"/>
      <c r="O531" s="360"/>
      <c r="P531" s="295"/>
      <c r="Q531" s="442"/>
      <c r="R531" s="403" t="str">
        <f>R$530</f>
        <v>DELETE</v>
      </c>
    </row>
    <row r="532" spans="2:23" ht="9" customHeight="1" thickTop="1" x14ac:dyDescent="0.45">
      <c r="B532" s="308"/>
      <c r="L532" s="405"/>
      <c r="M532" s="421"/>
      <c r="N532" s="400"/>
      <c r="O532" s="358"/>
      <c r="P532" s="295"/>
      <c r="Q532" s="442"/>
      <c r="R532" s="403" t="str">
        <f>R$530</f>
        <v>DELETE</v>
      </c>
    </row>
    <row r="533" spans="2:23" ht="31.5" customHeight="1" x14ac:dyDescent="0.45">
      <c r="B533" s="308"/>
      <c r="L533" s="405"/>
      <c r="M533" s="421"/>
      <c r="N533" s="400"/>
      <c r="O533" s="358"/>
      <c r="P533" s="295"/>
      <c r="Q533" s="442"/>
    </row>
    <row r="534" spans="2:23" ht="31.5" customHeight="1" x14ac:dyDescent="0.45">
      <c r="B534" s="308">
        <f>MAX(B$502:B533)+1</f>
        <v>4</v>
      </c>
      <c r="C534" s="315" t="str">
        <f>IF(W534=2,"RETAINED INCOME","ACCUMULATED LOSS")</f>
        <v>RETAINED INCOME</v>
      </c>
      <c r="L534" s="405"/>
      <c r="M534" s="421"/>
      <c r="N534" s="400"/>
      <c r="O534" s="358"/>
      <c r="P534" s="295"/>
      <c r="Q534" s="442"/>
      <c r="W534" s="378">
        <f>IF(O534&lt;0,1,2)</f>
        <v>2</v>
      </c>
    </row>
    <row r="535" spans="2:23" ht="31.5" customHeight="1" x14ac:dyDescent="0.45">
      <c r="B535" s="308"/>
      <c r="L535" s="405"/>
      <c r="M535" s="421"/>
      <c r="N535" s="400"/>
      <c r="O535" s="358"/>
      <c r="P535" s="295"/>
      <c r="Q535" s="442"/>
    </row>
    <row r="536" spans="2:23" ht="31.5" customHeight="1" x14ac:dyDescent="0.45">
      <c r="B536" s="308"/>
      <c r="D536" s="400" t="s">
        <v>118</v>
      </c>
      <c r="L536" s="405"/>
      <c r="M536" s="421"/>
      <c r="N536" s="400"/>
      <c r="O536" s="358">
        <f>-TrialBalance!L183</f>
        <v>0</v>
      </c>
      <c r="P536" s="295"/>
      <c r="Q536" s="442"/>
      <c r="S536" s="380"/>
      <c r="T536" s="380"/>
    </row>
    <row r="537" spans="2:23" ht="31.5" customHeight="1" x14ac:dyDescent="0.45">
      <c r="B537" s="308"/>
      <c r="D537" s="297" t="str">
        <f>IF(W537=2,"Net profit for the year after taxation","Net loss for the year after taxation")</f>
        <v>Net profit for the year after taxation</v>
      </c>
      <c r="L537" s="405"/>
      <c r="M537" s="421"/>
      <c r="N537" s="400"/>
      <c r="O537" s="347">
        <f>O385</f>
        <v>0</v>
      </c>
      <c r="P537" s="295"/>
      <c r="Q537" s="442"/>
      <c r="S537" s="380"/>
      <c r="T537" s="380"/>
      <c r="W537" s="378">
        <f>IF(O537&lt;0,1,2)</f>
        <v>2</v>
      </c>
    </row>
    <row r="538" spans="2:23" ht="31.5" customHeight="1" x14ac:dyDescent="0.45">
      <c r="B538" s="308"/>
      <c r="D538" s="400" t="s">
        <v>690</v>
      </c>
      <c r="L538" s="405"/>
      <c r="M538" s="421"/>
      <c r="N538" s="400"/>
      <c r="O538" s="347">
        <f>-SUM(TrialBalance!L163:L164)</f>
        <v>0</v>
      </c>
      <c r="P538" s="295"/>
      <c r="Q538" s="442"/>
      <c r="R538" s="403" t="str">
        <f t="shared" ref="R538" si="15">IF(O538=0,"DELETE"," ")</f>
        <v>DELETE</v>
      </c>
      <c r="S538" s="380"/>
      <c r="T538" s="380"/>
    </row>
    <row r="539" spans="2:23" ht="9" customHeight="1" x14ac:dyDescent="0.45">
      <c r="B539" s="308"/>
      <c r="L539" s="405"/>
      <c r="M539" s="421"/>
      <c r="N539" s="400"/>
      <c r="O539" s="359"/>
      <c r="P539" s="295"/>
      <c r="Q539" s="442"/>
    </row>
    <row r="540" spans="2:23" ht="9" customHeight="1" x14ac:dyDescent="0.45">
      <c r="B540" s="308"/>
      <c r="L540" s="405"/>
      <c r="M540" s="421"/>
      <c r="N540" s="400"/>
      <c r="O540" s="358"/>
      <c r="P540" s="295"/>
      <c r="Q540" s="442"/>
    </row>
    <row r="541" spans="2:23" ht="31.5" customHeight="1" x14ac:dyDescent="0.45">
      <c r="B541" s="308"/>
      <c r="D541" s="400" t="s">
        <v>503</v>
      </c>
      <c r="L541" s="405"/>
      <c r="M541" s="421"/>
      <c r="N541" s="400"/>
      <c r="O541" s="347">
        <f>SUM(O536:O539)</f>
        <v>0</v>
      </c>
      <c r="P541" s="295"/>
      <c r="Q541" s="442"/>
    </row>
    <row r="542" spans="2:23" ht="9" customHeight="1" thickBot="1" x14ac:dyDescent="0.5">
      <c r="B542" s="308"/>
      <c r="L542" s="405"/>
      <c r="M542" s="421"/>
      <c r="N542" s="400"/>
      <c r="O542" s="360"/>
      <c r="P542" s="295"/>
      <c r="Q542" s="442"/>
    </row>
    <row r="543" spans="2:23" ht="9" customHeight="1" thickTop="1" x14ac:dyDescent="0.45">
      <c r="B543" s="308"/>
      <c r="L543" s="405"/>
      <c r="M543" s="421"/>
      <c r="N543" s="400"/>
      <c r="O543" s="358"/>
      <c r="P543" s="295"/>
      <c r="Q543" s="442"/>
    </row>
    <row r="544" spans="2:23" ht="31.5" customHeight="1" x14ac:dyDescent="0.45">
      <c r="B544" s="308"/>
      <c r="L544" s="405"/>
      <c r="M544" s="421"/>
      <c r="N544" s="400"/>
      <c r="O544" s="358"/>
      <c r="P544" s="295"/>
      <c r="Q544" s="442"/>
    </row>
    <row r="545" spans="2:18" ht="31.5" customHeight="1" x14ac:dyDescent="0.45">
      <c r="B545" s="308"/>
      <c r="L545" s="405"/>
      <c r="M545" s="421"/>
      <c r="N545" s="400"/>
      <c r="O545" s="358"/>
      <c r="P545" s="295"/>
      <c r="Q545" s="442"/>
    </row>
    <row r="546" spans="2:18" ht="31.5" customHeight="1" x14ac:dyDescent="0.45">
      <c r="B546" s="308"/>
      <c r="L546" s="405"/>
      <c r="M546" s="421"/>
      <c r="N546" s="400"/>
      <c r="O546" s="358"/>
      <c r="P546" s="295"/>
      <c r="Q546" s="442"/>
    </row>
    <row r="547" spans="2:18" ht="31.5" customHeight="1" x14ac:dyDescent="0.45">
      <c r="B547" s="308"/>
      <c r="L547" s="405"/>
      <c r="M547" s="421"/>
      <c r="N547" s="400"/>
      <c r="O547" s="358"/>
      <c r="P547" s="295"/>
      <c r="Q547" s="442"/>
    </row>
    <row r="548" spans="2:18" ht="31.5" customHeight="1" x14ac:dyDescent="0.45">
      <c r="B548" s="308"/>
      <c r="L548" s="405"/>
      <c r="M548" s="421"/>
      <c r="N548" s="400"/>
      <c r="O548" s="358"/>
      <c r="P548" s="295"/>
      <c r="Q548" s="442"/>
    </row>
    <row r="549" spans="2:18" ht="31.5" customHeight="1" x14ac:dyDescent="0.45">
      <c r="B549" s="445"/>
      <c r="C549" s="429"/>
      <c r="D549" s="429"/>
      <c r="E549" s="429"/>
      <c r="F549" s="429"/>
      <c r="G549" s="429"/>
      <c r="H549" s="429"/>
      <c r="I549" s="429"/>
      <c r="J549" s="429"/>
      <c r="K549" s="306"/>
      <c r="L549" s="306"/>
      <c r="M549" s="352"/>
      <c r="N549" s="307"/>
      <c r="O549" s="352"/>
      <c r="P549" s="307"/>
      <c r="Q549" s="446"/>
    </row>
    <row r="550" spans="2:18" ht="31.5" customHeight="1" x14ac:dyDescent="0.45">
      <c r="C550" s="422"/>
    </row>
    <row r="551" spans="2:18" ht="31.5" customHeight="1" x14ac:dyDescent="0.45">
      <c r="C551" s="422"/>
    </row>
    <row r="552" spans="2:18" ht="31.5" customHeight="1" x14ac:dyDescent="0.45">
      <c r="C552" s="422"/>
      <c r="D552" s="417" t="str">
        <f>Criteria!E9</f>
        <v>HOLDING COMPANY 268 (PROPRIETARY) LIMITED</v>
      </c>
      <c r="O552" s="346" t="s">
        <v>96</v>
      </c>
      <c r="Q552" s="292">
        <f>MAX($Q$114:Q551)+1</f>
        <v>8</v>
      </c>
    </row>
    <row r="553" spans="2:18" ht="31.5" customHeight="1" x14ac:dyDescent="0.45">
      <c r="C553" s="422"/>
      <c r="D553" s="417" t="str">
        <f>Criteria!E10</f>
        <v>CONSOLIDATED FINANCIAL STATEMENTS</v>
      </c>
      <c r="R553" s="403" t="str">
        <f>IF(D553=0,"DELETE"," ")</f>
        <v xml:space="preserve"> </v>
      </c>
    </row>
    <row r="554" spans="2:18" ht="31.5" customHeight="1" x14ac:dyDescent="0.45">
      <c r="C554" s="422"/>
    </row>
    <row r="555" spans="2:18" ht="31.5" customHeight="1" x14ac:dyDescent="0.45">
      <c r="C555" s="422"/>
      <c r="D555" s="417" t="s">
        <v>377</v>
      </c>
    </row>
    <row r="556" spans="2:18" ht="31.5" customHeight="1" x14ac:dyDescent="0.45">
      <c r="C556" s="422"/>
      <c r="D556" s="417" t="str">
        <f>Criteria!E20</f>
        <v>29 FEBRUARY 2024</v>
      </c>
    </row>
    <row r="557" spans="2:18" ht="31.5" customHeight="1" x14ac:dyDescent="0.45">
      <c r="C557" s="422"/>
    </row>
    <row r="558" spans="2:18" ht="31.5" customHeight="1" x14ac:dyDescent="0.45">
      <c r="B558" s="438"/>
      <c r="C558" s="452"/>
      <c r="D558" s="439"/>
      <c r="E558" s="439"/>
      <c r="F558" s="439"/>
      <c r="G558" s="439"/>
      <c r="H558" s="439"/>
      <c r="I558" s="439"/>
      <c r="J558" s="439"/>
      <c r="K558" s="439"/>
      <c r="L558" s="439"/>
      <c r="M558" s="447"/>
      <c r="N558" s="448"/>
      <c r="O558" s="447"/>
      <c r="P558" s="448"/>
      <c r="Q558" s="440"/>
    </row>
    <row r="559" spans="2:18" ht="31.5" customHeight="1" x14ac:dyDescent="0.45">
      <c r="B559" s="323">
        <v>1</v>
      </c>
      <c r="C559" s="417" t="s">
        <v>1010</v>
      </c>
      <c r="Q559" s="442"/>
    </row>
    <row r="560" spans="2:18" ht="31.5" customHeight="1" x14ac:dyDescent="0.45">
      <c r="B560" s="323"/>
      <c r="C560" s="453"/>
      <c r="D560" s="400" t="s">
        <v>1169</v>
      </c>
      <c r="Q560" s="442"/>
    </row>
    <row r="561" spans="2:17" ht="31.5" customHeight="1" x14ac:dyDescent="0.45">
      <c r="B561" s="323"/>
      <c r="C561" s="453"/>
      <c r="D561" s="400" t="s">
        <v>1168</v>
      </c>
      <c r="Q561" s="442"/>
    </row>
    <row r="562" spans="2:17" ht="31.5" customHeight="1" x14ac:dyDescent="0.45">
      <c r="B562" s="323"/>
      <c r="C562" s="453"/>
      <c r="D562" s="400" t="s">
        <v>1181</v>
      </c>
      <c r="Q562" s="442"/>
    </row>
    <row r="563" spans="2:17" ht="31.5" customHeight="1" x14ac:dyDescent="0.45">
      <c r="B563" s="323"/>
      <c r="C563" s="453"/>
      <c r="Q563" s="442"/>
    </row>
    <row r="564" spans="2:17" ht="31.5" customHeight="1" x14ac:dyDescent="0.45">
      <c r="B564" s="323"/>
      <c r="C564" s="422">
        <f>B559+0.1</f>
        <v>1.1000000000000001</v>
      </c>
      <c r="D564" s="417" t="s">
        <v>927</v>
      </c>
      <c r="Q564" s="442"/>
    </row>
    <row r="565" spans="2:17" ht="31.5" customHeight="1" x14ac:dyDescent="0.45">
      <c r="B565" s="323"/>
      <c r="C565" s="422"/>
      <c r="D565" s="400" t="s">
        <v>1170</v>
      </c>
      <c r="Q565" s="442"/>
    </row>
    <row r="566" spans="2:17" ht="31.5" customHeight="1" x14ac:dyDescent="0.45">
      <c r="B566" s="323"/>
      <c r="C566" s="453"/>
      <c r="D566" s="400" t="str">
        <f>CONCATENATE("its wholly-owned ",IF(Criteria!E15=0,"subsidiary.","subsidiaries.")," All intragroup transactions, balances, income and expenses are")</f>
        <v>its wholly-owned subsidiaries. All intragroup transactions, balances, income and expenses are</v>
      </c>
      <c r="Q566" s="442"/>
    </row>
    <row r="567" spans="2:17" ht="31.5" customHeight="1" x14ac:dyDescent="0.45">
      <c r="B567" s="323"/>
      <c r="C567" s="453"/>
      <c r="D567" s="400" t="s">
        <v>928</v>
      </c>
      <c r="Q567" s="442"/>
    </row>
    <row r="568" spans="2:17" ht="31.5" customHeight="1" x14ac:dyDescent="0.45">
      <c r="B568" s="323"/>
      <c r="C568" s="453"/>
      <c r="Q568" s="442"/>
    </row>
    <row r="569" spans="2:17" ht="31.5" customHeight="1" x14ac:dyDescent="0.45">
      <c r="B569" s="323"/>
      <c r="C569" s="422">
        <f>MAX(C$559:C568)+0.1</f>
        <v>1.2000000000000002</v>
      </c>
      <c r="D569" s="417" t="s">
        <v>48</v>
      </c>
      <c r="Q569" s="442"/>
    </row>
    <row r="570" spans="2:17" ht="31.5" customHeight="1" x14ac:dyDescent="0.45">
      <c r="B570" s="323"/>
      <c r="C570" s="422"/>
      <c r="D570" s="400" t="s">
        <v>929</v>
      </c>
      <c r="Q570" s="442"/>
    </row>
    <row r="571" spans="2:17" ht="31.5" customHeight="1" x14ac:dyDescent="0.45">
      <c r="B571" s="323"/>
      <c r="C571" s="422"/>
      <c r="D571" s="400" t="s">
        <v>930</v>
      </c>
      <c r="Q571" s="442"/>
    </row>
    <row r="572" spans="2:17" ht="31.5" customHeight="1" x14ac:dyDescent="0.45">
      <c r="B572" s="323"/>
      <c r="C572" s="422"/>
      <c r="D572" s="400" t="s">
        <v>1007</v>
      </c>
      <c r="Q572" s="442"/>
    </row>
    <row r="573" spans="2:17" ht="31.5" customHeight="1" x14ac:dyDescent="0.45">
      <c r="B573" s="323"/>
      <c r="C573" s="422"/>
      <c r="D573" s="454" t="s">
        <v>907</v>
      </c>
      <c r="Q573" s="442"/>
    </row>
    <row r="574" spans="2:17" ht="31.5" customHeight="1" x14ac:dyDescent="0.45">
      <c r="B574" s="323"/>
      <c r="C574" s="422"/>
      <c r="D574" s="400" t="s">
        <v>931</v>
      </c>
      <c r="Q574" s="442"/>
    </row>
    <row r="575" spans="2:17" ht="31.5" customHeight="1" x14ac:dyDescent="0.45">
      <c r="B575" s="323"/>
      <c r="C575" s="422"/>
      <c r="D575" s="400" t="s">
        <v>932</v>
      </c>
      <c r="Q575" s="442"/>
    </row>
    <row r="576" spans="2:17" ht="31.5" customHeight="1" x14ac:dyDescent="0.45">
      <c r="B576" s="323"/>
      <c r="C576" s="422"/>
      <c r="D576" s="454" t="s">
        <v>908</v>
      </c>
      <c r="Q576" s="442"/>
    </row>
    <row r="577" spans="2:17" ht="31.5" customHeight="1" x14ac:dyDescent="0.45">
      <c r="B577" s="323"/>
      <c r="C577" s="422"/>
      <c r="D577" s="400" t="s">
        <v>933</v>
      </c>
      <c r="Q577" s="442"/>
    </row>
    <row r="578" spans="2:17" ht="31.5" customHeight="1" x14ac:dyDescent="0.45">
      <c r="B578" s="323"/>
      <c r="C578" s="422"/>
      <c r="D578" s="400" t="s">
        <v>934</v>
      </c>
      <c r="Q578" s="442"/>
    </row>
    <row r="579" spans="2:17" ht="31.5" customHeight="1" x14ac:dyDescent="0.45">
      <c r="B579" s="323"/>
      <c r="C579" s="422"/>
      <c r="D579" s="400" t="s">
        <v>935</v>
      </c>
      <c r="Q579" s="442"/>
    </row>
    <row r="580" spans="2:17" ht="31.5" customHeight="1" x14ac:dyDescent="0.45">
      <c r="B580" s="323"/>
      <c r="C580" s="422"/>
      <c r="Q580" s="442"/>
    </row>
    <row r="581" spans="2:17" ht="31.5" customHeight="1" x14ac:dyDescent="0.45">
      <c r="B581" s="323"/>
      <c r="C581" s="422">
        <f>MAX(C$559:C580)+0.1</f>
        <v>1.3000000000000003</v>
      </c>
      <c r="D581" s="417" t="s">
        <v>116</v>
      </c>
      <c r="Q581" s="442"/>
    </row>
    <row r="582" spans="2:17" ht="31.5" customHeight="1" x14ac:dyDescent="0.45">
      <c r="B582" s="323"/>
      <c r="C582" s="422"/>
      <c r="D582" s="454" t="s">
        <v>936</v>
      </c>
      <c r="Q582" s="442"/>
    </row>
    <row r="583" spans="2:17" ht="31.5" customHeight="1" x14ac:dyDescent="0.45">
      <c r="B583" s="323"/>
      <c r="C583" s="422"/>
      <c r="D583" s="400" t="s">
        <v>937</v>
      </c>
      <c r="Q583" s="442"/>
    </row>
    <row r="584" spans="2:17" ht="31.5" customHeight="1" x14ac:dyDescent="0.45">
      <c r="B584" s="323"/>
      <c r="C584" s="422"/>
      <c r="D584" s="400" t="s">
        <v>938</v>
      </c>
      <c r="Q584" s="442"/>
    </row>
    <row r="585" spans="2:17" ht="31.5" customHeight="1" x14ac:dyDescent="0.45">
      <c r="B585" s="323"/>
      <c r="C585" s="422"/>
      <c r="D585" s="400" t="s">
        <v>939</v>
      </c>
      <c r="Q585" s="442"/>
    </row>
    <row r="586" spans="2:17" ht="31.5" customHeight="1" x14ac:dyDescent="0.45">
      <c r="B586" s="323"/>
      <c r="C586" s="422"/>
      <c r="D586" s="400" t="s">
        <v>940</v>
      </c>
      <c r="Q586" s="442"/>
    </row>
    <row r="587" spans="2:17" ht="31.5" customHeight="1" x14ac:dyDescent="0.45">
      <c r="B587" s="323"/>
      <c r="C587" s="422"/>
      <c r="D587" s="454" t="s">
        <v>941</v>
      </c>
      <c r="Q587" s="442"/>
    </row>
    <row r="588" spans="2:17" ht="31.5" customHeight="1" x14ac:dyDescent="0.45">
      <c r="B588" s="323"/>
      <c r="C588" s="422"/>
      <c r="D588" s="400" t="s">
        <v>942</v>
      </c>
      <c r="Q588" s="442"/>
    </row>
    <row r="589" spans="2:17" ht="31.5" customHeight="1" x14ac:dyDescent="0.45">
      <c r="B589" s="323"/>
      <c r="C589" s="422"/>
      <c r="D589" s="400" t="s">
        <v>1171</v>
      </c>
      <c r="Q589" s="442"/>
    </row>
    <row r="590" spans="2:17" ht="31.5" customHeight="1" x14ac:dyDescent="0.45">
      <c r="B590" s="323"/>
      <c r="C590" s="422"/>
      <c r="D590" s="400" t="s">
        <v>1173</v>
      </c>
      <c r="Q590" s="442"/>
    </row>
    <row r="591" spans="2:17" ht="31.5" customHeight="1" x14ac:dyDescent="0.45">
      <c r="B591" s="323"/>
      <c r="C591" s="453"/>
      <c r="D591" s="400" t="s">
        <v>1172</v>
      </c>
      <c r="Q591" s="442"/>
    </row>
    <row r="592" spans="2:17" ht="31.5" customHeight="1" x14ac:dyDescent="0.45">
      <c r="B592" s="323"/>
      <c r="C592" s="453"/>
      <c r="D592" s="400" t="s">
        <v>943</v>
      </c>
      <c r="Q592" s="442"/>
    </row>
    <row r="593" spans="2:17" ht="31.5" customHeight="1" x14ac:dyDescent="0.45">
      <c r="B593" s="323"/>
      <c r="C593" s="453"/>
      <c r="D593" s="400" t="s">
        <v>944</v>
      </c>
      <c r="Q593" s="442"/>
    </row>
    <row r="594" spans="2:17" ht="31.5" customHeight="1" x14ac:dyDescent="0.45">
      <c r="B594" s="323"/>
      <c r="C594" s="453"/>
      <c r="D594" s="400" t="s">
        <v>945</v>
      </c>
      <c r="Q594" s="442"/>
    </row>
    <row r="595" spans="2:17" ht="31.5" customHeight="1" x14ac:dyDescent="0.45">
      <c r="B595" s="323"/>
      <c r="C595" s="453"/>
      <c r="D595" s="454" t="s">
        <v>946</v>
      </c>
      <c r="Q595" s="442"/>
    </row>
    <row r="596" spans="2:17" ht="31.5" customHeight="1" x14ac:dyDescent="0.45">
      <c r="B596" s="323"/>
      <c r="C596" s="453"/>
      <c r="D596" s="400" t="s">
        <v>947</v>
      </c>
      <c r="Q596" s="442"/>
    </row>
    <row r="597" spans="2:17" ht="31.5" customHeight="1" x14ac:dyDescent="0.45">
      <c r="B597" s="323"/>
      <c r="C597" s="453"/>
      <c r="D597" s="400" t="s">
        <v>948</v>
      </c>
      <c r="Q597" s="442"/>
    </row>
    <row r="598" spans="2:17" ht="31.5" customHeight="1" x14ac:dyDescent="0.45">
      <c r="B598" s="323"/>
      <c r="C598" s="453"/>
      <c r="Q598" s="442"/>
    </row>
    <row r="599" spans="2:17" ht="31.5" customHeight="1" x14ac:dyDescent="0.45">
      <c r="B599" s="323"/>
      <c r="Q599" s="442"/>
    </row>
    <row r="600" spans="2:17" ht="31.5" customHeight="1" x14ac:dyDescent="0.45">
      <c r="B600" s="323"/>
      <c r="Q600" s="442"/>
    </row>
    <row r="601" spans="2:17" ht="31.5" customHeight="1" x14ac:dyDescent="0.45">
      <c r="B601" s="323"/>
      <c r="C601" s="453"/>
      <c r="Q601" s="442"/>
    </row>
    <row r="602" spans="2:17" ht="31.5" customHeight="1" x14ac:dyDescent="0.45">
      <c r="B602" s="323"/>
      <c r="C602" s="453"/>
      <c r="Q602" s="442"/>
    </row>
    <row r="603" spans="2:17" ht="31.5" customHeight="1" x14ac:dyDescent="0.45">
      <c r="B603" s="323"/>
      <c r="C603" s="453"/>
      <c r="Q603" s="442"/>
    </row>
    <row r="604" spans="2:17" ht="31.5" customHeight="1" x14ac:dyDescent="0.45">
      <c r="B604" s="323"/>
      <c r="C604" s="453"/>
      <c r="Q604" s="442"/>
    </row>
    <row r="605" spans="2:17" ht="31.5" customHeight="1" x14ac:dyDescent="0.45">
      <c r="B605" s="445"/>
      <c r="C605" s="429"/>
      <c r="D605" s="429"/>
      <c r="E605" s="429"/>
      <c r="F605" s="429"/>
      <c r="G605" s="429"/>
      <c r="H605" s="429"/>
      <c r="I605" s="429"/>
      <c r="J605" s="429"/>
      <c r="K605" s="306"/>
      <c r="L605" s="306"/>
      <c r="M605" s="352"/>
      <c r="N605" s="307"/>
      <c r="O605" s="352"/>
      <c r="P605" s="307"/>
      <c r="Q605" s="446"/>
    </row>
    <row r="606" spans="2:17" ht="31.5" customHeight="1" x14ac:dyDescent="0.45">
      <c r="C606" s="422"/>
    </row>
    <row r="607" spans="2:17" ht="31.5" customHeight="1" x14ac:dyDescent="0.45">
      <c r="C607" s="422"/>
    </row>
    <row r="608" spans="2:17" ht="31.5" customHeight="1" x14ac:dyDescent="0.45">
      <c r="C608" s="422"/>
      <c r="D608" s="417" t="str">
        <f>Criteria!E9</f>
        <v>HOLDING COMPANY 268 (PROPRIETARY) LIMITED</v>
      </c>
      <c r="O608" s="346" t="s">
        <v>96</v>
      </c>
      <c r="Q608" s="292">
        <f>MAX($Q$114:Q607)+1</f>
        <v>9</v>
      </c>
    </row>
    <row r="609" spans="2:18" ht="31.5" customHeight="1" x14ac:dyDescent="0.45">
      <c r="C609" s="422"/>
      <c r="D609" s="417" t="str">
        <f>Criteria!E10</f>
        <v>CONSOLIDATED FINANCIAL STATEMENTS</v>
      </c>
      <c r="R609" s="403" t="str">
        <f>IF(D609=0,"DELETE"," ")</f>
        <v xml:space="preserve"> </v>
      </c>
    </row>
    <row r="610" spans="2:18" ht="31.5" customHeight="1" x14ac:dyDescent="0.45">
      <c r="C610" s="422"/>
    </row>
    <row r="611" spans="2:18" ht="31.5" customHeight="1" x14ac:dyDescent="0.45">
      <c r="C611" s="422"/>
      <c r="D611" s="417" t="s">
        <v>377</v>
      </c>
    </row>
    <row r="612" spans="2:18" ht="31.5" customHeight="1" x14ac:dyDescent="0.45">
      <c r="C612" s="422"/>
      <c r="D612" s="417" t="str">
        <f>Criteria!E20</f>
        <v>29 FEBRUARY 2024</v>
      </c>
      <c r="J612" s="400" t="s">
        <v>247</v>
      </c>
    </row>
    <row r="613" spans="2:18" ht="31.5" customHeight="1" x14ac:dyDescent="0.45">
      <c r="C613" s="422"/>
    </row>
    <row r="614" spans="2:18" ht="31.5" customHeight="1" x14ac:dyDescent="0.45">
      <c r="B614" s="438"/>
      <c r="C614" s="452"/>
      <c r="D614" s="439"/>
      <c r="E614" s="439"/>
      <c r="F614" s="439"/>
      <c r="G614" s="439"/>
      <c r="H614" s="439"/>
      <c r="I614" s="439"/>
      <c r="J614" s="439"/>
      <c r="K614" s="439"/>
      <c r="L614" s="439"/>
      <c r="M614" s="447"/>
      <c r="N614" s="448"/>
      <c r="O614" s="447"/>
      <c r="P614" s="448"/>
      <c r="Q614" s="440"/>
    </row>
    <row r="615" spans="2:18" ht="31.5" customHeight="1" x14ac:dyDescent="0.45">
      <c r="B615" s="441"/>
      <c r="C615" s="422">
        <f>MAX(C$559:C614)+0.1</f>
        <v>1.4000000000000004</v>
      </c>
      <c r="D615" s="417" t="s">
        <v>809</v>
      </c>
      <c r="M615" s="424"/>
      <c r="N615" s="425"/>
      <c r="O615" s="424"/>
      <c r="P615" s="425"/>
      <c r="Q615" s="442"/>
    </row>
    <row r="616" spans="2:18" ht="31.5" customHeight="1" x14ac:dyDescent="0.45">
      <c r="B616" s="441"/>
      <c r="C616" s="453"/>
      <c r="D616" s="400" t="s">
        <v>957</v>
      </c>
      <c r="M616" s="424"/>
      <c r="N616" s="425"/>
      <c r="O616" s="424"/>
      <c r="P616" s="425"/>
      <c r="Q616" s="442"/>
    </row>
    <row r="617" spans="2:18" ht="31.5" customHeight="1" x14ac:dyDescent="0.45">
      <c r="B617" s="441"/>
      <c r="C617" s="453"/>
      <c r="D617" s="400" t="s">
        <v>949</v>
      </c>
      <c r="M617" s="424"/>
      <c r="N617" s="425"/>
      <c r="O617" s="424"/>
      <c r="P617" s="425"/>
      <c r="Q617" s="442"/>
    </row>
    <row r="618" spans="2:18" ht="31.5" customHeight="1" x14ac:dyDescent="0.45">
      <c r="B618" s="441"/>
      <c r="C618" s="453"/>
      <c r="D618" s="400" t="s">
        <v>950</v>
      </c>
      <c r="M618" s="424"/>
      <c r="N618" s="425"/>
      <c r="O618" s="424"/>
      <c r="P618" s="425"/>
      <c r="Q618" s="442"/>
    </row>
    <row r="619" spans="2:18" ht="31.5" customHeight="1" x14ac:dyDescent="0.45">
      <c r="B619" s="441"/>
      <c r="C619" s="453"/>
      <c r="D619" s="400" t="s">
        <v>951</v>
      </c>
      <c r="M619" s="424"/>
      <c r="N619" s="425"/>
      <c r="O619" s="424"/>
      <c r="P619" s="425"/>
      <c r="Q619" s="442"/>
    </row>
    <row r="620" spans="2:18" ht="31.5" customHeight="1" x14ac:dyDescent="0.45">
      <c r="B620" s="441"/>
      <c r="C620" s="453"/>
      <c r="D620" s="400" t="s">
        <v>952</v>
      </c>
      <c r="M620" s="424"/>
      <c r="N620" s="425"/>
      <c r="O620" s="424"/>
      <c r="P620" s="425"/>
      <c r="Q620" s="442"/>
    </row>
    <row r="621" spans="2:18" ht="31.5" customHeight="1" x14ac:dyDescent="0.45">
      <c r="B621" s="441"/>
      <c r="C621" s="453"/>
      <c r="D621" s="400" t="s">
        <v>958</v>
      </c>
      <c r="M621" s="424"/>
      <c r="N621" s="425"/>
      <c r="O621" s="424"/>
      <c r="P621" s="425"/>
      <c r="Q621" s="442"/>
    </row>
    <row r="622" spans="2:18" ht="31.5" customHeight="1" x14ac:dyDescent="0.45">
      <c r="B622" s="441"/>
      <c r="C622" s="453"/>
      <c r="D622" s="400" t="s">
        <v>953</v>
      </c>
      <c r="M622" s="424"/>
      <c r="N622" s="425"/>
      <c r="O622" s="424"/>
      <c r="P622" s="425"/>
      <c r="Q622" s="442"/>
    </row>
    <row r="623" spans="2:18" ht="31.5" customHeight="1" x14ac:dyDescent="0.45">
      <c r="B623" s="441"/>
      <c r="C623" s="422"/>
      <c r="M623" s="424"/>
      <c r="N623" s="425"/>
      <c r="O623" s="424"/>
      <c r="P623" s="425"/>
      <c r="Q623" s="442"/>
    </row>
    <row r="624" spans="2:18" ht="31.5" customHeight="1" x14ac:dyDescent="0.45">
      <c r="B624" s="441"/>
      <c r="C624" s="422"/>
      <c r="M624" s="424"/>
      <c r="N624" s="425"/>
      <c r="O624" s="424"/>
      <c r="P624" s="425"/>
      <c r="Q624" s="442"/>
    </row>
    <row r="625" spans="2:18" ht="31.5" customHeight="1" x14ac:dyDescent="0.45">
      <c r="B625" s="445"/>
      <c r="C625" s="482"/>
      <c r="D625" s="429"/>
      <c r="E625" s="429"/>
      <c r="F625" s="429"/>
      <c r="G625" s="429"/>
      <c r="H625" s="429"/>
      <c r="I625" s="429"/>
      <c r="J625" s="429"/>
      <c r="K625" s="429"/>
      <c r="L625" s="429"/>
      <c r="M625" s="432"/>
      <c r="N625" s="433"/>
      <c r="O625" s="432"/>
      <c r="P625" s="433"/>
      <c r="Q625" s="446"/>
    </row>
    <row r="626" spans="2:18" ht="31.5" customHeight="1" x14ac:dyDescent="0.45">
      <c r="C626" s="422"/>
    </row>
    <row r="627" spans="2:18" ht="31.5" customHeight="1" x14ac:dyDescent="0.45">
      <c r="C627" s="422"/>
    </row>
    <row r="628" spans="2:18" ht="31.5" customHeight="1" x14ac:dyDescent="0.45">
      <c r="C628" s="422"/>
      <c r="D628" s="417" t="str">
        <f>Criteria!E9</f>
        <v>HOLDING COMPANY 268 (PROPRIETARY) LIMITED</v>
      </c>
      <c r="O628" s="346" t="s">
        <v>96</v>
      </c>
      <c r="Q628" s="292">
        <f>MAX($Q$114:Q627)+1</f>
        <v>10</v>
      </c>
    </row>
    <row r="629" spans="2:18" ht="31.5" customHeight="1" x14ac:dyDescent="0.45">
      <c r="C629" s="422"/>
      <c r="D629" s="417" t="str">
        <f>Criteria!E10</f>
        <v>CONSOLIDATED FINANCIAL STATEMENTS</v>
      </c>
      <c r="R629" s="403" t="str">
        <f>IF(D629=0,"DELETE"," ")</f>
        <v xml:space="preserve"> </v>
      </c>
    </row>
    <row r="630" spans="2:18" ht="31.5" customHeight="1" x14ac:dyDescent="0.45">
      <c r="C630" s="422"/>
    </row>
    <row r="631" spans="2:18" ht="31.5" customHeight="1" x14ac:dyDescent="0.45">
      <c r="C631" s="422"/>
      <c r="D631" s="417" t="s">
        <v>377</v>
      </c>
    </row>
    <row r="632" spans="2:18" ht="31.5" customHeight="1" x14ac:dyDescent="0.45">
      <c r="C632" s="422"/>
      <c r="D632" s="417" t="str">
        <f>Criteria!E20</f>
        <v>29 FEBRUARY 2024</v>
      </c>
      <c r="J632" s="400" t="s">
        <v>247</v>
      </c>
    </row>
    <row r="633" spans="2:18" ht="31.5" customHeight="1" x14ac:dyDescent="0.45">
      <c r="C633" s="422"/>
    </row>
    <row r="634" spans="2:18" ht="31.5" customHeight="1" x14ac:dyDescent="0.45">
      <c r="B634" s="438"/>
      <c r="C634" s="452"/>
      <c r="D634" s="439"/>
      <c r="E634" s="439"/>
      <c r="F634" s="439"/>
      <c r="G634" s="439"/>
      <c r="H634" s="439"/>
      <c r="I634" s="439"/>
      <c r="J634" s="439"/>
      <c r="K634" s="439"/>
      <c r="L634" s="439"/>
      <c r="M634" s="447"/>
      <c r="N634" s="448"/>
      <c r="O634" s="447"/>
      <c r="P634" s="448"/>
      <c r="Q634" s="440"/>
    </row>
    <row r="635" spans="2:18" ht="31.5" customHeight="1" x14ac:dyDescent="0.45">
      <c r="B635" s="323"/>
      <c r="C635" s="453"/>
      <c r="D635" s="400" t="s">
        <v>954</v>
      </c>
      <c r="Q635" s="442"/>
    </row>
    <row r="636" spans="2:18" ht="31.5" customHeight="1" x14ac:dyDescent="0.45">
      <c r="B636" s="323"/>
      <c r="C636" s="453"/>
      <c r="D636" s="400" t="s">
        <v>955</v>
      </c>
      <c r="Q636" s="442"/>
    </row>
    <row r="637" spans="2:18" ht="31.5" customHeight="1" x14ac:dyDescent="0.45">
      <c r="B637" s="323"/>
      <c r="C637" s="453"/>
      <c r="D637" s="400" t="s">
        <v>956</v>
      </c>
      <c r="Q637" s="442"/>
    </row>
    <row r="638" spans="2:18" ht="31.5" customHeight="1" x14ac:dyDescent="0.45">
      <c r="B638" s="323"/>
      <c r="C638" s="453"/>
      <c r="D638" s="400" t="str">
        <f>CONCATENATE("- ",Criteria!F207)</f>
        <v>- Property</v>
      </c>
      <c r="J638" s="316">
        <f>Criteria!F208</f>
        <v>0.02</v>
      </c>
      <c r="K638" s="400" t="str">
        <f>Criteria!F209</f>
        <v>Straight line</v>
      </c>
      <c r="Q638" s="442"/>
    </row>
    <row r="639" spans="2:18" ht="31.5" customHeight="1" x14ac:dyDescent="0.45">
      <c r="B639" s="323"/>
      <c r="C639" s="453"/>
      <c r="D639" s="400" t="str">
        <f>CONCATENATE("- ",Criteria!G206," ",Criteria!G207)</f>
        <v>- Plant and equipment</v>
      </c>
      <c r="J639" s="316">
        <f>Criteria!G208</f>
        <v>0.2</v>
      </c>
      <c r="K639" s="443" t="str">
        <f>Criteria!G209</f>
        <v>Straight line</v>
      </c>
      <c r="Q639" s="442"/>
    </row>
    <row r="640" spans="2:18" ht="31.5" customHeight="1" x14ac:dyDescent="0.45">
      <c r="B640" s="323"/>
      <c r="C640" s="453"/>
      <c r="D640" s="400" t="str">
        <f>CONCATENATE("- ",Criteria!H206," ",Criteria!H207)</f>
        <v>- Motor vehicles</v>
      </c>
      <c r="J640" s="316">
        <f>Criteria!H208</f>
        <v>0.2</v>
      </c>
      <c r="K640" s="443" t="str">
        <f>Criteria!H209</f>
        <v>Straight line</v>
      </c>
      <c r="Q640" s="442"/>
    </row>
    <row r="641" spans="2:18" ht="31.5" customHeight="1" x14ac:dyDescent="0.45">
      <c r="B641" s="323"/>
      <c r="C641" s="453"/>
      <c r="D641" s="400" t="str">
        <f>CONCATENATE("- ",Criteria!I206," ",Criteria!I207)</f>
        <v>- Electronic equipment</v>
      </c>
      <c r="J641" s="316">
        <f>Criteria!I208</f>
        <v>0.33339999999999997</v>
      </c>
      <c r="K641" s="443" t="str">
        <f>Criteria!I209</f>
        <v>Straight line</v>
      </c>
      <c r="Q641" s="442"/>
    </row>
    <row r="642" spans="2:18" ht="31.5" customHeight="1" x14ac:dyDescent="0.45">
      <c r="B642" s="323"/>
      <c r="C642" s="453"/>
      <c r="D642" s="400" t="str">
        <f>CONCATENATE("- ",Criteria!J206," ",Criteria!J207)</f>
        <v>- Furniture and fittings</v>
      </c>
      <c r="J642" s="316">
        <f>Criteria!J208</f>
        <v>0.2</v>
      </c>
      <c r="K642" s="443" t="str">
        <f>Criteria!J209</f>
        <v>Straight line</v>
      </c>
      <c r="Q642" s="442"/>
    </row>
    <row r="643" spans="2:18" ht="31.5" customHeight="1" x14ac:dyDescent="0.45">
      <c r="B643" s="323"/>
      <c r="C643" s="453"/>
      <c r="J643" s="317"/>
      <c r="K643" s="443"/>
      <c r="Q643" s="442"/>
    </row>
    <row r="644" spans="2:18" ht="31.5" customHeight="1" x14ac:dyDescent="0.45">
      <c r="B644" s="323"/>
      <c r="C644" s="453"/>
      <c r="D644" s="400" t="s">
        <v>894</v>
      </c>
      <c r="J644" s="317"/>
      <c r="K644" s="443"/>
      <c r="Q644" s="442"/>
    </row>
    <row r="645" spans="2:18" ht="31.5" customHeight="1" x14ac:dyDescent="0.45">
      <c r="B645" s="323"/>
      <c r="C645" s="453"/>
      <c r="D645" s="400" t="s">
        <v>895</v>
      </c>
      <c r="J645" s="317"/>
      <c r="K645" s="443"/>
      <c r="Q645" s="442"/>
    </row>
    <row r="646" spans="2:18" ht="31.5" customHeight="1" x14ac:dyDescent="0.45">
      <c r="B646" s="323"/>
      <c r="C646" s="453"/>
      <c r="D646" s="400" t="s">
        <v>896</v>
      </c>
      <c r="J646" s="317"/>
      <c r="K646" s="443"/>
      <c r="Q646" s="442"/>
    </row>
    <row r="647" spans="2:18" ht="31.5" customHeight="1" x14ac:dyDescent="0.45">
      <c r="B647" s="323"/>
      <c r="C647" s="453"/>
      <c r="J647" s="317"/>
      <c r="K647" s="443"/>
      <c r="Q647" s="442"/>
    </row>
    <row r="648" spans="2:18" ht="31.5" customHeight="1" x14ac:dyDescent="0.45">
      <c r="B648" s="323"/>
      <c r="C648" s="453"/>
      <c r="D648" s="400" t="s">
        <v>960</v>
      </c>
      <c r="Q648" s="442"/>
    </row>
    <row r="649" spans="2:18" ht="31.5" customHeight="1" x14ac:dyDescent="0.45">
      <c r="B649" s="323"/>
      <c r="C649" s="453"/>
      <c r="Q649" s="442"/>
    </row>
    <row r="650" spans="2:18" ht="31.5" customHeight="1" x14ac:dyDescent="0.45">
      <c r="B650" s="323"/>
      <c r="C650" s="453"/>
      <c r="Q650" s="442"/>
    </row>
    <row r="651" spans="2:18" ht="31.5" customHeight="1" x14ac:dyDescent="0.45">
      <c r="B651" s="445"/>
      <c r="C651" s="429"/>
      <c r="D651" s="429"/>
      <c r="E651" s="429"/>
      <c r="F651" s="429"/>
      <c r="G651" s="429"/>
      <c r="H651" s="429"/>
      <c r="I651" s="429"/>
      <c r="J651" s="429"/>
      <c r="K651" s="306"/>
      <c r="L651" s="306"/>
      <c r="M651" s="352"/>
      <c r="N651" s="307"/>
      <c r="O651" s="352"/>
      <c r="P651" s="307"/>
      <c r="Q651" s="446"/>
    </row>
    <row r="652" spans="2:18" ht="31.5" customHeight="1" x14ac:dyDescent="0.45">
      <c r="C652" s="422"/>
    </row>
    <row r="653" spans="2:18" ht="31.5" customHeight="1" x14ac:dyDescent="0.45">
      <c r="C653" s="422"/>
    </row>
    <row r="654" spans="2:18" ht="31.5" customHeight="1" x14ac:dyDescent="0.45">
      <c r="C654" s="422"/>
      <c r="D654" s="417" t="str">
        <f>Criteria!E9</f>
        <v>HOLDING COMPANY 268 (PROPRIETARY) LIMITED</v>
      </c>
      <c r="O654" s="346" t="s">
        <v>96</v>
      </c>
      <c r="Q654" s="292">
        <f>MAX($Q$114:Q653)+1</f>
        <v>11</v>
      </c>
    </row>
    <row r="655" spans="2:18" ht="31.5" customHeight="1" x14ac:dyDescent="0.45">
      <c r="C655" s="422"/>
      <c r="D655" s="417" t="str">
        <f>Criteria!E10</f>
        <v>CONSOLIDATED FINANCIAL STATEMENTS</v>
      </c>
      <c r="R655" s="403" t="str">
        <f>IF(D655=0,"DELETE"," ")</f>
        <v xml:space="preserve"> </v>
      </c>
    </row>
    <row r="656" spans="2:18" ht="31.5" customHeight="1" x14ac:dyDescent="0.45">
      <c r="C656" s="422"/>
    </row>
    <row r="657" spans="2:18" ht="31.5" customHeight="1" x14ac:dyDescent="0.45">
      <c r="C657" s="422"/>
      <c r="D657" s="417" t="s">
        <v>377</v>
      </c>
    </row>
    <row r="658" spans="2:18" ht="31.5" customHeight="1" x14ac:dyDescent="0.45">
      <c r="C658" s="422"/>
      <c r="D658" s="417" t="str">
        <f>Criteria!E20</f>
        <v>29 FEBRUARY 2024</v>
      </c>
      <c r="J658" s="400" t="s">
        <v>247</v>
      </c>
    </row>
    <row r="659" spans="2:18" ht="31.5" customHeight="1" x14ac:dyDescent="0.45">
      <c r="C659" s="422"/>
    </row>
    <row r="660" spans="2:18" ht="31.5" customHeight="1" x14ac:dyDescent="0.45">
      <c r="B660" s="438"/>
      <c r="C660" s="452"/>
      <c r="D660" s="439"/>
      <c r="E660" s="439"/>
      <c r="F660" s="439"/>
      <c r="G660" s="439"/>
      <c r="H660" s="439"/>
      <c r="I660" s="439"/>
      <c r="J660" s="439"/>
      <c r="K660" s="439"/>
      <c r="L660" s="439"/>
      <c r="M660" s="447"/>
      <c r="N660" s="448"/>
      <c r="O660" s="447"/>
      <c r="P660" s="448"/>
      <c r="Q660" s="440"/>
    </row>
    <row r="661" spans="2:18" ht="31.5" customHeight="1" x14ac:dyDescent="0.45">
      <c r="B661" s="323"/>
      <c r="C661" s="422">
        <f>MAX(C$559:C660)+0.1</f>
        <v>1.5000000000000004</v>
      </c>
      <c r="D661" s="417" t="s">
        <v>961</v>
      </c>
      <c r="Q661" s="442"/>
    </row>
    <row r="662" spans="2:18" ht="31.5" customHeight="1" x14ac:dyDescent="0.45">
      <c r="B662" s="323"/>
      <c r="C662" s="453"/>
      <c r="D662" s="400" t="s">
        <v>962</v>
      </c>
      <c r="Q662" s="442"/>
    </row>
    <row r="663" spans="2:18" ht="31.5" customHeight="1" x14ac:dyDescent="0.45">
      <c r="B663" s="323"/>
      <c r="C663" s="453"/>
      <c r="D663" s="400" t="s">
        <v>963</v>
      </c>
      <c r="Q663" s="442"/>
    </row>
    <row r="664" spans="2:18" ht="31.5" customHeight="1" x14ac:dyDescent="0.45">
      <c r="B664" s="323"/>
      <c r="C664" s="453"/>
      <c r="D664" s="400" t="s">
        <v>964</v>
      </c>
      <c r="Q664" s="442"/>
    </row>
    <row r="665" spans="2:18" ht="31.5" customHeight="1" x14ac:dyDescent="0.45">
      <c r="B665" s="323"/>
      <c r="C665" s="453"/>
      <c r="D665" s="400" t="s">
        <v>965</v>
      </c>
      <c r="Q665" s="442"/>
    </row>
    <row r="666" spans="2:18" ht="31.5" customHeight="1" x14ac:dyDescent="0.45">
      <c r="B666" s="323"/>
      <c r="C666" s="453"/>
      <c r="Q666" s="442"/>
    </row>
    <row r="667" spans="2:18" ht="31.5" customHeight="1" x14ac:dyDescent="0.45">
      <c r="B667" s="323"/>
      <c r="C667" s="453"/>
      <c r="Q667" s="442"/>
    </row>
    <row r="668" spans="2:18" ht="31.5" customHeight="1" x14ac:dyDescent="0.45">
      <c r="B668" s="445"/>
      <c r="C668" s="429"/>
      <c r="D668" s="429"/>
      <c r="E668" s="429"/>
      <c r="F668" s="429"/>
      <c r="G668" s="429"/>
      <c r="H668" s="429"/>
      <c r="I668" s="429"/>
      <c r="J668" s="429"/>
      <c r="K668" s="306"/>
      <c r="L668" s="306"/>
      <c r="M668" s="352"/>
      <c r="N668" s="307"/>
      <c r="O668" s="352"/>
      <c r="P668" s="307"/>
      <c r="Q668" s="446"/>
    </row>
    <row r="669" spans="2:18" ht="31.5" customHeight="1" x14ac:dyDescent="0.45">
      <c r="C669" s="422"/>
    </row>
    <row r="670" spans="2:18" ht="31.5" customHeight="1" x14ac:dyDescent="0.45">
      <c r="C670" s="422"/>
    </row>
    <row r="671" spans="2:18" ht="31.5" customHeight="1" x14ac:dyDescent="0.45">
      <c r="C671" s="422"/>
      <c r="D671" s="417" t="str">
        <f>Criteria!E9</f>
        <v>HOLDING COMPANY 268 (PROPRIETARY) LIMITED</v>
      </c>
      <c r="O671" s="346" t="s">
        <v>96</v>
      </c>
      <c r="Q671" s="292">
        <f>MAX($Q$114:Q670)+1</f>
        <v>12</v>
      </c>
    </row>
    <row r="672" spans="2:18" ht="31.5" customHeight="1" x14ac:dyDescent="0.45">
      <c r="C672" s="422"/>
      <c r="D672" s="417" t="str">
        <f>Criteria!E10</f>
        <v>CONSOLIDATED FINANCIAL STATEMENTS</v>
      </c>
      <c r="R672" s="403" t="str">
        <f>IF(D672=0,"DELETE"," ")</f>
        <v xml:space="preserve"> </v>
      </c>
    </row>
    <row r="673" spans="2:17" ht="31.5" customHeight="1" x14ac:dyDescent="0.45">
      <c r="C673" s="422"/>
    </row>
    <row r="674" spans="2:17" ht="31.5" customHeight="1" x14ac:dyDescent="0.45">
      <c r="C674" s="422"/>
      <c r="D674" s="417" t="s">
        <v>377</v>
      </c>
    </row>
    <row r="675" spans="2:17" ht="31.5" customHeight="1" x14ac:dyDescent="0.45">
      <c r="C675" s="422"/>
      <c r="D675" s="417" t="str">
        <f>Criteria!E20</f>
        <v>29 FEBRUARY 2024</v>
      </c>
      <c r="J675" s="400" t="s">
        <v>247</v>
      </c>
    </row>
    <row r="676" spans="2:17" ht="31.5" customHeight="1" x14ac:dyDescent="0.45">
      <c r="C676" s="422"/>
    </row>
    <row r="677" spans="2:17" ht="31.5" customHeight="1" x14ac:dyDescent="0.45">
      <c r="B677" s="438"/>
      <c r="C677" s="452"/>
      <c r="D677" s="439"/>
      <c r="E677" s="439"/>
      <c r="F677" s="439"/>
      <c r="G677" s="439"/>
      <c r="H677" s="439"/>
      <c r="I677" s="439"/>
      <c r="J677" s="439"/>
      <c r="K677" s="439"/>
      <c r="L677" s="439"/>
      <c r="M677" s="447"/>
      <c r="N677" s="448"/>
      <c r="O677" s="447"/>
      <c r="P677" s="448"/>
      <c r="Q677" s="440"/>
    </row>
    <row r="678" spans="2:17" ht="31.5" customHeight="1" x14ac:dyDescent="0.45">
      <c r="B678" s="323"/>
      <c r="C678" s="422">
        <f>MAX(C$559:C677)+0.1</f>
        <v>1.6000000000000005</v>
      </c>
      <c r="D678" s="417" t="s">
        <v>45</v>
      </c>
      <c r="Q678" s="442"/>
    </row>
    <row r="679" spans="2:17" ht="31.5" customHeight="1" x14ac:dyDescent="0.45">
      <c r="B679" s="323"/>
      <c r="C679" s="453"/>
      <c r="D679" s="400" t="s">
        <v>966</v>
      </c>
      <c r="Q679" s="442"/>
    </row>
    <row r="680" spans="2:17" ht="31.5" customHeight="1" x14ac:dyDescent="0.45">
      <c r="B680" s="323"/>
      <c r="C680" s="453"/>
      <c r="D680" s="454" t="s">
        <v>967</v>
      </c>
      <c r="Q680" s="442"/>
    </row>
    <row r="681" spans="2:17" ht="31.5" customHeight="1" x14ac:dyDescent="0.45">
      <c r="B681" s="323"/>
      <c r="C681" s="453"/>
      <c r="D681" s="400" t="s">
        <v>968</v>
      </c>
      <c r="Q681" s="442"/>
    </row>
    <row r="682" spans="2:17" ht="31.5" customHeight="1" x14ac:dyDescent="0.45">
      <c r="B682" s="323"/>
      <c r="C682" s="453"/>
      <c r="D682" s="400" t="s">
        <v>969</v>
      </c>
      <c r="Q682" s="442"/>
    </row>
    <row r="683" spans="2:17" ht="31.5" customHeight="1" x14ac:dyDescent="0.45">
      <c r="B683" s="323"/>
      <c r="C683" s="453"/>
      <c r="D683" s="400" t="s">
        <v>970</v>
      </c>
      <c r="Q683" s="442"/>
    </row>
    <row r="684" spans="2:17" ht="31.5" customHeight="1" x14ac:dyDescent="0.45">
      <c r="B684" s="323"/>
      <c r="C684" s="453"/>
      <c r="Q684" s="442"/>
    </row>
    <row r="685" spans="2:17" ht="31.5" customHeight="1" x14ac:dyDescent="0.45">
      <c r="B685" s="323"/>
      <c r="C685" s="453"/>
      <c r="Q685" s="442"/>
    </row>
    <row r="686" spans="2:17" ht="31.5" customHeight="1" x14ac:dyDescent="0.45">
      <c r="B686" s="445"/>
      <c r="C686" s="429"/>
      <c r="D686" s="429"/>
      <c r="E686" s="429"/>
      <c r="F686" s="429"/>
      <c r="G686" s="429"/>
      <c r="H686" s="429"/>
      <c r="I686" s="429"/>
      <c r="J686" s="429"/>
      <c r="K686" s="306"/>
      <c r="L686" s="306"/>
      <c r="M686" s="352"/>
      <c r="N686" s="307"/>
      <c r="O686" s="352"/>
      <c r="P686" s="307"/>
      <c r="Q686" s="446"/>
    </row>
    <row r="687" spans="2:17" ht="31.5" customHeight="1" x14ac:dyDescent="0.45">
      <c r="C687" s="422"/>
    </row>
    <row r="688" spans="2:17" ht="31.5" customHeight="1" x14ac:dyDescent="0.45">
      <c r="C688" s="422"/>
    </row>
    <row r="689" spans="2:18" ht="31.5" customHeight="1" x14ac:dyDescent="0.45">
      <c r="C689" s="422"/>
      <c r="D689" s="417" t="str">
        <f>Criteria!E9</f>
        <v>HOLDING COMPANY 268 (PROPRIETARY) LIMITED</v>
      </c>
      <c r="O689" s="346" t="s">
        <v>96</v>
      </c>
      <c r="Q689" s="292">
        <f>MAX($Q$114:Q688)+1</f>
        <v>13</v>
      </c>
    </row>
    <row r="690" spans="2:18" ht="31.5" customHeight="1" x14ac:dyDescent="0.45">
      <c r="C690" s="422"/>
      <c r="D690" s="417" t="str">
        <f>Criteria!E10</f>
        <v>CONSOLIDATED FINANCIAL STATEMENTS</v>
      </c>
      <c r="R690" s="403" t="str">
        <f>IF(D690=0,"DELETE"," ")</f>
        <v xml:space="preserve"> </v>
      </c>
    </row>
    <row r="691" spans="2:18" ht="31.5" customHeight="1" x14ac:dyDescent="0.45">
      <c r="C691" s="422"/>
    </row>
    <row r="692" spans="2:18" ht="31.5" customHeight="1" x14ac:dyDescent="0.45">
      <c r="C692" s="422"/>
      <c r="D692" s="417" t="s">
        <v>377</v>
      </c>
    </row>
    <row r="693" spans="2:18" ht="31.5" customHeight="1" x14ac:dyDescent="0.45">
      <c r="C693" s="422"/>
      <c r="D693" s="417" t="str">
        <f>Criteria!E20</f>
        <v>29 FEBRUARY 2024</v>
      </c>
      <c r="J693" s="400" t="s">
        <v>247</v>
      </c>
    </row>
    <row r="694" spans="2:18" ht="31.5" customHeight="1" x14ac:dyDescent="0.45">
      <c r="C694" s="422"/>
    </row>
    <row r="695" spans="2:18" ht="31.5" customHeight="1" x14ac:dyDescent="0.45">
      <c r="B695" s="438"/>
      <c r="C695" s="452"/>
      <c r="D695" s="439"/>
      <c r="E695" s="439"/>
      <c r="F695" s="439"/>
      <c r="G695" s="439"/>
      <c r="H695" s="439"/>
      <c r="I695" s="439"/>
      <c r="J695" s="439"/>
      <c r="K695" s="439"/>
      <c r="L695" s="439"/>
      <c r="M695" s="447"/>
      <c r="N695" s="448"/>
      <c r="O695" s="447"/>
      <c r="P695" s="448"/>
      <c r="Q695" s="440"/>
    </row>
    <row r="696" spans="2:18" ht="31.5" customHeight="1" x14ac:dyDescent="0.45">
      <c r="B696" s="323"/>
      <c r="C696" s="453"/>
      <c r="D696" s="454" t="s">
        <v>971</v>
      </c>
      <c r="Q696" s="442"/>
    </row>
    <row r="697" spans="2:18" ht="31.5" customHeight="1" x14ac:dyDescent="0.45">
      <c r="B697" s="323"/>
      <c r="C697" s="453"/>
      <c r="D697" s="400" t="s">
        <v>972</v>
      </c>
      <c r="Q697" s="442"/>
    </row>
    <row r="698" spans="2:18" ht="31.5" customHeight="1" x14ac:dyDescent="0.45">
      <c r="B698" s="323"/>
      <c r="C698" s="453"/>
      <c r="D698" s="400" t="s">
        <v>973</v>
      </c>
      <c r="Q698" s="442"/>
    </row>
    <row r="699" spans="2:18" ht="31.5" customHeight="1" x14ac:dyDescent="0.45">
      <c r="B699" s="323"/>
      <c r="C699" s="453"/>
      <c r="D699" s="400" t="s">
        <v>974</v>
      </c>
      <c r="Q699" s="442"/>
    </row>
    <row r="700" spans="2:18" ht="31.5" customHeight="1" x14ac:dyDescent="0.45">
      <c r="B700" s="323"/>
      <c r="C700" s="453"/>
      <c r="D700" s="400" t="s">
        <v>975</v>
      </c>
      <c r="Q700" s="442"/>
    </row>
    <row r="701" spans="2:18" ht="31.5" customHeight="1" x14ac:dyDescent="0.45">
      <c r="B701" s="323"/>
      <c r="C701" s="453"/>
      <c r="D701" s="400" t="str">
        <f>CONCATENATE("- ",Criteria!F229," years")</f>
        <v>- 10 years</v>
      </c>
      <c r="Q701" s="442"/>
    </row>
    <row r="702" spans="2:18" ht="31.5" customHeight="1" x14ac:dyDescent="0.45">
      <c r="B702" s="323"/>
      <c r="C702" s="453"/>
      <c r="Q702" s="442"/>
    </row>
    <row r="703" spans="2:18" ht="31.5" customHeight="1" x14ac:dyDescent="0.45">
      <c r="B703" s="323"/>
      <c r="C703" s="453"/>
      <c r="Q703" s="442"/>
    </row>
    <row r="704" spans="2:18" ht="31.5" customHeight="1" x14ac:dyDescent="0.45">
      <c r="B704" s="445"/>
      <c r="C704" s="429"/>
      <c r="D704" s="429"/>
      <c r="E704" s="429"/>
      <c r="F704" s="429"/>
      <c r="G704" s="429"/>
      <c r="H704" s="429"/>
      <c r="I704" s="429"/>
      <c r="J704" s="429"/>
      <c r="K704" s="306"/>
      <c r="L704" s="306"/>
      <c r="M704" s="352"/>
      <c r="N704" s="307"/>
      <c r="O704" s="352"/>
      <c r="P704" s="307"/>
      <c r="Q704" s="446"/>
    </row>
    <row r="705" spans="2:18" ht="31.5" customHeight="1" x14ac:dyDescent="0.45">
      <c r="C705" s="422"/>
    </row>
    <row r="706" spans="2:18" ht="31.5" customHeight="1" x14ac:dyDescent="0.45">
      <c r="C706" s="422"/>
    </row>
    <row r="707" spans="2:18" ht="31.5" customHeight="1" x14ac:dyDescent="0.45">
      <c r="C707" s="422"/>
      <c r="D707" s="417" t="str">
        <f>Criteria!E9</f>
        <v>HOLDING COMPANY 268 (PROPRIETARY) LIMITED</v>
      </c>
      <c r="O707" s="346" t="s">
        <v>96</v>
      </c>
      <c r="Q707" s="292">
        <f>MAX($Q$114:Q706)+1</f>
        <v>14</v>
      </c>
    </row>
    <row r="708" spans="2:18" ht="31.5" customHeight="1" x14ac:dyDescent="0.45">
      <c r="C708" s="422"/>
      <c r="D708" s="417" t="str">
        <f>Criteria!E10</f>
        <v>CONSOLIDATED FINANCIAL STATEMENTS</v>
      </c>
      <c r="R708" s="403" t="str">
        <f>IF(D708=0,"DELETE"," ")</f>
        <v xml:space="preserve"> </v>
      </c>
    </row>
    <row r="709" spans="2:18" ht="31.5" customHeight="1" x14ac:dyDescent="0.45">
      <c r="C709" s="422"/>
    </row>
    <row r="710" spans="2:18" ht="31.5" customHeight="1" x14ac:dyDescent="0.45">
      <c r="C710" s="422"/>
      <c r="D710" s="417" t="s">
        <v>377</v>
      </c>
    </row>
    <row r="711" spans="2:18" ht="31.5" customHeight="1" x14ac:dyDescent="0.45">
      <c r="C711" s="422"/>
      <c r="D711" s="417" t="str">
        <f>Criteria!E20</f>
        <v>29 FEBRUARY 2024</v>
      </c>
      <c r="J711" s="400" t="s">
        <v>247</v>
      </c>
    </row>
    <row r="712" spans="2:18" ht="31.5" customHeight="1" x14ac:dyDescent="0.45">
      <c r="C712" s="422"/>
    </row>
    <row r="713" spans="2:18" ht="31.5" customHeight="1" x14ac:dyDescent="0.45">
      <c r="B713" s="438"/>
      <c r="C713" s="452"/>
      <c r="D713" s="439"/>
      <c r="E713" s="439"/>
      <c r="F713" s="439"/>
      <c r="G713" s="439"/>
      <c r="H713" s="439"/>
      <c r="I713" s="439"/>
      <c r="J713" s="439"/>
      <c r="K713" s="439"/>
      <c r="L713" s="439"/>
      <c r="M713" s="447"/>
      <c r="N713" s="448"/>
      <c r="O713" s="447"/>
      <c r="P713" s="448"/>
      <c r="Q713" s="440"/>
    </row>
    <row r="714" spans="2:18" ht="31.5" customHeight="1" x14ac:dyDescent="0.45">
      <c r="B714" s="323"/>
      <c r="C714" s="422">
        <f>MAX(C$559:C713)+0.1</f>
        <v>1.7000000000000006</v>
      </c>
      <c r="D714" s="417" t="s">
        <v>978</v>
      </c>
      <c r="Q714" s="442"/>
    </row>
    <row r="715" spans="2:18" ht="33" customHeight="1" x14ac:dyDescent="0.45">
      <c r="B715" s="323"/>
      <c r="C715" s="453"/>
      <c r="D715" s="400" t="s">
        <v>979</v>
      </c>
      <c r="Q715" s="442"/>
    </row>
    <row r="716" spans="2:18" ht="31.5" customHeight="1" x14ac:dyDescent="0.45">
      <c r="B716" s="323"/>
      <c r="C716" s="453"/>
      <c r="D716" s="400" t="s">
        <v>980</v>
      </c>
      <c r="Q716" s="442"/>
    </row>
    <row r="717" spans="2:18" ht="31.5" customHeight="1" x14ac:dyDescent="0.45">
      <c r="B717" s="323"/>
      <c r="C717" s="453"/>
      <c r="D717" s="400" t="s">
        <v>981</v>
      </c>
      <c r="Q717" s="442"/>
    </row>
    <row r="718" spans="2:18" ht="31.5" customHeight="1" x14ac:dyDescent="0.45">
      <c r="B718" s="323"/>
      <c r="C718" s="453"/>
      <c r="D718" s="454" t="s">
        <v>982</v>
      </c>
      <c r="Q718" s="442"/>
    </row>
    <row r="719" spans="2:18" ht="31.5" customHeight="1" x14ac:dyDescent="0.45">
      <c r="B719" s="323"/>
      <c r="C719" s="453"/>
      <c r="D719" s="400" t="s">
        <v>983</v>
      </c>
      <c r="Q719" s="442"/>
    </row>
    <row r="720" spans="2:18" ht="31.5" customHeight="1" x14ac:dyDescent="0.45">
      <c r="B720" s="323"/>
      <c r="C720" s="453"/>
      <c r="D720" s="400" t="s">
        <v>1009</v>
      </c>
      <c r="Q720" s="442"/>
    </row>
    <row r="721" spans="2:18" ht="31.5" customHeight="1" x14ac:dyDescent="0.45">
      <c r="B721" s="323"/>
      <c r="C721" s="453"/>
      <c r="D721" s="454" t="s">
        <v>984</v>
      </c>
      <c r="Q721" s="442"/>
    </row>
    <row r="722" spans="2:18" ht="31.5" customHeight="1" x14ac:dyDescent="0.45">
      <c r="B722" s="323"/>
      <c r="C722" s="453"/>
      <c r="D722" s="400" t="s">
        <v>985</v>
      </c>
      <c r="Q722" s="442"/>
    </row>
    <row r="723" spans="2:18" ht="31.5" customHeight="1" x14ac:dyDescent="0.45">
      <c r="B723" s="323"/>
      <c r="C723" s="453"/>
      <c r="D723" s="400" t="s">
        <v>986</v>
      </c>
      <c r="Q723" s="442"/>
    </row>
    <row r="724" spans="2:18" ht="31.5" customHeight="1" x14ac:dyDescent="0.45">
      <c r="B724" s="323"/>
      <c r="C724" s="453"/>
      <c r="Q724" s="442"/>
    </row>
    <row r="725" spans="2:18" ht="31.5" customHeight="1" x14ac:dyDescent="0.45">
      <c r="B725" s="323"/>
      <c r="C725" s="453"/>
      <c r="Q725" s="442"/>
    </row>
    <row r="726" spans="2:18" ht="31.5" customHeight="1" x14ac:dyDescent="0.45">
      <c r="B726" s="445"/>
      <c r="C726" s="429"/>
      <c r="D726" s="429"/>
      <c r="E726" s="429"/>
      <c r="F726" s="429"/>
      <c r="G726" s="429"/>
      <c r="H726" s="429"/>
      <c r="I726" s="429"/>
      <c r="J726" s="429"/>
      <c r="K726" s="306"/>
      <c r="L726" s="306"/>
      <c r="M726" s="352"/>
      <c r="N726" s="307"/>
      <c r="O726" s="352"/>
      <c r="P726" s="307"/>
      <c r="Q726" s="446"/>
    </row>
    <row r="727" spans="2:18" ht="31.5" customHeight="1" x14ac:dyDescent="0.45">
      <c r="C727" s="422"/>
    </row>
    <row r="728" spans="2:18" ht="31.5" customHeight="1" x14ac:dyDescent="0.45">
      <c r="C728" s="422"/>
    </row>
    <row r="729" spans="2:18" ht="31.5" customHeight="1" x14ac:dyDescent="0.45">
      <c r="C729" s="422"/>
      <c r="D729" s="417" t="str">
        <f>Criteria!E9</f>
        <v>HOLDING COMPANY 268 (PROPRIETARY) LIMITED</v>
      </c>
      <c r="O729" s="346" t="s">
        <v>96</v>
      </c>
      <c r="Q729" s="292">
        <f>MAX($Q$114:Q728)+1</f>
        <v>15</v>
      </c>
    </row>
    <row r="730" spans="2:18" ht="31.5" customHeight="1" x14ac:dyDescent="0.45">
      <c r="C730" s="422"/>
      <c r="D730" s="417" t="str">
        <f>Criteria!E10</f>
        <v>CONSOLIDATED FINANCIAL STATEMENTS</v>
      </c>
      <c r="R730" s="403" t="str">
        <f>IF(D730=0,"DELETE"," ")</f>
        <v xml:space="preserve"> </v>
      </c>
    </row>
    <row r="731" spans="2:18" ht="31.5" customHeight="1" x14ac:dyDescent="0.45">
      <c r="C731" s="422"/>
    </row>
    <row r="732" spans="2:18" ht="31.5" customHeight="1" x14ac:dyDescent="0.45">
      <c r="C732" s="422"/>
      <c r="D732" s="417" t="s">
        <v>377</v>
      </c>
    </row>
    <row r="733" spans="2:18" ht="31.5" customHeight="1" x14ac:dyDescent="0.45">
      <c r="C733" s="422"/>
      <c r="D733" s="417" t="str">
        <f>Criteria!E20</f>
        <v>29 FEBRUARY 2024</v>
      </c>
      <c r="J733" s="400" t="s">
        <v>247</v>
      </c>
    </row>
    <row r="734" spans="2:18" ht="31.5" customHeight="1" x14ac:dyDescent="0.45">
      <c r="C734" s="422"/>
    </row>
    <row r="735" spans="2:18" ht="31.5" customHeight="1" x14ac:dyDescent="0.45">
      <c r="B735" s="438"/>
      <c r="C735" s="452"/>
      <c r="D735" s="439"/>
      <c r="E735" s="439"/>
      <c r="F735" s="439"/>
      <c r="G735" s="439"/>
      <c r="H735" s="439"/>
      <c r="I735" s="439"/>
      <c r="J735" s="439"/>
      <c r="K735" s="439"/>
      <c r="L735" s="439"/>
      <c r="M735" s="447"/>
      <c r="N735" s="448"/>
      <c r="O735" s="447"/>
      <c r="P735" s="448"/>
      <c r="Q735" s="440"/>
    </row>
    <row r="736" spans="2:18" ht="31.5" customHeight="1" x14ac:dyDescent="0.45">
      <c r="B736" s="323"/>
      <c r="C736" s="422">
        <f>MAX(C$559:C735)+0.1</f>
        <v>1.8000000000000007</v>
      </c>
      <c r="D736" s="417" t="s">
        <v>915</v>
      </c>
      <c r="Q736" s="442"/>
    </row>
    <row r="737" spans="2:18" ht="31.5" customHeight="1" x14ac:dyDescent="0.45">
      <c r="B737" s="323"/>
      <c r="C737" s="453"/>
      <c r="D737" s="400" t="s">
        <v>987</v>
      </c>
      <c r="Q737" s="442"/>
    </row>
    <row r="738" spans="2:18" ht="31.5" customHeight="1" x14ac:dyDescent="0.45">
      <c r="B738" s="323"/>
      <c r="C738" s="453"/>
      <c r="D738" s="400" t="s">
        <v>988</v>
      </c>
      <c r="Q738" s="442"/>
    </row>
    <row r="739" spans="2:18" ht="31.5" customHeight="1" x14ac:dyDescent="0.45">
      <c r="B739" s="323"/>
      <c r="C739" s="453"/>
      <c r="Q739" s="442"/>
    </row>
    <row r="740" spans="2:18" ht="31.5" customHeight="1" x14ac:dyDescent="0.45">
      <c r="B740" s="323"/>
      <c r="C740" s="453"/>
      <c r="Q740" s="442"/>
    </row>
    <row r="741" spans="2:18" ht="31.5" customHeight="1" x14ac:dyDescent="0.45">
      <c r="B741" s="445"/>
      <c r="C741" s="429"/>
      <c r="D741" s="429"/>
      <c r="E741" s="429"/>
      <c r="F741" s="429"/>
      <c r="G741" s="429"/>
      <c r="H741" s="429"/>
      <c r="I741" s="429"/>
      <c r="J741" s="429"/>
      <c r="K741" s="306"/>
      <c r="L741" s="306"/>
      <c r="M741" s="352"/>
      <c r="N741" s="307"/>
      <c r="O741" s="352"/>
      <c r="P741" s="307"/>
      <c r="Q741" s="446"/>
    </row>
    <row r="742" spans="2:18" ht="31.5" customHeight="1" x14ac:dyDescent="0.45">
      <c r="C742" s="422"/>
    </row>
    <row r="743" spans="2:18" ht="31.5" customHeight="1" x14ac:dyDescent="0.45">
      <c r="C743" s="422"/>
    </row>
    <row r="744" spans="2:18" ht="31.5" customHeight="1" x14ac:dyDescent="0.45">
      <c r="C744" s="422"/>
      <c r="D744" s="417" t="str">
        <f>Criteria!E9</f>
        <v>HOLDING COMPANY 268 (PROPRIETARY) LIMITED</v>
      </c>
      <c r="O744" s="346" t="s">
        <v>96</v>
      </c>
      <c r="Q744" s="292">
        <f>MAX($Q$114:Q743)+1</f>
        <v>16</v>
      </c>
    </row>
    <row r="745" spans="2:18" ht="31.5" customHeight="1" x14ac:dyDescent="0.45">
      <c r="C745" s="422"/>
      <c r="D745" s="417" t="str">
        <f>Criteria!E10</f>
        <v>CONSOLIDATED FINANCIAL STATEMENTS</v>
      </c>
      <c r="R745" s="403" t="str">
        <f>IF(D745=0,"DELETE"," ")</f>
        <v xml:space="preserve"> </v>
      </c>
    </row>
    <row r="746" spans="2:18" ht="31.5" customHeight="1" x14ac:dyDescent="0.45">
      <c r="C746" s="422"/>
    </row>
    <row r="747" spans="2:18" ht="31.5" customHeight="1" x14ac:dyDescent="0.45">
      <c r="C747" s="422"/>
      <c r="D747" s="417" t="s">
        <v>377</v>
      </c>
    </row>
    <row r="748" spans="2:18" ht="31.5" customHeight="1" x14ac:dyDescent="0.45">
      <c r="C748" s="422"/>
      <c r="D748" s="417" t="str">
        <f>Criteria!E20</f>
        <v>29 FEBRUARY 2024</v>
      </c>
      <c r="J748" s="400" t="s">
        <v>247</v>
      </c>
    </row>
    <row r="749" spans="2:18" ht="31.5" customHeight="1" x14ac:dyDescent="0.45">
      <c r="C749" s="422"/>
    </row>
    <row r="750" spans="2:18" ht="31.5" customHeight="1" x14ac:dyDescent="0.45">
      <c r="B750" s="438"/>
      <c r="C750" s="452"/>
      <c r="D750" s="439"/>
      <c r="E750" s="439"/>
      <c r="F750" s="439"/>
      <c r="G750" s="439"/>
      <c r="H750" s="439"/>
      <c r="I750" s="439"/>
      <c r="J750" s="439"/>
      <c r="K750" s="439"/>
      <c r="L750" s="439"/>
      <c r="M750" s="447"/>
      <c r="N750" s="448"/>
      <c r="O750" s="447"/>
      <c r="P750" s="448"/>
      <c r="Q750" s="440"/>
    </row>
    <row r="751" spans="2:18" ht="31.5" customHeight="1" x14ac:dyDescent="0.45">
      <c r="B751" s="323"/>
      <c r="C751" s="422">
        <f>MAX(C$559:C750)+0.1</f>
        <v>1.9000000000000008</v>
      </c>
      <c r="D751" s="417" t="s">
        <v>252</v>
      </c>
      <c r="Q751" s="442"/>
    </row>
    <row r="752" spans="2:18" ht="31.5" customHeight="1" x14ac:dyDescent="0.45">
      <c r="B752" s="323"/>
      <c r="C752" s="453"/>
      <c r="D752" s="454" t="s">
        <v>813</v>
      </c>
      <c r="Q752" s="442"/>
    </row>
    <row r="753" spans="2:18" ht="31.5" customHeight="1" x14ac:dyDescent="0.45">
      <c r="B753" s="323"/>
      <c r="C753" s="453"/>
      <c r="D753" s="400" t="s">
        <v>997</v>
      </c>
      <c r="Q753" s="442"/>
    </row>
    <row r="754" spans="2:18" ht="31.5" customHeight="1" x14ac:dyDescent="0.45">
      <c r="B754" s="323"/>
      <c r="C754" s="453"/>
      <c r="D754" s="400" t="s">
        <v>897</v>
      </c>
      <c r="Q754" s="442"/>
    </row>
    <row r="755" spans="2:18" ht="31.5" customHeight="1" x14ac:dyDescent="0.45">
      <c r="B755" s="323"/>
      <c r="C755" s="453"/>
      <c r="D755" s="400" t="s">
        <v>998</v>
      </c>
      <c r="Q755" s="442"/>
    </row>
    <row r="756" spans="2:18" ht="31.5" customHeight="1" x14ac:dyDescent="0.45">
      <c r="B756" s="323"/>
      <c r="C756" s="453"/>
      <c r="D756" s="400" t="s">
        <v>999</v>
      </c>
      <c r="Q756" s="442"/>
    </row>
    <row r="757" spans="2:18" ht="31.5" customHeight="1" x14ac:dyDescent="0.45">
      <c r="B757" s="323"/>
      <c r="C757" s="453"/>
      <c r="D757" s="400" t="s">
        <v>898</v>
      </c>
      <c r="Q757" s="442"/>
    </row>
    <row r="758" spans="2:18" ht="31.5" customHeight="1" x14ac:dyDescent="0.45">
      <c r="B758" s="323"/>
      <c r="C758" s="453"/>
      <c r="Q758" s="442"/>
    </row>
    <row r="759" spans="2:18" ht="31.5" customHeight="1" x14ac:dyDescent="0.45">
      <c r="B759" s="323"/>
      <c r="C759" s="453"/>
      <c r="Q759" s="442"/>
    </row>
    <row r="760" spans="2:18" ht="31.5" customHeight="1" x14ac:dyDescent="0.45">
      <c r="B760" s="445"/>
      <c r="C760" s="429"/>
      <c r="D760" s="429"/>
      <c r="E760" s="429"/>
      <c r="F760" s="429"/>
      <c r="G760" s="429"/>
      <c r="H760" s="429"/>
      <c r="I760" s="429"/>
      <c r="J760" s="429"/>
      <c r="K760" s="306"/>
      <c r="L760" s="306"/>
      <c r="M760" s="352"/>
      <c r="N760" s="307"/>
      <c r="O760" s="352"/>
      <c r="P760" s="307"/>
      <c r="Q760" s="446"/>
    </row>
    <row r="761" spans="2:18" ht="31.5" customHeight="1" x14ac:dyDescent="0.45">
      <c r="C761" s="422"/>
    </row>
    <row r="762" spans="2:18" ht="31.5" customHeight="1" x14ac:dyDescent="0.45">
      <c r="C762" s="422"/>
    </row>
    <row r="763" spans="2:18" ht="31.5" customHeight="1" x14ac:dyDescent="0.45">
      <c r="C763" s="422"/>
      <c r="D763" s="417" t="str">
        <f>Criteria!E9</f>
        <v>HOLDING COMPANY 268 (PROPRIETARY) LIMITED</v>
      </c>
      <c r="O763" s="346" t="s">
        <v>96</v>
      </c>
      <c r="Q763" s="292">
        <f>MAX($Q$114:Q762)+1</f>
        <v>17</v>
      </c>
    </row>
    <row r="764" spans="2:18" ht="31.5" customHeight="1" x14ac:dyDescent="0.45">
      <c r="C764" s="422"/>
      <c r="D764" s="417" t="str">
        <f>Criteria!E10</f>
        <v>CONSOLIDATED FINANCIAL STATEMENTS</v>
      </c>
      <c r="R764" s="403" t="str">
        <f>IF(D764=0,"DELETE"," ")</f>
        <v xml:space="preserve"> </v>
      </c>
    </row>
    <row r="765" spans="2:18" ht="31.5" customHeight="1" x14ac:dyDescent="0.45">
      <c r="C765" s="422"/>
    </row>
    <row r="766" spans="2:18" ht="31.5" customHeight="1" x14ac:dyDescent="0.45">
      <c r="C766" s="422"/>
      <c r="D766" s="417" t="s">
        <v>377</v>
      </c>
    </row>
    <row r="767" spans="2:18" ht="31.5" customHeight="1" x14ac:dyDescent="0.45">
      <c r="C767" s="422"/>
      <c r="D767" s="417" t="str">
        <f>Criteria!E20</f>
        <v>29 FEBRUARY 2024</v>
      </c>
      <c r="J767" s="400" t="s">
        <v>247</v>
      </c>
    </row>
    <row r="768" spans="2:18" ht="31.5" customHeight="1" x14ac:dyDescent="0.45">
      <c r="C768" s="422"/>
    </row>
    <row r="769" spans="2:17" ht="31.5" customHeight="1" x14ac:dyDescent="0.45">
      <c r="B769" s="438"/>
      <c r="C769" s="452"/>
      <c r="D769" s="439"/>
      <c r="E769" s="439"/>
      <c r="F769" s="439"/>
      <c r="G769" s="439"/>
      <c r="H769" s="439"/>
      <c r="I769" s="439"/>
      <c r="J769" s="439"/>
      <c r="K769" s="439"/>
      <c r="L769" s="439"/>
      <c r="M769" s="447"/>
      <c r="N769" s="448"/>
      <c r="O769" s="447"/>
      <c r="P769" s="448"/>
      <c r="Q769" s="440"/>
    </row>
    <row r="770" spans="2:17" ht="31.5" customHeight="1" x14ac:dyDescent="0.45">
      <c r="B770" s="323"/>
      <c r="C770" s="453"/>
      <c r="D770" s="454" t="s">
        <v>1000</v>
      </c>
      <c r="Q770" s="442"/>
    </row>
    <row r="771" spans="2:17" ht="31.5" customHeight="1" x14ac:dyDescent="0.45">
      <c r="B771" s="323"/>
      <c r="C771" s="453"/>
      <c r="D771" s="400" t="s">
        <v>899</v>
      </c>
      <c r="Q771" s="442"/>
    </row>
    <row r="772" spans="2:17" ht="31.5" customHeight="1" x14ac:dyDescent="0.45">
      <c r="B772" s="323"/>
      <c r="C772" s="453"/>
      <c r="D772" s="400" t="s">
        <v>900</v>
      </c>
      <c r="Q772" s="442"/>
    </row>
    <row r="773" spans="2:17" ht="31.5" customHeight="1" x14ac:dyDescent="0.45">
      <c r="B773" s="323"/>
      <c r="C773" s="453"/>
      <c r="D773" s="400" t="s">
        <v>1001</v>
      </c>
      <c r="Q773" s="442"/>
    </row>
    <row r="774" spans="2:17" ht="31.5" customHeight="1" x14ac:dyDescent="0.45">
      <c r="B774" s="323"/>
      <c r="C774" s="453"/>
      <c r="D774" s="400" t="s">
        <v>1002</v>
      </c>
      <c r="Q774" s="442"/>
    </row>
    <row r="775" spans="2:17" ht="31.5" customHeight="1" x14ac:dyDescent="0.45">
      <c r="B775" s="323"/>
      <c r="C775" s="453"/>
      <c r="D775" s="400" t="s">
        <v>1003</v>
      </c>
      <c r="Q775" s="442"/>
    </row>
    <row r="776" spans="2:17" ht="31.5" customHeight="1" x14ac:dyDescent="0.45">
      <c r="B776" s="323"/>
      <c r="C776" s="453"/>
      <c r="D776" s="400" t="s">
        <v>1004</v>
      </c>
      <c r="Q776" s="442"/>
    </row>
    <row r="777" spans="2:17" ht="31.5" customHeight="1" x14ac:dyDescent="0.45">
      <c r="B777" s="323"/>
      <c r="C777" s="453"/>
      <c r="D777" s="400" t="s">
        <v>1008</v>
      </c>
      <c r="Q777" s="442"/>
    </row>
    <row r="778" spans="2:17" ht="31.5" customHeight="1" x14ac:dyDescent="0.45">
      <c r="B778" s="323"/>
      <c r="C778" s="453"/>
      <c r="D778" s="400" t="s">
        <v>901</v>
      </c>
      <c r="Q778" s="442"/>
    </row>
    <row r="779" spans="2:17" ht="31.5" customHeight="1" x14ac:dyDescent="0.45">
      <c r="B779" s="323"/>
      <c r="C779" s="453"/>
      <c r="Q779" s="442"/>
    </row>
    <row r="780" spans="2:17" ht="31.5" customHeight="1" x14ac:dyDescent="0.45">
      <c r="B780" s="323"/>
      <c r="C780" s="453"/>
      <c r="Q780" s="442"/>
    </row>
    <row r="781" spans="2:17" ht="31.5" customHeight="1" x14ac:dyDescent="0.45">
      <c r="B781" s="445"/>
      <c r="C781" s="429"/>
      <c r="D781" s="429"/>
      <c r="E781" s="429"/>
      <c r="F781" s="429"/>
      <c r="G781" s="429"/>
      <c r="H781" s="429"/>
      <c r="I781" s="429"/>
      <c r="J781" s="429"/>
      <c r="K781" s="306"/>
      <c r="L781" s="306"/>
      <c r="M781" s="352"/>
      <c r="N781" s="307"/>
      <c r="O781" s="352"/>
      <c r="P781" s="307"/>
      <c r="Q781" s="446"/>
    </row>
    <row r="782" spans="2:17" ht="31.5" customHeight="1" x14ac:dyDescent="0.45">
      <c r="C782" s="422"/>
    </row>
    <row r="783" spans="2:17" ht="31.5" customHeight="1" x14ac:dyDescent="0.45">
      <c r="C783" s="422"/>
    </row>
    <row r="784" spans="2:17" ht="31.5" customHeight="1" x14ac:dyDescent="0.45">
      <c r="C784" s="422"/>
      <c r="D784" s="417" t="str">
        <f>Criteria!E9</f>
        <v>HOLDING COMPANY 268 (PROPRIETARY) LIMITED</v>
      </c>
      <c r="O784" s="346" t="s">
        <v>96</v>
      </c>
      <c r="Q784" s="292">
        <f>MAX($Q$114:Q783)+1</f>
        <v>18</v>
      </c>
    </row>
    <row r="785" spans="2:18" ht="31.5" customHeight="1" x14ac:dyDescent="0.45">
      <c r="C785" s="422"/>
      <c r="D785" s="417" t="str">
        <f>Criteria!E10</f>
        <v>CONSOLIDATED FINANCIAL STATEMENTS</v>
      </c>
      <c r="R785" s="403" t="str">
        <f>IF(D785=0,"DELETE"," ")</f>
        <v xml:space="preserve"> </v>
      </c>
    </row>
    <row r="786" spans="2:18" ht="31.5" customHeight="1" x14ac:dyDescent="0.45">
      <c r="C786" s="422"/>
    </row>
    <row r="787" spans="2:18" ht="31.5" customHeight="1" x14ac:dyDescent="0.45">
      <c r="C787" s="422"/>
      <c r="D787" s="417" t="s">
        <v>377</v>
      </c>
    </row>
    <row r="788" spans="2:18" ht="31.5" customHeight="1" x14ac:dyDescent="0.45">
      <c r="C788" s="422"/>
      <c r="D788" s="417" t="str">
        <f>Criteria!E20</f>
        <v>29 FEBRUARY 2024</v>
      </c>
      <c r="J788" s="400" t="s">
        <v>247</v>
      </c>
    </row>
    <row r="789" spans="2:18" ht="31.5" customHeight="1" x14ac:dyDescent="0.45">
      <c r="C789" s="422"/>
    </row>
    <row r="790" spans="2:18" ht="31.5" customHeight="1" x14ac:dyDescent="0.45">
      <c r="B790" s="438"/>
      <c r="C790" s="452"/>
      <c r="D790" s="439"/>
      <c r="E790" s="439"/>
      <c r="F790" s="439"/>
      <c r="G790" s="439"/>
      <c r="H790" s="439"/>
      <c r="I790" s="439"/>
      <c r="J790" s="439"/>
      <c r="K790" s="439"/>
      <c r="L790" s="439"/>
      <c r="M790" s="447"/>
      <c r="N790" s="448"/>
      <c r="O790" s="447"/>
      <c r="P790" s="448"/>
      <c r="Q790" s="440"/>
    </row>
    <row r="791" spans="2:18" ht="31.5" customHeight="1" x14ac:dyDescent="0.45">
      <c r="B791" s="323">
        <f>MAX(B$559:B790)+1</f>
        <v>2</v>
      </c>
      <c r="C791" s="453" t="s">
        <v>49</v>
      </c>
      <c r="D791" s="405"/>
      <c r="Q791" s="442"/>
    </row>
    <row r="792" spans="2:18" ht="31.5" customHeight="1" x14ac:dyDescent="0.45">
      <c r="B792" s="323"/>
      <c r="C792" s="453"/>
      <c r="D792" s="400" t="s">
        <v>1006</v>
      </c>
      <c r="Q792" s="442"/>
    </row>
    <row r="793" spans="2:18" ht="31.5" customHeight="1" x14ac:dyDescent="0.45">
      <c r="B793" s="323"/>
      <c r="C793" s="453"/>
      <c r="Q793" s="442"/>
    </row>
    <row r="794" spans="2:18" ht="31.5" customHeight="1" x14ac:dyDescent="0.45">
      <c r="B794" s="323"/>
      <c r="C794" s="453"/>
      <c r="Q794" s="442"/>
    </row>
    <row r="795" spans="2:18" ht="31.5" customHeight="1" x14ac:dyDescent="0.45">
      <c r="B795" s="455"/>
      <c r="C795" s="456"/>
      <c r="D795" s="429"/>
      <c r="E795" s="429"/>
      <c r="F795" s="429"/>
      <c r="G795" s="429"/>
      <c r="H795" s="429"/>
      <c r="I795" s="429"/>
      <c r="J795" s="429"/>
      <c r="K795" s="429"/>
      <c r="L795" s="429"/>
      <c r="M795" s="432"/>
      <c r="N795" s="433"/>
      <c r="O795" s="432"/>
      <c r="P795" s="433"/>
      <c r="Q795" s="446"/>
    </row>
    <row r="796" spans="2:18" ht="31.5" customHeight="1" x14ac:dyDescent="0.45">
      <c r="B796" s="422"/>
      <c r="C796" s="453"/>
    </row>
    <row r="797" spans="2:18" ht="31.5" customHeight="1" x14ac:dyDescent="0.45">
      <c r="B797" s="422"/>
    </row>
    <row r="798" spans="2:18" ht="31.5" customHeight="1" x14ac:dyDescent="0.45">
      <c r="B798" s="422"/>
      <c r="D798" s="417" t="str">
        <f>Criteria!E9</f>
        <v>HOLDING COMPANY 268 (PROPRIETARY) LIMITED</v>
      </c>
      <c r="O798" s="346" t="s">
        <v>96</v>
      </c>
      <c r="Q798" s="292">
        <f>MAX($Q$114:Q797)+1</f>
        <v>19</v>
      </c>
    </row>
    <row r="799" spans="2:18" ht="31.5" customHeight="1" x14ac:dyDescent="0.45">
      <c r="B799" s="422"/>
      <c r="D799" s="417" t="str">
        <f>Criteria!E10</f>
        <v>CONSOLIDATED FINANCIAL STATEMENTS</v>
      </c>
      <c r="R799" s="403" t="str">
        <f>IF(D799=0,"DELETE"," ")</f>
        <v xml:space="preserve"> </v>
      </c>
    </row>
    <row r="800" spans="2:18" ht="31.5" customHeight="1" x14ac:dyDescent="0.45">
      <c r="B800" s="422"/>
    </row>
    <row r="801" spans="2:18" ht="31.5" customHeight="1" x14ac:dyDescent="0.45">
      <c r="B801" s="422"/>
      <c r="D801" s="417" t="s">
        <v>377</v>
      </c>
    </row>
    <row r="802" spans="2:18" ht="31.5" customHeight="1" x14ac:dyDescent="0.45">
      <c r="B802" s="422"/>
      <c r="D802" s="417" t="str">
        <f>Criteria!E20</f>
        <v>29 FEBRUARY 2024</v>
      </c>
      <c r="J802" s="400" t="s">
        <v>247</v>
      </c>
    </row>
    <row r="803" spans="2:18" ht="31.5" customHeight="1" x14ac:dyDescent="0.45">
      <c r="B803" s="422"/>
      <c r="D803" s="417"/>
    </row>
    <row r="804" spans="2:18" ht="31.5" customHeight="1" x14ac:dyDescent="0.45">
      <c r="B804" s="457"/>
      <c r="C804" s="439"/>
      <c r="D804" s="458"/>
      <c r="E804" s="439"/>
      <c r="F804" s="439"/>
      <c r="G804" s="439"/>
      <c r="H804" s="439"/>
      <c r="I804" s="439"/>
      <c r="J804" s="439"/>
      <c r="K804" s="439"/>
      <c r="L804" s="439"/>
      <c r="M804" s="447"/>
      <c r="N804" s="448"/>
      <c r="O804" s="447"/>
      <c r="P804" s="448"/>
      <c r="Q804" s="440"/>
    </row>
    <row r="805" spans="2:18" ht="31.5" customHeight="1" x14ac:dyDescent="0.45">
      <c r="B805" s="459"/>
      <c r="D805" s="417"/>
      <c r="M805" s="424"/>
      <c r="N805" s="425"/>
      <c r="O805" s="344">
        <f>Criteria!E22</f>
        <v>2024</v>
      </c>
      <c r="P805" s="425"/>
      <c r="Q805" s="442"/>
    </row>
    <row r="806" spans="2:18" ht="31.5" customHeight="1" x14ac:dyDescent="0.45">
      <c r="B806" s="459"/>
      <c r="D806" s="417"/>
      <c r="M806" s="424"/>
      <c r="N806" s="425"/>
      <c r="O806" s="424"/>
      <c r="P806" s="425"/>
      <c r="Q806" s="442"/>
    </row>
    <row r="807" spans="2:18" ht="31.5" customHeight="1" x14ac:dyDescent="0.45">
      <c r="B807" s="323">
        <f>MAX(B$559:B806)+1</f>
        <v>3</v>
      </c>
      <c r="C807" s="417" t="s">
        <v>112</v>
      </c>
      <c r="D807" s="417"/>
      <c r="M807" s="424"/>
      <c r="N807" s="425"/>
      <c r="O807" s="424"/>
      <c r="P807" s="425"/>
      <c r="Q807" s="442"/>
    </row>
    <row r="808" spans="2:18" ht="31.5" customHeight="1" x14ac:dyDescent="0.45">
      <c r="B808" s="459"/>
      <c r="D808" s="400" t="str">
        <f>TrialBalance!C5</f>
        <v>Sale of goods</v>
      </c>
      <c r="M808" s="424"/>
      <c r="N808" s="425"/>
      <c r="O808" s="436">
        <f>-TrialBalance!L5-TrialBalanceA!I5-TrialBalanceB!I5-TrialBalanceC!I5</f>
        <v>0</v>
      </c>
      <c r="P808" s="425"/>
      <c r="Q808" s="442"/>
      <c r="R808" s="403" t="str">
        <f>IF(O808=0,IF(SUM(O809:O814)&gt;0,"DELETE"," ")," ")</f>
        <v xml:space="preserve"> </v>
      </c>
    </row>
    <row r="809" spans="2:18" ht="31.5" customHeight="1" x14ac:dyDescent="0.45">
      <c r="B809" s="459"/>
      <c r="D809" s="400" t="str">
        <f>TrialBalance!C6</f>
        <v>Rendering of services</v>
      </c>
      <c r="M809" s="424"/>
      <c r="N809" s="425"/>
      <c r="O809" s="436">
        <f>-TrialBalance!L6-TrialBalanceA!I6-TrialBalanceB!I6-TrialBalanceC!I6</f>
        <v>0</v>
      </c>
      <c r="P809" s="425"/>
      <c r="Q809" s="442"/>
      <c r="R809" s="403" t="str">
        <f>IF(O809=0,"DELETE"," ")</f>
        <v>DELETE</v>
      </c>
    </row>
    <row r="810" spans="2:18" ht="31.5" customHeight="1" x14ac:dyDescent="0.45">
      <c r="B810" s="459"/>
      <c r="D810" s="400" t="str">
        <f>TrialBalance!C7</f>
        <v>Commissions received</v>
      </c>
      <c r="M810" s="424"/>
      <c r="N810" s="425"/>
      <c r="O810" s="436">
        <f>-TrialBalance!L7-TrialBalanceA!I7-TrialBalanceB!I7-TrialBalanceC!I7</f>
        <v>0</v>
      </c>
      <c r="P810" s="425"/>
      <c r="Q810" s="442"/>
      <c r="R810" s="403" t="str">
        <f t="shared" ref="R810:R814" si="16">IF(O810=0,"DELETE"," ")</f>
        <v>DELETE</v>
      </c>
    </row>
    <row r="811" spans="2:18" ht="31.5" customHeight="1" x14ac:dyDescent="0.45">
      <c r="B811" s="459"/>
      <c r="D811" s="400">
        <f>TrialBalance!C8</f>
        <v>0</v>
      </c>
      <c r="M811" s="424"/>
      <c r="N811" s="425"/>
      <c r="O811" s="436">
        <f>-TrialBalance!L8-TrialBalanceA!I8-TrialBalanceB!I8-TrialBalanceC!I8</f>
        <v>0</v>
      </c>
      <c r="P811" s="425"/>
      <c r="Q811" s="442"/>
      <c r="R811" s="403" t="str">
        <f t="shared" si="16"/>
        <v>DELETE</v>
      </c>
    </row>
    <row r="812" spans="2:18" ht="31.5" customHeight="1" x14ac:dyDescent="0.45">
      <c r="B812" s="459"/>
      <c r="D812" s="400">
        <f>TrialBalance!C9</f>
        <v>0</v>
      </c>
      <c r="M812" s="424"/>
      <c r="N812" s="425"/>
      <c r="O812" s="436">
        <f>-TrialBalance!L9-TrialBalanceA!I9-TrialBalanceB!I9-TrialBalanceC!I9</f>
        <v>0</v>
      </c>
      <c r="P812" s="425"/>
      <c r="Q812" s="442"/>
      <c r="R812" s="403" t="str">
        <f t="shared" si="16"/>
        <v>DELETE</v>
      </c>
    </row>
    <row r="813" spans="2:18" ht="31.5" customHeight="1" x14ac:dyDescent="0.45">
      <c r="B813" s="459"/>
      <c r="D813" s="400">
        <f>TrialBalance!C10</f>
        <v>0</v>
      </c>
      <c r="M813" s="424"/>
      <c r="N813" s="425"/>
      <c r="O813" s="436">
        <f>-TrialBalance!L10-TrialBalanceA!I10-TrialBalanceB!I10-TrialBalanceC!I10</f>
        <v>0</v>
      </c>
      <c r="P813" s="425"/>
      <c r="Q813" s="442"/>
      <c r="R813" s="403" t="str">
        <f t="shared" si="16"/>
        <v>DELETE</v>
      </c>
    </row>
    <row r="814" spans="2:18" ht="31.5" customHeight="1" x14ac:dyDescent="0.45">
      <c r="B814" s="459"/>
      <c r="D814" s="400" t="str">
        <f>TrialBalance!C11</f>
        <v>Rent received</v>
      </c>
      <c r="M814" s="424"/>
      <c r="N814" s="425"/>
      <c r="O814" s="436">
        <f>-TrialBalance!L11-TrialBalanceA!I11-TrialBalanceB!I11-TrialBalanceC!I11</f>
        <v>0</v>
      </c>
      <c r="P814" s="425"/>
      <c r="Q814" s="442"/>
      <c r="R814" s="403" t="str">
        <f t="shared" si="16"/>
        <v>DELETE</v>
      </c>
    </row>
    <row r="815" spans="2:18" ht="9" customHeight="1" x14ac:dyDescent="0.45">
      <c r="B815" s="459"/>
      <c r="D815" s="417"/>
      <c r="M815" s="424"/>
      <c r="N815" s="425"/>
      <c r="O815" s="437"/>
      <c r="P815" s="425"/>
      <c r="Q815" s="442"/>
    </row>
    <row r="816" spans="2:18" ht="9" customHeight="1" x14ac:dyDescent="0.45">
      <c r="B816" s="459"/>
      <c r="D816" s="417"/>
      <c r="M816" s="424"/>
      <c r="N816" s="425"/>
      <c r="O816" s="436"/>
      <c r="P816" s="425"/>
      <c r="Q816" s="442"/>
    </row>
    <row r="817" spans="2:18" ht="31.5" customHeight="1" x14ac:dyDescent="0.45">
      <c r="B817" s="459"/>
      <c r="D817" s="417"/>
      <c r="M817" s="424"/>
      <c r="N817" s="425"/>
      <c r="O817" s="436">
        <f>SUM(O808:O816)</f>
        <v>0</v>
      </c>
      <c r="P817" s="425"/>
      <c r="Q817" s="442"/>
    </row>
    <row r="818" spans="2:18" ht="9" customHeight="1" thickBot="1" x14ac:dyDescent="0.5">
      <c r="B818" s="459"/>
      <c r="D818" s="417"/>
      <c r="M818" s="424"/>
      <c r="N818" s="425"/>
      <c r="O818" s="435"/>
      <c r="P818" s="425"/>
      <c r="Q818" s="442"/>
    </row>
    <row r="819" spans="2:18" ht="9" customHeight="1" thickTop="1" x14ac:dyDescent="0.45">
      <c r="B819" s="459"/>
      <c r="D819" s="417"/>
      <c r="M819" s="424"/>
      <c r="N819" s="425"/>
      <c r="O819" s="436"/>
      <c r="P819" s="425"/>
      <c r="Q819" s="442"/>
    </row>
    <row r="820" spans="2:18" ht="31.5" customHeight="1" x14ac:dyDescent="0.45">
      <c r="B820" s="459"/>
      <c r="D820" s="417"/>
      <c r="M820" s="424"/>
      <c r="N820" s="425"/>
      <c r="O820" s="424"/>
      <c r="P820" s="425"/>
      <c r="Q820" s="442"/>
    </row>
    <row r="821" spans="2:18" ht="31.5" customHeight="1" x14ac:dyDescent="0.45">
      <c r="B821" s="459"/>
      <c r="D821" s="417"/>
      <c r="M821" s="424"/>
      <c r="N821" s="425"/>
      <c r="O821" s="424"/>
      <c r="P821" s="425"/>
      <c r="Q821" s="442"/>
    </row>
    <row r="822" spans="2:18" ht="31.5" customHeight="1" x14ac:dyDescent="0.45">
      <c r="B822" s="455"/>
      <c r="C822" s="456"/>
      <c r="D822" s="429"/>
      <c r="E822" s="429"/>
      <c r="F822" s="429"/>
      <c r="G822" s="429"/>
      <c r="H822" s="429"/>
      <c r="I822" s="429"/>
      <c r="J822" s="429"/>
      <c r="K822" s="429"/>
      <c r="L822" s="429"/>
      <c r="M822" s="432"/>
      <c r="N822" s="433"/>
      <c r="O822" s="432"/>
      <c r="P822" s="433"/>
      <c r="Q822" s="446"/>
    </row>
    <row r="823" spans="2:18" ht="31.5" customHeight="1" x14ac:dyDescent="0.45">
      <c r="B823" s="422"/>
      <c r="C823" s="453"/>
    </row>
    <row r="824" spans="2:18" ht="31.5" customHeight="1" x14ac:dyDescent="0.45">
      <c r="B824" s="422"/>
      <c r="R824" s="403" t="str">
        <f t="shared" ref="R824:R833" si="17">R$861</f>
        <v>DELETE</v>
      </c>
    </row>
    <row r="825" spans="2:18" ht="31.5" customHeight="1" x14ac:dyDescent="0.45">
      <c r="B825" s="422"/>
      <c r="D825" s="417" t="str">
        <f>Criteria!E9</f>
        <v>HOLDING COMPANY 268 (PROPRIETARY) LIMITED</v>
      </c>
      <c r="O825" s="346" t="s">
        <v>96</v>
      </c>
      <c r="Q825" s="292">
        <f>MAX($Q$114:Q824)+1</f>
        <v>20</v>
      </c>
      <c r="R825" s="403" t="str">
        <f t="shared" si="17"/>
        <v>DELETE</v>
      </c>
    </row>
    <row r="826" spans="2:18" ht="31.5" customHeight="1" x14ac:dyDescent="0.45">
      <c r="B826" s="422"/>
      <c r="D826" s="417" t="str">
        <f>Criteria!E10</f>
        <v>CONSOLIDATED FINANCIAL STATEMENTS</v>
      </c>
      <c r="R826" s="403" t="str">
        <f>IF(R$861="DELETE","DELETE",IF(D826=0,"DELETE"," "))</f>
        <v>DELETE</v>
      </c>
    </row>
    <row r="827" spans="2:18" ht="31.5" customHeight="1" x14ac:dyDescent="0.45">
      <c r="B827" s="422"/>
      <c r="R827" s="403" t="str">
        <f t="shared" si="17"/>
        <v>DELETE</v>
      </c>
    </row>
    <row r="828" spans="2:18" ht="31.5" customHeight="1" x14ac:dyDescent="0.45">
      <c r="B828" s="422"/>
      <c r="D828" s="417" t="s">
        <v>377</v>
      </c>
      <c r="R828" s="403" t="str">
        <f t="shared" si="17"/>
        <v>DELETE</v>
      </c>
    </row>
    <row r="829" spans="2:18" ht="31.5" customHeight="1" x14ac:dyDescent="0.45">
      <c r="B829" s="422"/>
      <c r="D829" s="417" t="str">
        <f>Criteria!E20</f>
        <v>29 FEBRUARY 2024</v>
      </c>
      <c r="J829" s="400" t="s">
        <v>247</v>
      </c>
      <c r="R829" s="403" t="str">
        <f t="shared" si="17"/>
        <v>DELETE</v>
      </c>
    </row>
    <row r="830" spans="2:18" ht="31.5" customHeight="1" x14ac:dyDescent="0.45">
      <c r="B830" s="422"/>
      <c r="D830" s="417"/>
      <c r="R830" s="403" t="str">
        <f t="shared" si="17"/>
        <v>DELETE</v>
      </c>
    </row>
    <row r="831" spans="2:18" ht="31.5" customHeight="1" x14ac:dyDescent="0.45">
      <c r="B831" s="457"/>
      <c r="C831" s="439"/>
      <c r="D831" s="458"/>
      <c r="E831" s="439"/>
      <c r="F831" s="439"/>
      <c r="G831" s="439"/>
      <c r="H831" s="439"/>
      <c r="I831" s="439"/>
      <c r="J831" s="439"/>
      <c r="K831" s="439"/>
      <c r="L831" s="439"/>
      <c r="M831" s="447"/>
      <c r="N831" s="448"/>
      <c r="O831" s="447"/>
      <c r="P831" s="448"/>
      <c r="Q831" s="440"/>
      <c r="R831" s="403" t="str">
        <f t="shared" si="17"/>
        <v>DELETE</v>
      </c>
    </row>
    <row r="832" spans="2:18" ht="31.5" customHeight="1" x14ac:dyDescent="0.45">
      <c r="B832" s="459"/>
      <c r="D832" s="417"/>
      <c r="M832" s="424"/>
      <c r="N832" s="425"/>
      <c r="O832" s="344">
        <f>Criteria!E22</f>
        <v>2024</v>
      </c>
      <c r="P832" s="425"/>
      <c r="Q832" s="442"/>
      <c r="R832" s="403" t="str">
        <f t="shared" si="17"/>
        <v>DELETE</v>
      </c>
    </row>
    <row r="833" spans="2:18" ht="31.5" customHeight="1" x14ac:dyDescent="0.45">
      <c r="B833" s="459"/>
      <c r="D833" s="417"/>
      <c r="M833" s="424"/>
      <c r="N833" s="425"/>
      <c r="O833" s="424"/>
      <c r="P833" s="425"/>
      <c r="Q833" s="442"/>
      <c r="R833" s="403" t="str">
        <f t="shared" si="17"/>
        <v>DELETE</v>
      </c>
    </row>
    <row r="834" spans="2:18" ht="31.5" customHeight="1" x14ac:dyDescent="0.45">
      <c r="B834" s="323">
        <f>MAX(B$559:B833)+1</f>
        <v>4</v>
      </c>
      <c r="C834" s="417" t="s">
        <v>323</v>
      </c>
      <c r="L834" s="405"/>
      <c r="M834" s="421"/>
      <c r="N834" s="400"/>
      <c r="O834" s="347"/>
      <c r="Q834" s="442"/>
      <c r="R834" s="403" t="str">
        <f>R$861</f>
        <v>DELETE</v>
      </c>
    </row>
    <row r="835" spans="2:18" ht="31.5" customHeight="1" x14ac:dyDescent="0.45">
      <c r="B835" s="323"/>
      <c r="C835" s="417"/>
      <c r="D835" s="400" t="str">
        <f>TrialBalance!C28</f>
        <v>Insurance claims - Investments in financial instruments</v>
      </c>
      <c r="L835" s="405"/>
      <c r="M835" s="421"/>
      <c r="N835" s="400"/>
      <c r="O835" s="347">
        <f>-TrialBalance!L28</f>
        <v>0</v>
      </c>
      <c r="Q835" s="442"/>
      <c r="R835" s="403" t="str">
        <f t="shared" ref="R835:R857" si="18">IF(O835=0,"DELETE"," ")</f>
        <v>DELETE</v>
      </c>
    </row>
    <row r="836" spans="2:18" ht="31.5" customHeight="1" x14ac:dyDescent="0.45">
      <c r="B836" s="323"/>
      <c r="C836" s="417"/>
      <c r="D836" s="400" t="str">
        <f>TrialBalance!C29</f>
        <v>Government grants received</v>
      </c>
      <c r="L836" s="405"/>
      <c r="M836" s="421"/>
      <c r="N836" s="400"/>
      <c r="O836" s="347">
        <f>-TrialBalance!L29</f>
        <v>0</v>
      </c>
      <c r="Q836" s="442"/>
      <c r="R836" s="403" t="str">
        <f t="shared" si="18"/>
        <v>DELETE</v>
      </c>
    </row>
    <row r="837" spans="2:18" ht="31.5" customHeight="1" x14ac:dyDescent="0.45">
      <c r="B837" s="323"/>
      <c r="C837" s="417"/>
      <c r="D837" s="400">
        <f>TrialBalance!C30</f>
        <v>0</v>
      </c>
      <c r="L837" s="405"/>
      <c r="M837" s="421"/>
      <c r="N837" s="400"/>
      <c r="O837" s="347">
        <f>-TrialBalance!L30</f>
        <v>0</v>
      </c>
      <c r="Q837" s="442"/>
      <c r="R837" s="403" t="str">
        <f t="shared" si="18"/>
        <v>DELETE</v>
      </c>
    </row>
    <row r="838" spans="2:18" ht="31.5" customHeight="1" x14ac:dyDescent="0.45">
      <c r="B838" s="323"/>
      <c r="C838" s="417"/>
      <c r="D838" s="400">
        <f>TrialBalance!C31</f>
        <v>0</v>
      </c>
      <c r="L838" s="405"/>
      <c r="M838" s="421"/>
      <c r="N838" s="400"/>
      <c r="O838" s="347">
        <f>-TrialBalance!L31</f>
        <v>0</v>
      </c>
      <c r="Q838" s="442"/>
      <c r="R838" s="403" t="str">
        <f t="shared" si="18"/>
        <v>DELETE</v>
      </c>
    </row>
    <row r="839" spans="2:18" ht="31.5" customHeight="1" x14ac:dyDescent="0.45">
      <c r="B839" s="323"/>
      <c r="C839" s="417"/>
      <c r="D839" s="400">
        <f>TrialBalance!C32</f>
        <v>0</v>
      </c>
      <c r="L839" s="405"/>
      <c r="M839" s="421"/>
      <c r="N839" s="400"/>
      <c r="O839" s="347">
        <f>-TrialBalance!L32</f>
        <v>0</v>
      </c>
      <c r="Q839" s="442"/>
      <c r="R839" s="403" t="str">
        <f t="shared" si="18"/>
        <v>DELETE</v>
      </c>
    </row>
    <row r="840" spans="2:18" ht="31.5" customHeight="1" x14ac:dyDescent="0.45">
      <c r="B840" s="323"/>
      <c r="C840" s="417"/>
      <c r="D840" s="400" t="str">
        <f>TrialBalance!C33</f>
        <v>Recoupment of depreciation</v>
      </c>
      <c r="L840" s="405"/>
      <c r="M840" s="421"/>
      <c r="N840" s="400"/>
      <c r="O840" s="347">
        <f>-TrialBalance!L33</f>
        <v>0</v>
      </c>
      <c r="Q840" s="442"/>
      <c r="R840" s="403" t="str">
        <f t="shared" ref="R840" si="19">IF(O840=0,"DELETE"," ")</f>
        <v>DELETE</v>
      </c>
    </row>
    <row r="841" spans="2:18" ht="31.5" customHeight="1" x14ac:dyDescent="0.45">
      <c r="B841" s="323"/>
      <c r="C841" s="417"/>
      <c r="D841" s="400" t="str">
        <f>TrialBalanceA!C28</f>
        <v>Insurance claims - Subsidiary One 111 (Pty) Ltd</v>
      </c>
      <c r="L841" s="405"/>
      <c r="M841" s="421"/>
      <c r="N841" s="400"/>
      <c r="O841" s="347">
        <f>-TrialBalanceA!I28</f>
        <v>0</v>
      </c>
      <c r="Q841" s="442"/>
      <c r="R841" s="403" t="str">
        <f t="shared" si="18"/>
        <v>DELETE</v>
      </c>
    </row>
    <row r="842" spans="2:18" ht="31.5" customHeight="1" x14ac:dyDescent="0.45">
      <c r="B842" s="323"/>
      <c r="C842" s="417"/>
      <c r="D842" s="400" t="str">
        <f>TrialBalanceA!C29</f>
        <v>Government grants received</v>
      </c>
      <c r="L842" s="405"/>
      <c r="M842" s="421"/>
      <c r="N842" s="400"/>
      <c r="O842" s="347">
        <f>-TrialBalanceA!I29</f>
        <v>0</v>
      </c>
      <c r="Q842" s="442"/>
      <c r="R842" s="403" t="str">
        <f t="shared" si="18"/>
        <v>DELETE</v>
      </c>
    </row>
    <row r="843" spans="2:18" ht="31.5" customHeight="1" x14ac:dyDescent="0.45">
      <c r="B843" s="323"/>
      <c r="C843" s="417"/>
      <c r="D843" s="400">
        <f>TrialBalanceA!C30</f>
        <v>0</v>
      </c>
      <c r="L843" s="405"/>
      <c r="M843" s="421"/>
      <c r="N843" s="400"/>
      <c r="O843" s="347">
        <f>-TrialBalanceA!I30</f>
        <v>0</v>
      </c>
      <c r="Q843" s="442"/>
      <c r="R843" s="403" t="str">
        <f t="shared" si="18"/>
        <v>DELETE</v>
      </c>
    </row>
    <row r="844" spans="2:18" ht="31.5" customHeight="1" x14ac:dyDescent="0.45">
      <c r="B844" s="323"/>
      <c r="C844" s="417"/>
      <c r="D844" s="400">
        <f>TrialBalanceA!C31</f>
        <v>0</v>
      </c>
      <c r="L844" s="405"/>
      <c r="M844" s="421"/>
      <c r="N844" s="400"/>
      <c r="O844" s="347">
        <f>-TrialBalanceA!I31</f>
        <v>0</v>
      </c>
      <c r="Q844" s="442"/>
      <c r="R844" s="403" t="str">
        <f t="shared" si="18"/>
        <v>DELETE</v>
      </c>
    </row>
    <row r="845" spans="2:18" ht="31.5" customHeight="1" x14ac:dyDescent="0.45">
      <c r="B845" s="323"/>
      <c r="C845" s="417"/>
      <c r="D845" s="400">
        <f>TrialBalanceA!C32</f>
        <v>0</v>
      </c>
      <c r="L845" s="405"/>
      <c r="M845" s="421"/>
      <c r="N845" s="400"/>
      <c r="O845" s="347">
        <f>-TrialBalanceA!I32</f>
        <v>0</v>
      </c>
      <c r="Q845" s="442"/>
      <c r="R845" s="403" t="str">
        <f t="shared" si="18"/>
        <v>DELETE</v>
      </c>
    </row>
    <row r="846" spans="2:18" ht="31.5" customHeight="1" x14ac:dyDescent="0.45">
      <c r="B846" s="323"/>
      <c r="C846" s="417"/>
      <c r="D846" s="400" t="str">
        <f>TrialBalanceA!C33</f>
        <v>Recoupment of depreciation</v>
      </c>
      <c r="L846" s="405"/>
      <c r="M846" s="421"/>
      <c r="N846" s="400"/>
      <c r="O846" s="347">
        <f>-TrialBalanceA!I33</f>
        <v>0</v>
      </c>
      <c r="Q846" s="442"/>
      <c r="R846" s="403" t="str">
        <f t="shared" ref="R846" si="20">IF(O846=0,"DELETE"," ")</f>
        <v>DELETE</v>
      </c>
    </row>
    <row r="847" spans="2:18" ht="31.5" customHeight="1" x14ac:dyDescent="0.45">
      <c r="B847" s="323"/>
      <c r="C847" s="417"/>
      <c r="D847" s="400" t="str">
        <f>TrialBalanceB!C28</f>
        <v>Insurance claims - Subsidiary Two 15 (Pty) Ltd</v>
      </c>
      <c r="L847" s="405"/>
      <c r="M847" s="421"/>
      <c r="N847" s="400"/>
      <c r="O847" s="347">
        <f>-TrialBalanceB!I28</f>
        <v>0</v>
      </c>
      <c r="Q847" s="442"/>
      <c r="R847" s="403" t="str">
        <f t="shared" si="18"/>
        <v>DELETE</v>
      </c>
    </row>
    <row r="848" spans="2:18" ht="31.5" customHeight="1" x14ac:dyDescent="0.45">
      <c r="B848" s="323"/>
      <c r="C848" s="417"/>
      <c r="D848" s="400" t="str">
        <f>TrialBalanceB!C29</f>
        <v>Government grants received</v>
      </c>
      <c r="L848" s="405"/>
      <c r="M848" s="421"/>
      <c r="N848" s="400"/>
      <c r="O848" s="347">
        <f>-TrialBalanceB!I29</f>
        <v>0</v>
      </c>
      <c r="Q848" s="442"/>
      <c r="R848" s="403" t="str">
        <f t="shared" si="18"/>
        <v>DELETE</v>
      </c>
    </row>
    <row r="849" spans="2:18" ht="31.5" customHeight="1" x14ac:dyDescent="0.45">
      <c r="B849" s="323"/>
      <c r="C849" s="417"/>
      <c r="D849" s="400">
        <f>TrialBalanceB!C30</f>
        <v>0</v>
      </c>
      <c r="L849" s="405"/>
      <c r="M849" s="421"/>
      <c r="N849" s="400"/>
      <c r="O849" s="347">
        <f>-TrialBalanceB!I30</f>
        <v>0</v>
      </c>
      <c r="Q849" s="442"/>
      <c r="R849" s="403" t="str">
        <f t="shared" si="18"/>
        <v>DELETE</v>
      </c>
    </row>
    <row r="850" spans="2:18" ht="31.5" customHeight="1" x14ac:dyDescent="0.45">
      <c r="B850" s="323"/>
      <c r="C850" s="417"/>
      <c r="D850" s="400">
        <f>TrialBalanceB!C31</f>
        <v>0</v>
      </c>
      <c r="L850" s="405"/>
      <c r="M850" s="421"/>
      <c r="N850" s="400"/>
      <c r="O850" s="347">
        <f>-TrialBalanceB!I31</f>
        <v>0</v>
      </c>
      <c r="Q850" s="442"/>
      <c r="R850" s="403" t="str">
        <f t="shared" si="18"/>
        <v>DELETE</v>
      </c>
    </row>
    <row r="851" spans="2:18" ht="31.5" customHeight="1" x14ac:dyDescent="0.45">
      <c r="B851" s="323"/>
      <c r="C851" s="417"/>
      <c r="D851" s="400">
        <f>TrialBalanceB!C32</f>
        <v>0</v>
      </c>
      <c r="L851" s="405"/>
      <c r="M851" s="421"/>
      <c r="N851" s="400"/>
      <c r="O851" s="347">
        <f>-TrialBalanceB!I32</f>
        <v>0</v>
      </c>
      <c r="Q851" s="442"/>
      <c r="R851" s="403" t="str">
        <f t="shared" si="18"/>
        <v>DELETE</v>
      </c>
    </row>
    <row r="852" spans="2:18" ht="31.5" customHeight="1" x14ac:dyDescent="0.45">
      <c r="B852" s="323"/>
      <c r="C852" s="417"/>
      <c r="D852" s="400" t="str">
        <f>TrialBalanceB!C33</f>
        <v>Recoupment of depreciation</v>
      </c>
      <c r="L852" s="405"/>
      <c r="M852" s="421"/>
      <c r="N852" s="400"/>
      <c r="O852" s="347">
        <f>-TrialBalanceB!I33</f>
        <v>0</v>
      </c>
      <c r="Q852" s="442"/>
      <c r="R852" s="403" t="str">
        <f t="shared" ref="R852" si="21">IF(O852=0,"DELETE"," ")</f>
        <v>DELETE</v>
      </c>
    </row>
    <row r="853" spans="2:18" ht="31.5" customHeight="1" x14ac:dyDescent="0.45">
      <c r="B853" s="323"/>
      <c r="C853" s="417"/>
      <c r="D853" s="400" t="str">
        <f>TrialBalanceC!C28</f>
        <v xml:space="preserve">Insurance claims - </v>
      </c>
      <c r="L853" s="405"/>
      <c r="M853" s="421"/>
      <c r="N853" s="400"/>
      <c r="O853" s="347">
        <f>-TrialBalanceC!I28</f>
        <v>0</v>
      </c>
      <c r="Q853" s="442"/>
      <c r="R853" s="403" t="str">
        <f t="shared" si="18"/>
        <v>DELETE</v>
      </c>
    </row>
    <row r="854" spans="2:18" ht="31.5" customHeight="1" x14ac:dyDescent="0.45">
      <c r="B854" s="323"/>
      <c r="C854" s="417"/>
      <c r="D854" s="400" t="str">
        <f>TrialBalanceC!C29</f>
        <v>Government grants received</v>
      </c>
      <c r="L854" s="405"/>
      <c r="M854" s="421"/>
      <c r="N854" s="400"/>
      <c r="O854" s="347">
        <f>-TrialBalanceC!I29</f>
        <v>0</v>
      </c>
      <c r="Q854" s="442"/>
      <c r="R854" s="403" t="str">
        <f t="shared" si="18"/>
        <v>DELETE</v>
      </c>
    </row>
    <row r="855" spans="2:18" ht="31.5" customHeight="1" x14ac:dyDescent="0.45">
      <c r="B855" s="323"/>
      <c r="C855" s="417"/>
      <c r="D855" s="400">
        <f>TrialBalanceC!C30</f>
        <v>0</v>
      </c>
      <c r="L855" s="405"/>
      <c r="M855" s="421"/>
      <c r="N855" s="400"/>
      <c r="O855" s="347">
        <f>-TrialBalanceC!I30</f>
        <v>0</v>
      </c>
      <c r="Q855" s="442"/>
      <c r="R855" s="403" t="str">
        <f t="shared" si="18"/>
        <v>DELETE</v>
      </c>
    </row>
    <row r="856" spans="2:18" ht="31.5" customHeight="1" x14ac:dyDescent="0.45">
      <c r="B856" s="323"/>
      <c r="C856" s="417"/>
      <c r="D856" s="400">
        <f>TrialBalanceC!C31</f>
        <v>0</v>
      </c>
      <c r="L856" s="405"/>
      <c r="M856" s="421"/>
      <c r="N856" s="400"/>
      <c r="O856" s="347">
        <f>-TrialBalanceC!I31</f>
        <v>0</v>
      </c>
      <c r="Q856" s="442"/>
      <c r="R856" s="403" t="str">
        <f t="shared" si="18"/>
        <v>DELETE</v>
      </c>
    </row>
    <row r="857" spans="2:18" ht="31.5" customHeight="1" x14ac:dyDescent="0.45">
      <c r="B857" s="323"/>
      <c r="C857" s="417"/>
      <c r="D857" s="400">
        <f>TrialBalanceC!C32</f>
        <v>0</v>
      </c>
      <c r="L857" s="405"/>
      <c r="M857" s="421"/>
      <c r="N857" s="400"/>
      <c r="O857" s="347">
        <f>-TrialBalanceC!I32</f>
        <v>0</v>
      </c>
      <c r="Q857" s="442"/>
      <c r="R857" s="403" t="str">
        <f t="shared" si="18"/>
        <v>DELETE</v>
      </c>
    </row>
    <row r="858" spans="2:18" ht="31.5" customHeight="1" x14ac:dyDescent="0.45">
      <c r="B858" s="323"/>
      <c r="C858" s="417"/>
      <c r="D858" s="400" t="str">
        <f>TrialBalanceC!C33</f>
        <v>Recoupment of depreciation</v>
      </c>
      <c r="L858" s="405"/>
      <c r="M858" s="421"/>
      <c r="N858" s="400"/>
      <c r="O858" s="347">
        <f>-TrialBalanceC!I33</f>
        <v>0</v>
      </c>
      <c r="Q858" s="442"/>
      <c r="R858" s="403" t="str">
        <f t="shared" ref="R858" si="22">IF(O858=0,"DELETE"," ")</f>
        <v>DELETE</v>
      </c>
    </row>
    <row r="859" spans="2:18" ht="9" customHeight="1" x14ac:dyDescent="0.45">
      <c r="B859" s="323"/>
      <c r="C859" s="417"/>
      <c r="L859" s="405"/>
      <c r="M859" s="421"/>
      <c r="N859" s="400"/>
      <c r="O859" s="349"/>
      <c r="Q859" s="442"/>
      <c r="R859" s="403" t="str">
        <f>R$861</f>
        <v>DELETE</v>
      </c>
    </row>
    <row r="860" spans="2:18" ht="9" customHeight="1" x14ac:dyDescent="0.45">
      <c r="B860" s="323"/>
      <c r="C860" s="417"/>
      <c r="L860" s="405"/>
      <c r="M860" s="421"/>
      <c r="N860" s="400"/>
      <c r="O860" s="347"/>
      <c r="Q860" s="442"/>
      <c r="R860" s="403" t="str">
        <f>R$861</f>
        <v>DELETE</v>
      </c>
    </row>
    <row r="861" spans="2:18" ht="31.5" customHeight="1" x14ac:dyDescent="0.45">
      <c r="B861" s="323"/>
      <c r="C861" s="417"/>
      <c r="L861" s="405"/>
      <c r="M861" s="421"/>
      <c r="N861" s="400"/>
      <c r="O861" s="347">
        <f>SUM(O835:O860)</f>
        <v>0</v>
      </c>
      <c r="Q861" s="442"/>
      <c r="R861" s="403" t="str">
        <f t="shared" ref="R861" si="23">IF(O861=0,"DELETE"," ")</f>
        <v>DELETE</v>
      </c>
    </row>
    <row r="862" spans="2:18" ht="9" customHeight="1" thickBot="1" x14ac:dyDescent="0.5">
      <c r="B862" s="323"/>
      <c r="C862" s="417"/>
      <c r="L862" s="405"/>
      <c r="M862" s="421"/>
      <c r="N862" s="400"/>
      <c r="O862" s="351"/>
      <c r="Q862" s="442"/>
      <c r="R862" s="403" t="str">
        <f>R$861</f>
        <v>DELETE</v>
      </c>
    </row>
    <row r="863" spans="2:18" ht="9" customHeight="1" thickTop="1" x14ac:dyDescent="0.45">
      <c r="B863" s="323"/>
      <c r="C863" s="417"/>
      <c r="L863" s="405"/>
      <c r="M863" s="421"/>
      <c r="N863" s="400"/>
      <c r="O863" s="363"/>
      <c r="Q863" s="442"/>
      <c r="R863" s="403" t="str">
        <f>R$861</f>
        <v>DELETE</v>
      </c>
    </row>
    <row r="864" spans="2:18" ht="31.5" customHeight="1" x14ac:dyDescent="0.45">
      <c r="B864" s="323"/>
      <c r="C864" s="417"/>
      <c r="L864" s="405"/>
      <c r="M864" s="421"/>
      <c r="N864" s="400"/>
      <c r="O864" s="347"/>
      <c r="Q864" s="442"/>
      <c r="R864" s="403" t="str">
        <f>R$861</f>
        <v>DELETE</v>
      </c>
    </row>
    <row r="865" spans="2:23" ht="31.5" customHeight="1" x14ac:dyDescent="0.45">
      <c r="B865" s="323"/>
      <c r="C865" s="417"/>
      <c r="L865" s="405"/>
      <c r="M865" s="421"/>
      <c r="N865" s="400"/>
      <c r="O865" s="347"/>
      <c r="Q865" s="442"/>
      <c r="R865" s="403" t="str">
        <f t="shared" ref="R865:R867" si="24">R$861</f>
        <v>DELETE</v>
      </c>
    </row>
    <row r="866" spans="2:23" ht="31.5" customHeight="1" x14ac:dyDescent="0.45">
      <c r="B866" s="455"/>
      <c r="C866" s="456"/>
      <c r="D866" s="429"/>
      <c r="E866" s="429"/>
      <c r="F866" s="429"/>
      <c r="G866" s="429"/>
      <c r="H866" s="429"/>
      <c r="I866" s="429"/>
      <c r="J866" s="429"/>
      <c r="K866" s="429"/>
      <c r="L866" s="429"/>
      <c r="M866" s="432"/>
      <c r="N866" s="433"/>
      <c r="O866" s="432"/>
      <c r="P866" s="433"/>
      <c r="Q866" s="446"/>
      <c r="R866" s="403" t="str">
        <f t="shared" si="24"/>
        <v>DELETE</v>
      </c>
    </row>
    <row r="867" spans="2:23" ht="31.5" customHeight="1" x14ac:dyDescent="0.45">
      <c r="B867" s="422"/>
      <c r="C867" s="453"/>
      <c r="R867" s="403" t="str">
        <f t="shared" si="24"/>
        <v>DELETE</v>
      </c>
    </row>
    <row r="868" spans="2:23" ht="31.5" customHeight="1" x14ac:dyDescent="0.45">
      <c r="B868" s="422"/>
    </row>
    <row r="869" spans="2:23" ht="31.5" customHeight="1" x14ac:dyDescent="0.45">
      <c r="B869" s="422"/>
      <c r="D869" s="417" t="str">
        <f>Criteria!E9</f>
        <v>HOLDING COMPANY 268 (PROPRIETARY) LIMITED</v>
      </c>
      <c r="O869" s="346" t="s">
        <v>96</v>
      </c>
      <c r="Q869" s="292">
        <f>MAX($Q$114:Q868)+1</f>
        <v>21</v>
      </c>
    </row>
    <row r="870" spans="2:23" ht="31.5" customHeight="1" x14ac:dyDescent="0.45">
      <c r="B870" s="422"/>
      <c r="D870" s="417" t="str">
        <f>Criteria!E10</f>
        <v>CONSOLIDATED FINANCIAL STATEMENTS</v>
      </c>
      <c r="R870" s="403" t="str">
        <f>IF(D870=0,"DELETE"," ")</f>
        <v xml:space="preserve"> </v>
      </c>
    </row>
    <row r="871" spans="2:23" ht="31.5" customHeight="1" x14ac:dyDescent="0.45">
      <c r="B871" s="422"/>
    </row>
    <row r="872" spans="2:23" ht="31.5" customHeight="1" x14ac:dyDescent="0.45">
      <c r="B872" s="422"/>
      <c r="D872" s="417" t="s">
        <v>377</v>
      </c>
    </row>
    <row r="873" spans="2:23" ht="31.5" customHeight="1" x14ac:dyDescent="0.45">
      <c r="B873" s="422"/>
      <c r="D873" s="417" t="str">
        <f>Criteria!E20</f>
        <v>29 FEBRUARY 2024</v>
      </c>
      <c r="J873" s="400" t="s">
        <v>247</v>
      </c>
    </row>
    <row r="874" spans="2:23" ht="31.5" customHeight="1" x14ac:dyDescent="0.45">
      <c r="B874" s="422"/>
      <c r="D874" s="417"/>
    </row>
    <row r="875" spans="2:23" ht="31.5" customHeight="1" x14ac:dyDescent="0.45">
      <c r="B875" s="457"/>
      <c r="C875" s="439"/>
      <c r="D875" s="458"/>
      <c r="E875" s="439"/>
      <c r="F875" s="439"/>
      <c r="G875" s="439"/>
      <c r="H875" s="439"/>
      <c r="I875" s="439"/>
      <c r="J875" s="439"/>
      <c r="K875" s="439"/>
      <c r="L875" s="439"/>
      <c r="M875" s="447"/>
      <c r="N875" s="448"/>
      <c r="O875" s="447"/>
      <c r="P875" s="448"/>
      <c r="Q875" s="440"/>
    </row>
    <row r="876" spans="2:23" ht="31.5" customHeight="1" x14ac:dyDescent="0.45">
      <c r="B876" s="459"/>
      <c r="D876" s="417"/>
      <c r="M876" s="424"/>
      <c r="N876" s="425"/>
      <c r="O876" s="344">
        <f>Criteria!E22</f>
        <v>2024</v>
      </c>
      <c r="P876" s="425"/>
      <c r="Q876" s="442"/>
    </row>
    <row r="877" spans="2:23" ht="31.5" customHeight="1" x14ac:dyDescent="0.45">
      <c r="B877" s="323"/>
      <c r="C877" s="417"/>
      <c r="L877" s="405"/>
      <c r="M877" s="421"/>
      <c r="N877" s="400"/>
      <c r="O877" s="347"/>
      <c r="Q877" s="442"/>
    </row>
    <row r="878" spans="2:23" ht="31.5" customHeight="1" x14ac:dyDescent="0.45">
      <c r="B878" s="323">
        <f>MAX(B$559:B877)+1</f>
        <v>5</v>
      </c>
      <c r="C878" s="315" t="str">
        <f>IF(W878=2,"OPERATING PROFIT","OPERATING LOSS")</f>
        <v>OPERATING PROFIT</v>
      </c>
      <c r="L878" s="405"/>
      <c r="M878" s="421"/>
      <c r="N878" s="400"/>
      <c r="O878" s="347"/>
      <c r="Q878" s="442"/>
      <c r="W878" s="378">
        <f>IF(SUM(S357:S371)&lt;0,1,2)</f>
        <v>2</v>
      </c>
    </row>
    <row r="879" spans="2:23" ht="31.5" customHeight="1" x14ac:dyDescent="0.45">
      <c r="B879" s="323"/>
      <c r="C879" s="417"/>
      <c r="D879" s="297" t="str">
        <f>IF(W879=2,"The following items have been charged in arriving at the operating profit:","The following items have been charged in arriving at the operating loss:")</f>
        <v>The following items have been charged in arriving at the operating profit:</v>
      </c>
      <c r="L879" s="405"/>
      <c r="M879" s="421"/>
      <c r="N879" s="400"/>
      <c r="O879" s="347"/>
      <c r="Q879" s="442"/>
      <c r="W879" s="378">
        <f>IF(SUM(S357:S371)&lt;0,1,2)</f>
        <v>2</v>
      </c>
    </row>
    <row r="880" spans="2:23" ht="31.5" customHeight="1" x14ac:dyDescent="0.45">
      <c r="B880" s="323"/>
      <c r="C880" s="417"/>
      <c r="L880" s="405"/>
      <c r="M880" s="421"/>
      <c r="N880" s="400"/>
      <c r="O880" s="347"/>
      <c r="Q880" s="442"/>
    </row>
    <row r="881" spans="2:21" ht="31.5" customHeight="1" x14ac:dyDescent="0.45">
      <c r="B881" s="323"/>
      <c r="C881" s="340">
        <f>B878+0.1</f>
        <v>5.0999999999999996</v>
      </c>
      <c r="D881" s="400" t="str">
        <f>IF(MAX(Criteria!I38:I42)&gt;1,"DIRECTORS' REMUNERATION","DIRECTOR'S REMUNERATION")</f>
        <v>DIRECTOR'S REMUNERATION</v>
      </c>
      <c r="L881" s="405"/>
      <c r="M881" s="421"/>
      <c r="N881" s="400"/>
      <c r="O881" s="347"/>
      <c r="Q881" s="442"/>
    </row>
    <row r="882" spans="2:21" ht="31.5" customHeight="1" x14ac:dyDescent="0.45">
      <c r="B882" s="323"/>
      <c r="C882" s="463"/>
      <c r="D882" s="464" t="str">
        <f>TrialBalance!C111</f>
        <v>A Director</v>
      </c>
      <c r="L882" s="405"/>
      <c r="M882" s="421"/>
      <c r="N882" s="400"/>
      <c r="O882" s="347">
        <f>TrialBalance!L111+TrialBalanceA!I111+TrialBalanceB!I111+TrialBalanceC!I111</f>
        <v>0</v>
      </c>
      <c r="Q882" s="442"/>
      <c r="R882" s="403" t="str">
        <f t="shared" ref="R882:R886" si="25">IF(O882=0,"DELETE"," ")</f>
        <v>DELETE</v>
      </c>
    </row>
    <row r="883" spans="2:21" ht="31.5" customHeight="1" x14ac:dyDescent="0.45">
      <c r="B883" s="323"/>
      <c r="C883" s="463"/>
      <c r="D883" s="464">
        <f>TrialBalance!C112</f>
        <v>0</v>
      </c>
      <c r="L883" s="405"/>
      <c r="M883" s="421"/>
      <c r="N883" s="400"/>
      <c r="O883" s="347">
        <f>TrialBalance!L112+TrialBalanceA!I112+TrialBalanceB!I112+TrialBalanceC!I112</f>
        <v>0</v>
      </c>
      <c r="Q883" s="442"/>
      <c r="R883" s="403" t="str">
        <f t="shared" si="25"/>
        <v>DELETE</v>
      </c>
    </row>
    <row r="884" spans="2:21" ht="31.5" customHeight="1" x14ac:dyDescent="0.45">
      <c r="B884" s="323"/>
      <c r="C884" s="463"/>
      <c r="D884" s="464">
        <f>TrialBalance!C113</f>
        <v>0</v>
      </c>
      <c r="L884" s="405"/>
      <c r="M884" s="421"/>
      <c r="N884" s="400"/>
      <c r="O884" s="347">
        <f>TrialBalance!L113+TrialBalanceA!I113+TrialBalanceB!I113+TrialBalanceC!I113</f>
        <v>0</v>
      </c>
      <c r="Q884" s="442"/>
      <c r="R884" s="403" t="str">
        <f t="shared" si="25"/>
        <v>DELETE</v>
      </c>
    </row>
    <row r="885" spans="2:21" ht="31.5" customHeight="1" x14ac:dyDescent="0.45">
      <c r="B885" s="323"/>
      <c r="C885" s="463"/>
      <c r="D885" s="464">
        <f>TrialBalance!C114</f>
        <v>0</v>
      </c>
      <c r="L885" s="405"/>
      <c r="M885" s="421"/>
      <c r="N885" s="400"/>
      <c r="O885" s="347">
        <f>TrialBalance!L114+TrialBalanceA!I114+TrialBalanceB!I114+TrialBalanceC!I114</f>
        <v>0</v>
      </c>
      <c r="Q885" s="442"/>
      <c r="R885" s="403" t="str">
        <f>IF(O885=0,"DELETE"," ")</f>
        <v>DELETE</v>
      </c>
    </row>
    <row r="886" spans="2:21" ht="31.5" customHeight="1" x14ac:dyDescent="0.45">
      <c r="B886" s="323"/>
      <c r="C886" s="463"/>
      <c r="D886" s="464">
        <f>TrialBalance!C115</f>
        <v>0</v>
      </c>
      <c r="L886" s="405"/>
      <c r="M886" s="421"/>
      <c r="N886" s="400"/>
      <c r="O886" s="347">
        <f>TrialBalance!L115+TrialBalanceA!I115+TrialBalanceB!I115+TrialBalanceC!I115</f>
        <v>0</v>
      </c>
      <c r="Q886" s="442"/>
      <c r="R886" s="403" t="str">
        <f t="shared" si="25"/>
        <v>DELETE</v>
      </c>
    </row>
    <row r="887" spans="2:21" ht="9" customHeight="1" x14ac:dyDescent="0.45">
      <c r="B887" s="323"/>
      <c r="C887" s="463"/>
      <c r="L887" s="405"/>
      <c r="M887" s="421"/>
      <c r="N887" s="400"/>
      <c r="O887" s="349"/>
      <c r="Q887" s="442"/>
      <c r="R887" s="403" t="str">
        <f>R889</f>
        <v>DELETE</v>
      </c>
    </row>
    <row r="888" spans="2:21" ht="9" customHeight="1" x14ac:dyDescent="0.45">
      <c r="B888" s="323"/>
      <c r="C888" s="463"/>
      <c r="L888" s="405"/>
      <c r="M888" s="421"/>
      <c r="N888" s="400"/>
      <c r="O888" s="347"/>
      <c r="Q888" s="442"/>
      <c r="R888" s="403" t="str">
        <f>R889</f>
        <v>DELETE</v>
      </c>
    </row>
    <row r="889" spans="2:21" ht="31.5" customHeight="1" x14ac:dyDescent="0.45">
      <c r="B889" s="323"/>
      <c r="C889" s="463"/>
      <c r="L889" s="405"/>
      <c r="M889" s="421"/>
      <c r="N889" s="400"/>
      <c r="O889" s="347">
        <f>SUM(O882:O888)</f>
        <v>0</v>
      </c>
      <c r="Q889" s="442"/>
      <c r="R889" s="403" t="str">
        <f t="shared" ref="R889" si="26">IF(O889=0,"DELETE"," ")</f>
        <v>DELETE</v>
      </c>
      <c r="U889" s="378" t="b">
        <f>O889=SUM(TrialBalance!L111:L115)+SUM(TrialBalanceA!I111:I115)+SUM(TrialBalanceB!I111:I115)+SUM(TrialBalanceC!I111:I115)</f>
        <v>1</v>
      </c>
    </row>
    <row r="890" spans="2:21" ht="9" customHeight="1" thickBot="1" x14ac:dyDescent="0.5">
      <c r="B890" s="323"/>
      <c r="C890" s="463"/>
      <c r="L890" s="405"/>
      <c r="M890" s="421"/>
      <c r="N890" s="400"/>
      <c r="O890" s="351"/>
      <c r="Q890" s="442"/>
      <c r="R890" s="403" t="str">
        <f>R889</f>
        <v>DELETE</v>
      </c>
    </row>
    <row r="891" spans="2:21" ht="9" customHeight="1" thickTop="1" x14ac:dyDescent="0.45">
      <c r="B891" s="323"/>
      <c r="C891" s="463"/>
      <c r="L891" s="405"/>
      <c r="M891" s="421"/>
      <c r="N891" s="400"/>
      <c r="O891" s="363"/>
      <c r="Q891" s="442"/>
      <c r="R891" s="403" t="str">
        <f>R890</f>
        <v>DELETE</v>
      </c>
    </row>
    <row r="892" spans="2:21" ht="31.5" customHeight="1" x14ac:dyDescent="0.45">
      <c r="B892" s="323"/>
      <c r="C892" s="463"/>
      <c r="L892" s="405"/>
      <c r="M892" s="421"/>
      <c r="N892" s="400"/>
      <c r="O892" s="347"/>
      <c r="Q892" s="442"/>
      <c r="R892" s="403" t="str">
        <f>R889</f>
        <v>DELETE</v>
      </c>
    </row>
    <row r="893" spans="2:21" ht="31.5" customHeight="1" x14ac:dyDescent="0.45">
      <c r="B893" s="323"/>
      <c r="C893" s="463"/>
      <c r="D893" s="400" t="str">
        <f>IF(SUM(TrialBalance!L111:L115)+SUM(TrialBalance!N111:N115)+SUM(TrialBalanceA!I111:I115)+SUM(TrialBalanceA!K111:K115)+SUM(TrialBalanceB!I111:I115)+SUM(TrialBalanceB!K111:K115)+SUM(TrialBalanceC!I111:I115)+SUM(TrialBalanceC!K111:K115)&gt;0," ",IF(MAX(Criteria!I38:I42)&gt;1,"No remuneration was paid to the directors during the period under review.","No remuneration was paid to the director during the period under review."))</f>
        <v>No remuneration was paid to the director during the period under review.</v>
      </c>
      <c r="M893" s="347"/>
      <c r="N893" s="298"/>
      <c r="O893" s="347"/>
      <c r="Q893" s="442"/>
      <c r="R893" s="403" t="str">
        <f>IF(D893=" ","DELETE"," ")</f>
        <v xml:space="preserve"> </v>
      </c>
    </row>
    <row r="894" spans="2:21" ht="31.5" customHeight="1" x14ac:dyDescent="0.45">
      <c r="B894" s="323"/>
      <c r="C894" s="463"/>
      <c r="M894" s="347"/>
      <c r="N894" s="298"/>
      <c r="O894" s="347"/>
      <c r="Q894" s="442"/>
    </row>
    <row r="895" spans="2:21" ht="31.5" customHeight="1" x14ac:dyDescent="0.45">
      <c r="B895" s="459"/>
      <c r="D895" s="417"/>
      <c r="M895" s="424"/>
      <c r="N895" s="425"/>
      <c r="O895" s="424"/>
      <c r="P895" s="425"/>
      <c r="Q895" s="442"/>
    </row>
    <row r="896" spans="2:21" ht="31.5" customHeight="1" x14ac:dyDescent="0.45">
      <c r="B896" s="455"/>
      <c r="C896" s="429"/>
      <c r="D896" s="465"/>
      <c r="E896" s="429"/>
      <c r="F896" s="429"/>
      <c r="G896" s="429"/>
      <c r="H896" s="429"/>
      <c r="I896" s="429"/>
      <c r="J896" s="429"/>
      <c r="K896" s="429"/>
      <c r="L896" s="429"/>
      <c r="M896" s="432"/>
      <c r="N896" s="433"/>
      <c r="O896" s="432"/>
      <c r="P896" s="433"/>
      <c r="Q896" s="446"/>
    </row>
    <row r="897" spans="2:18" ht="31.5" customHeight="1" x14ac:dyDescent="0.45">
      <c r="B897" s="422"/>
      <c r="D897" s="417"/>
    </row>
    <row r="898" spans="2:18" ht="31.5" customHeight="1" x14ac:dyDescent="0.45">
      <c r="B898" s="325"/>
      <c r="C898" s="463"/>
      <c r="M898" s="347"/>
      <c r="N898" s="298"/>
      <c r="O898" s="347"/>
      <c r="R898" s="403" t="str">
        <f>R$923</f>
        <v>DELETE</v>
      </c>
    </row>
    <row r="899" spans="2:18" ht="31.5" customHeight="1" x14ac:dyDescent="0.45">
      <c r="B899" s="422"/>
      <c r="C899" s="466"/>
      <c r="D899" s="417" t="str">
        <f>Criteria!E9</f>
        <v>HOLDING COMPANY 268 (PROPRIETARY) LIMITED</v>
      </c>
      <c r="M899" s="426"/>
      <c r="N899" s="406"/>
      <c r="O899" s="347" t="s">
        <v>96</v>
      </c>
      <c r="Q899" s="292">
        <f>MAX($Q$114:Q898)+1</f>
        <v>22</v>
      </c>
      <c r="R899" s="403" t="str">
        <f>R$923</f>
        <v>DELETE</v>
      </c>
    </row>
    <row r="900" spans="2:18" ht="31.5" customHeight="1" x14ac:dyDescent="0.45">
      <c r="B900" s="422"/>
      <c r="C900" s="466"/>
      <c r="D900" s="417" t="str">
        <f>Criteria!E10</f>
        <v>CONSOLIDATED FINANCIAL STATEMENTS</v>
      </c>
      <c r="M900" s="426"/>
      <c r="N900" s="406"/>
      <c r="O900" s="426"/>
      <c r="R900" s="403" t="str">
        <f>IF(R$923="DELETE","DELETE",IF(D900=0,"DELETE"," "))</f>
        <v>DELETE</v>
      </c>
    </row>
    <row r="901" spans="2:18" ht="31.5" customHeight="1" x14ac:dyDescent="0.45">
      <c r="B901" s="422"/>
      <c r="C901" s="466"/>
      <c r="M901" s="426"/>
      <c r="N901" s="406"/>
      <c r="O901" s="426"/>
      <c r="R901" s="403" t="str">
        <f t="shared" ref="R901:R908" si="27">R$923</f>
        <v>DELETE</v>
      </c>
    </row>
    <row r="902" spans="2:18" ht="31.5" customHeight="1" x14ac:dyDescent="0.45">
      <c r="B902" s="422"/>
      <c r="C902" s="466"/>
      <c r="D902" s="417" t="s">
        <v>377</v>
      </c>
      <c r="M902" s="426"/>
      <c r="N902" s="406"/>
      <c r="O902" s="426"/>
      <c r="R902" s="403" t="str">
        <f t="shared" si="27"/>
        <v>DELETE</v>
      </c>
    </row>
    <row r="903" spans="2:18" ht="31.5" customHeight="1" x14ac:dyDescent="0.45">
      <c r="B903" s="422"/>
      <c r="C903" s="466"/>
      <c r="D903" s="417" t="str">
        <f>Criteria!E20</f>
        <v>29 FEBRUARY 2024</v>
      </c>
      <c r="J903" s="400" t="s">
        <v>247</v>
      </c>
      <c r="M903" s="426"/>
      <c r="N903" s="406"/>
      <c r="O903" s="426"/>
      <c r="R903" s="403" t="str">
        <f t="shared" si="27"/>
        <v>DELETE</v>
      </c>
    </row>
    <row r="904" spans="2:18" ht="31.5" customHeight="1" x14ac:dyDescent="0.45">
      <c r="B904" s="422"/>
      <c r="C904" s="466"/>
      <c r="D904" s="417"/>
      <c r="M904" s="426"/>
      <c r="N904" s="406"/>
      <c r="O904" s="426"/>
      <c r="R904" s="403" t="str">
        <f t="shared" si="27"/>
        <v>DELETE</v>
      </c>
    </row>
    <row r="905" spans="2:18" ht="31.5" customHeight="1" x14ac:dyDescent="0.45">
      <c r="B905" s="326"/>
      <c r="C905" s="467"/>
      <c r="D905" s="439"/>
      <c r="E905" s="439"/>
      <c r="F905" s="439"/>
      <c r="G905" s="439"/>
      <c r="H905" s="439"/>
      <c r="I905" s="439"/>
      <c r="J905" s="439"/>
      <c r="K905" s="439"/>
      <c r="L905" s="439"/>
      <c r="M905" s="362"/>
      <c r="N905" s="299"/>
      <c r="O905" s="362"/>
      <c r="P905" s="448"/>
      <c r="Q905" s="440"/>
      <c r="R905" s="403" t="str">
        <f t="shared" si="27"/>
        <v>DELETE</v>
      </c>
    </row>
    <row r="906" spans="2:18" ht="31.5" customHeight="1" x14ac:dyDescent="0.45">
      <c r="B906" s="323"/>
      <c r="C906" s="463"/>
      <c r="L906" s="405"/>
      <c r="M906" s="421"/>
      <c r="N906" s="400"/>
      <c r="O906" s="344">
        <f>Criteria!E22</f>
        <v>2024</v>
      </c>
      <c r="Q906" s="442"/>
      <c r="R906" s="403" t="str">
        <f t="shared" si="27"/>
        <v>DELETE</v>
      </c>
    </row>
    <row r="907" spans="2:18" ht="31.5" customHeight="1" x14ac:dyDescent="0.45">
      <c r="B907" s="323"/>
      <c r="C907" s="463"/>
      <c r="L907" s="405"/>
      <c r="M907" s="421"/>
      <c r="N907" s="400"/>
      <c r="O907" s="347"/>
      <c r="Q907" s="442"/>
      <c r="R907" s="403" t="str">
        <f t="shared" si="27"/>
        <v>DELETE</v>
      </c>
    </row>
    <row r="908" spans="2:18" ht="31.5" customHeight="1" x14ac:dyDescent="0.45">
      <c r="B908" s="323"/>
      <c r="C908" s="340">
        <f>MAX(C879:C907)+0.1</f>
        <v>5.1999999999999993</v>
      </c>
      <c r="D908" s="400" t="s">
        <v>264</v>
      </c>
      <c r="L908" s="405"/>
      <c r="M908" s="421"/>
      <c r="N908" s="400"/>
      <c r="O908" s="347"/>
      <c r="Q908" s="442"/>
      <c r="R908" s="403" t="str">
        <f t="shared" si="27"/>
        <v>DELETE</v>
      </c>
    </row>
    <row r="909" spans="2:18" ht="31.5" customHeight="1" x14ac:dyDescent="0.45">
      <c r="B909" s="323"/>
      <c r="C909" s="340"/>
      <c r="D909" s="400" t="str">
        <f>TrialBalance!C61</f>
        <v>Premises</v>
      </c>
      <c r="L909" s="405"/>
      <c r="M909" s="421"/>
      <c r="N909" s="400"/>
      <c r="O909" s="347">
        <f>TrialBalance!L61</f>
        <v>0</v>
      </c>
      <c r="Q909" s="442"/>
      <c r="R909" s="403" t="str">
        <f t="shared" ref="R909:R920" si="28">IF(O909=0,"DELETE"," ")</f>
        <v>DELETE</v>
      </c>
    </row>
    <row r="910" spans="2:18" ht="31.5" customHeight="1" x14ac:dyDescent="0.45">
      <c r="B910" s="323"/>
      <c r="C910" s="340"/>
      <c r="D910" s="400">
        <f>TrialBalance!C62</f>
        <v>0</v>
      </c>
      <c r="L910" s="405"/>
      <c r="M910" s="421"/>
      <c r="N910" s="400"/>
      <c r="O910" s="347">
        <f>TrialBalance!L62</f>
        <v>0</v>
      </c>
      <c r="Q910" s="442"/>
      <c r="R910" s="403" t="str">
        <f t="shared" si="28"/>
        <v>DELETE</v>
      </c>
    </row>
    <row r="911" spans="2:18" ht="31.5" customHeight="1" x14ac:dyDescent="0.45">
      <c r="B911" s="323"/>
      <c r="C911" s="340"/>
      <c r="D911" s="400">
        <f>TrialBalance!C63</f>
        <v>0</v>
      </c>
      <c r="L911" s="405"/>
      <c r="M911" s="421"/>
      <c r="N911" s="400"/>
      <c r="O911" s="347">
        <f>TrialBalance!L63</f>
        <v>0</v>
      </c>
      <c r="Q911" s="442"/>
      <c r="R911" s="403" t="str">
        <f t="shared" si="28"/>
        <v>DELETE</v>
      </c>
    </row>
    <row r="912" spans="2:18" ht="31.5" customHeight="1" x14ac:dyDescent="0.45">
      <c r="B912" s="323"/>
      <c r="C912" s="340"/>
      <c r="D912" s="400">
        <f>TrialBalanceA!C61</f>
        <v>0</v>
      </c>
      <c r="L912" s="405"/>
      <c r="M912" s="421"/>
      <c r="N912" s="400"/>
      <c r="O912" s="347">
        <f>TrialBalanceA!I61</f>
        <v>0</v>
      </c>
      <c r="Q912" s="442"/>
      <c r="R912" s="403" t="str">
        <f t="shared" si="28"/>
        <v>DELETE</v>
      </c>
    </row>
    <row r="913" spans="2:21" ht="31.5" customHeight="1" x14ac:dyDescent="0.45">
      <c r="B913" s="323"/>
      <c r="C913" s="340"/>
      <c r="D913" s="400">
        <f>TrialBalanceA!C62</f>
        <v>0</v>
      </c>
      <c r="L913" s="405"/>
      <c r="M913" s="421"/>
      <c r="N913" s="400"/>
      <c r="O913" s="347">
        <f>TrialBalanceA!I62</f>
        <v>0</v>
      </c>
      <c r="Q913" s="442"/>
      <c r="R913" s="403" t="str">
        <f t="shared" si="28"/>
        <v>DELETE</v>
      </c>
    </row>
    <row r="914" spans="2:21" ht="31.5" customHeight="1" x14ac:dyDescent="0.45">
      <c r="B914" s="323"/>
      <c r="C914" s="340"/>
      <c r="D914" s="400">
        <f>TrialBalanceA!C63</f>
        <v>0</v>
      </c>
      <c r="L914" s="405"/>
      <c r="M914" s="421"/>
      <c r="N914" s="400"/>
      <c r="O914" s="347">
        <f>TrialBalanceA!I63</f>
        <v>0</v>
      </c>
      <c r="Q914" s="442"/>
      <c r="R914" s="403" t="str">
        <f t="shared" si="28"/>
        <v>DELETE</v>
      </c>
    </row>
    <row r="915" spans="2:21" ht="31.5" customHeight="1" x14ac:dyDescent="0.45">
      <c r="B915" s="323"/>
      <c r="C915" s="340"/>
      <c r="D915" s="400">
        <f>TrialBalanceB!C61</f>
        <v>0</v>
      </c>
      <c r="L915" s="405"/>
      <c r="M915" s="421"/>
      <c r="N915" s="400"/>
      <c r="O915" s="347">
        <f>TrialBalanceB!I61</f>
        <v>0</v>
      </c>
      <c r="Q915" s="442"/>
      <c r="R915" s="403" t="str">
        <f t="shared" si="28"/>
        <v>DELETE</v>
      </c>
    </row>
    <row r="916" spans="2:21" ht="31.5" customHeight="1" x14ac:dyDescent="0.45">
      <c r="B916" s="323"/>
      <c r="C916" s="340"/>
      <c r="D916" s="400">
        <f>TrialBalanceB!C62</f>
        <v>0</v>
      </c>
      <c r="L916" s="405"/>
      <c r="M916" s="421"/>
      <c r="N916" s="400"/>
      <c r="O916" s="347">
        <f>TrialBalanceB!I62</f>
        <v>0</v>
      </c>
      <c r="Q916" s="442"/>
      <c r="R916" s="403" t="str">
        <f t="shared" si="28"/>
        <v>DELETE</v>
      </c>
    </row>
    <row r="917" spans="2:21" ht="31.5" customHeight="1" x14ac:dyDescent="0.45">
      <c r="B917" s="323"/>
      <c r="C917" s="340"/>
      <c r="D917" s="400">
        <f>TrialBalanceB!C63</f>
        <v>0</v>
      </c>
      <c r="L917" s="405"/>
      <c r="M917" s="421"/>
      <c r="N917" s="400"/>
      <c r="O917" s="347">
        <f>TrialBalanceB!I63</f>
        <v>0</v>
      </c>
      <c r="Q917" s="442"/>
      <c r="R917" s="403" t="str">
        <f t="shared" si="28"/>
        <v>DELETE</v>
      </c>
    </row>
    <row r="918" spans="2:21" ht="31.5" customHeight="1" x14ac:dyDescent="0.45">
      <c r="B918" s="323"/>
      <c r="C918" s="340"/>
      <c r="D918" s="400">
        <f>TrialBalanceC!C61</f>
        <v>0</v>
      </c>
      <c r="L918" s="405"/>
      <c r="M918" s="421"/>
      <c r="N918" s="400"/>
      <c r="O918" s="347">
        <f>TrialBalanceC!I61</f>
        <v>0</v>
      </c>
      <c r="Q918" s="442"/>
      <c r="R918" s="403" t="str">
        <f t="shared" si="28"/>
        <v>DELETE</v>
      </c>
    </row>
    <row r="919" spans="2:21" ht="31.5" customHeight="1" x14ac:dyDescent="0.45">
      <c r="B919" s="323"/>
      <c r="C919" s="340"/>
      <c r="D919" s="400">
        <f>TrialBalanceC!C62</f>
        <v>0</v>
      </c>
      <c r="L919" s="405"/>
      <c r="M919" s="421"/>
      <c r="N919" s="400"/>
      <c r="O919" s="347">
        <f>TrialBalanceC!I62</f>
        <v>0</v>
      </c>
      <c r="Q919" s="442"/>
      <c r="R919" s="403" t="str">
        <f t="shared" si="28"/>
        <v>DELETE</v>
      </c>
    </row>
    <row r="920" spans="2:21" ht="31.5" customHeight="1" x14ac:dyDescent="0.45">
      <c r="B920" s="323"/>
      <c r="C920" s="340"/>
      <c r="D920" s="400">
        <f>TrialBalanceC!C63</f>
        <v>0</v>
      </c>
      <c r="L920" s="405"/>
      <c r="M920" s="421"/>
      <c r="N920" s="400"/>
      <c r="O920" s="347">
        <f>TrialBalanceC!I63</f>
        <v>0</v>
      </c>
      <c r="Q920" s="442"/>
      <c r="R920" s="403" t="str">
        <f t="shared" si="28"/>
        <v>DELETE</v>
      </c>
    </row>
    <row r="921" spans="2:21" ht="9" customHeight="1" x14ac:dyDescent="0.45">
      <c r="B921" s="323"/>
      <c r="C921" s="340"/>
      <c r="L921" s="405"/>
      <c r="M921" s="421"/>
      <c r="N921" s="400"/>
      <c r="O921" s="349"/>
      <c r="Q921" s="442"/>
      <c r="R921" s="403" t="str">
        <f>R$923</f>
        <v>DELETE</v>
      </c>
    </row>
    <row r="922" spans="2:21" ht="9" customHeight="1" x14ac:dyDescent="0.45">
      <c r="B922" s="323"/>
      <c r="C922" s="340"/>
      <c r="L922" s="405"/>
      <c r="M922" s="421"/>
      <c r="N922" s="400"/>
      <c r="O922" s="347"/>
      <c r="Q922" s="442"/>
      <c r="R922" s="403" t="str">
        <f>R$923</f>
        <v>DELETE</v>
      </c>
    </row>
    <row r="923" spans="2:21" ht="31.5" customHeight="1" x14ac:dyDescent="0.45">
      <c r="B923" s="323"/>
      <c r="C923" s="340"/>
      <c r="L923" s="405"/>
      <c r="M923" s="421"/>
      <c r="N923" s="400"/>
      <c r="O923" s="347">
        <f>SUM(O909:O922)</f>
        <v>0</v>
      </c>
      <c r="Q923" s="442"/>
      <c r="R923" s="403" t="str">
        <f t="shared" ref="R923" si="29">IF(O923=0,"DELETE"," ")</f>
        <v>DELETE</v>
      </c>
      <c r="U923" s="378" t="b">
        <f>O923=SUM(TrialBalance!L61:L63)+SUM(TrialBalanceA!I61:I63)+SUM(TrialBalanceB!I61:I63)+SUM(TrialBalanceC!I61:I63)</f>
        <v>1</v>
      </c>
    </row>
    <row r="924" spans="2:21" ht="9" customHeight="1" thickBot="1" x14ac:dyDescent="0.5">
      <c r="B924" s="323"/>
      <c r="C924" s="340"/>
      <c r="L924" s="405"/>
      <c r="M924" s="421"/>
      <c r="N924" s="400"/>
      <c r="O924" s="351"/>
      <c r="Q924" s="442"/>
      <c r="R924" s="403" t="str">
        <f t="shared" ref="R924:R929" si="30">R$923</f>
        <v>DELETE</v>
      </c>
    </row>
    <row r="925" spans="2:21" ht="9" customHeight="1" thickTop="1" x14ac:dyDescent="0.45">
      <c r="B925" s="323"/>
      <c r="C925" s="340"/>
      <c r="L925" s="405"/>
      <c r="M925" s="421"/>
      <c r="N925" s="400"/>
      <c r="O925" s="363"/>
      <c r="Q925" s="442"/>
      <c r="R925" s="403" t="str">
        <f t="shared" si="30"/>
        <v>DELETE</v>
      </c>
    </row>
    <row r="926" spans="2:21" ht="31.5" customHeight="1" x14ac:dyDescent="0.45">
      <c r="B926" s="323"/>
      <c r="C926" s="340"/>
      <c r="L926" s="405"/>
      <c r="M926" s="421"/>
      <c r="N926" s="400"/>
      <c r="O926" s="347"/>
      <c r="Q926" s="442"/>
      <c r="R926" s="403" t="str">
        <f t="shared" si="30"/>
        <v>DELETE</v>
      </c>
    </row>
    <row r="927" spans="2:21" ht="31.5" customHeight="1" x14ac:dyDescent="0.45">
      <c r="B927" s="323"/>
      <c r="C927" s="340"/>
      <c r="M927" s="347"/>
      <c r="N927" s="298"/>
      <c r="O927" s="347"/>
      <c r="Q927" s="442"/>
      <c r="R927" s="403" t="str">
        <f t="shared" si="30"/>
        <v>DELETE</v>
      </c>
    </row>
    <row r="928" spans="2:21" ht="31.5" customHeight="1" x14ac:dyDescent="0.45">
      <c r="B928" s="324"/>
      <c r="C928" s="341"/>
      <c r="D928" s="429"/>
      <c r="E928" s="429"/>
      <c r="F928" s="429"/>
      <c r="G928" s="429"/>
      <c r="H928" s="429"/>
      <c r="I928" s="429"/>
      <c r="J928" s="429"/>
      <c r="K928" s="429"/>
      <c r="L928" s="429"/>
      <c r="M928" s="349"/>
      <c r="N928" s="300"/>
      <c r="O928" s="349"/>
      <c r="P928" s="433"/>
      <c r="Q928" s="446"/>
      <c r="R928" s="403" t="str">
        <f t="shared" si="30"/>
        <v>DELETE</v>
      </c>
    </row>
    <row r="929" spans="2:18" ht="31.5" customHeight="1" x14ac:dyDescent="0.45">
      <c r="B929" s="325"/>
      <c r="C929" s="340"/>
      <c r="M929" s="347"/>
      <c r="N929" s="298"/>
      <c r="O929" s="347"/>
      <c r="R929" s="403" t="str">
        <f t="shared" si="30"/>
        <v>DELETE</v>
      </c>
    </row>
    <row r="930" spans="2:18" ht="31.5" customHeight="1" x14ac:dyDescent="0.45">
      <c r="B930" s="325"/>
      <c r="C930" s="340"/>
      <c r="M930" s="347"/>
      <c r="N930" s="298"/>
      <c r="O930" s="347"/>
      <c r="R930" s="403" t="str">
        <f>R$948</f>
        <v>DELETE</v>
      </c>
    </row>
    <row r="931" spans="2:18" ht="31.5" customHeight="1" x14ac:dyDescent="0.45">
      <c r="B931" s="422"/>
      <c r="C931" s="466"/>
      <c r="D931" s="417" t="str">
        <f>Criteria!E9</f>
        <v>HOLDING COMPANY 268 (PROPRIETARY) LIMITED</v>
      </c>
      <c r="M931" s="426"/>
      <c r="N931" s="406"/>
      <c r="O931" s="347" t="s">
        <v>96</v>
      </c>
      <c r="Q931" s="292">
        <f>MAX($Q$114:Q930)+1</f>
        <v>23</v>
      </c>
      <c r="R931" s="403" t="str">
        <f>R$948</f>
        <v>DELETE</v>
      </c>
    </row>
    <row r="932" spans="2:18" ht="31.5" customHeight="1" x14ac:dyDescent="0.45">
      <c r="B932" s="422"/>
      <c r="C932" s="466"/>
      <c r="D932" s="417" t="str">
        <f>Criteria!E10</f>
        <v>CONSOLIDATED FINANCIAL STATEMENTS</v>
      </c>
      <c r="M932" s="426"/>
      <c r="N932" s="406"/>
      <c r="O932" s="426"/>
      <c r="R932" s="403" t="str">
        <f>IF(R$948="DELETE","DELETE",IF(D932=0,"DELETE"," "))</f>
        <v>DELETE</v>
      </c>
    </row>
    <row r="933" spans="2:18" ht="31.5" customHeight="1" x14ac:dyDescent="0.45">
      <c r="B933" s="422"/>
      <c r="C933" s="466"/>
      <c r="M933" s="426"/>
      <c r="N933" s="406"/>
      <c r="O933" s="426"/>
      <c r="R933" s="403" t="str">
        <f t="shared" ref="R933:R940" si="31">R$948</f>
        <v>DELETE</v>
      </c>
    </row>
    <row r="934" spans="2:18" ht="31.5" customHeight="1" x14ac:dyDescent="0.45">
      <c r="B934" s="422"/>
      <c r="C934" s="466"/>
      <c r="D934" s="417" t="s">
        <v>377</v>
      </c>
      <c r="M934" s="426"/>
      <c r="N934" s="406"/>
      <c r="O934" s="426"/>
      <c r="R934" s="403" t="str">
        <f t="shared" si="31"/>
        <v>DELETE</v>
      </c>
    </row>
    <row r="935" spans="2:18" ht="31.5" customHeight="1" x14ac:dyDescent="0.45">
      <c r="B935" s="422"/>
      <c r="C935" s="466"/>
      <c r="D935" s="417" t="str">
        <f>Criteria!E20</f>
        <v>29 FEBRUARY 2024</v>
      </c>
      <c r="J935" s="400" t="s">
        <v>247</v>
      </c>
      <c r="M935" s="426"/>
      <c r="N935" s="406"/>
      <c r="O935" s="426"/>
      <c r="R935" s="403" t="str">
        <f t="shared" si="31"/>
        <v>DELETE</v>
      </c>
    </row>
    <row r="936" spans="2:18" ht="31.5" customHeight="1" x14ac:dyDescent="0.45">
      <c r="B936" s="422"/>
      <c r="C936" s="466"/>
      <c r="D936" s="417"/>
      <c r="M936" s="426"/>
      <c r="N936" s="406"/>
      <c r="O936" s="426"/>
      <c r="R936" s="403" t="str">
        <f t="shared" si="31"/>
        <v>DELETE</v>
      </c>
    </row>
    <row r="937" spans="2:18" ht="31.5" customHeight="1" x14ac:dyDescent="0.45">
      <c r="B937" s="326"/>
      <c r="C937" s="342"/>
      <c r="D937" s="439"/>
      <c r="E937" s="439"/>
      <c r="F937" s="439"/>
      <c r="G937" s="439"/>
      <c r="H937" s="439"/>
      <c r="I937" s="439"/>
      <c r="J937" s="439"/>
      <c r="K937" s="439"/>
      <c r="L937" s="439"/>
      <c r="M937" s="362"/>
      <c r="N937" s="299"/>
      <c r="O937" s="362"/>
      <c r="P937" s="448"/>
      <c r="Q937" s="440"/>
      <c r="R937" s="403" t="str">
        <f t="shared" si="31"/>
        <v>DELETE</v>
      </c>
    </row>
    <row r="938" spans="2:18" ht="31.5" customHeight="1" x14ac:dyDescent="0.45">
      <c r="B938" s="323"/>
      <c r="C938" s="340"/>
      <c r="L938" s="405"/>
      <c r="M938" s="421"/>
      <c r="N938" s="400"/>
      <c r="O938" s="344">
        <f>Criteria!E22</f>
        <v>2024</v>
      </c>
      <c r="Q938" s="442"/>
      <c r="R938" s="403" t="str">
        <f t="shared" si="31"/>
        <v>DELETE</v>
      </c>
    </row>
    <row r="939" spans="2:18" ht="31.5" customHeight="1" x14ac:dyDescent="0.45">
      <c r="B939" s="323"/>
      <c r="C939" s="340"/>
      <c r="L939" s="405"/>
      <c r="M939" s="421"/>
      <c r="N939" s="400"/>
      <c r="O939" s="347"/>
      <c r="Q939" s="442"/>
      <c r="R939" s="403" t="str">
        <f t="shared" si="31"/>
        <v>DELETE</v>
      </c>
    </row>
    <row r="940" spans="2:18" ht="31.5" customHeight="1" x14ac:dyDescent="0.45">
      <c r="B940" s="323"/>
      <c r="C940" s="340">
        <f>MAX(C879:C939)+0.1</f>
        <v>5.2999999999999989</v>
      </c>
      <c r="D940" s="400" t="s">
        <v>265</v>
      </c>
      <c r="L940" s="405"/>
      <c r="M940" s="421"/>
      <c r="N940" s="400"/>
      <c r="O940" s="347"/>
      <c r="Q940" s="442"/>
      <c r="R940" s="403" t="str">
        <f t="shared" si="31"/>
        <v>DELETE</v>
      </c>
    </row>
    <row r="941" spans="2:18" ht="31.5" customHeight="1" x14ac:dyDescent="0.45">
      <c r="B941" s="323"/>
      <c r="C941" s="340"/>
      <c r="D941" s="400" t="s">
        <v>959</v>
      </c>
      <c r="L941" s="405"/>
      <c r="M941" s="421"/>
      <c r="N941" s="400"/>
      <c r="O941" s="347">
        <f>TrialBalance!L44+TrialBalanceA!I44+TrialBalanceB!I44+TrialBalanceC!I44</f>
        <v>0</v>
      </c>
      <c r="Q941" s="442"/>
      <c r="R941" s="403" t="str">
        <f t="shared" ref="R941:R945" si="32">IF(O941=0,"DELETE"," ")</f>
        <v>DELETE</v>
      </c>
    </row>
    <row r="942" spans="2:18" ht="31.5" customHeight="1" x14ac:dyDescent="0.45">
      <c r="B942" s="323"/>
      <c r="C942" s="340"/>
      <c r="D942" s="400" t="s">
        <v>730</v>
      </c>
      <c r="L942" s="405"/>
      <c r="M942" s="421"/>
      <c r="N942" s="400"/>
      <c r="O942" s="347">
        <f>TrialBalance!L45+TrialBalanceA!I45+TrialBalanceB!I45+TrialBalanceC!I45</f>
        <v>0</v>
      </c>
      <c r="Q942" s="442"/>
      <c r="R942" s="403" t="str">
        <f t="shared" si="32"/>
        <v>DELETE</v>
      </c>
    </row>
    <row r="943" spans="2:18" ht="31.5" customHeight="1" x14ac:dyDescent="0.45">
      <c r="B943" s="323"/>
      <c r="C943" s="340"/>
      <c r="D943" s="400" t="s">
        <v>570</v>
      </c>
      <c r="L943" s="405"/>
      <c r="M943" s="421"/>
      <c r="N943" s="400"/>
      <c r="O943" s="347">
        <f>TrialBalance!L46+TrialBalanceA!I46+TrialBalanceB!I46+TrialBalanceC!I46</f>
        <v>0</v>
      </c>
      <c r="Q943" s="442"/>
      <c r="R943" s="403" t="str">
        <f t="shared" si="32"/>
        <v>DELETE</v>
      </c>
    </row>
    <row r="944" spans="2:18" ht="31.5" customHeight="1" x14ac:dyDescent="0.45">
      <c r="B944" s="323"/>
      <c r="C944" s="340"/>
      <c r="D944" s="400" t="s">
        <v>571</v>
      </c>
      <c r="L944" s="405"/>
      <c r="M944" s="421"/>
      <c r="N944" s="400"/>
      <c r="O944" s="347">
        <f>TrialBalance!L108+TrialBalanceA!I108+TrialBalanceB!I108+TrialBalanceC!I108</f>
        <v>0</v>
      </c>
      <c r="Q944" s="442"/>
      <c r="R944" s="403" t="str">
        <f t="shared" si="32"/>
        <v>DELETE</v>
      </c>
    </row>
    <row r="945" spans="2:21" ht="31.5" customHeight="1" x14ac:dyDescent="0.45">
      <c r="B945" s="323"/>
      <c r="C945" s="340"/>
      <c r="D945" s="400" t="s">
        <v>733</v>
      </c>
      <c r="L945" s="405"/>
      <c r="M945" s="421"/>
      <c r="N945" s="400"/>
      <c r="O945" s="347">
        <f>TrialBalance!L109+TrialBalanceA!I109+TrialBalanceB!I109+TrialBalanceC!I109</f>
        <v>0</v>
      </c>
      <c r="Q945" s="442"/>
      <c r="R945" s="403" t="str">
        <f t="shared" si="32"/>
        <v>DELETE</v>
      </c>
    </row>
    <row r="946" spans="2:21" ht="9" customHeight="1" x14ac:dyDescent="0.45">
      <c r="B946" s="323"/>
      <c r="C946" s="340"/>
      <c r="L946" s="405"/>
      <c r="M946" s="421"/>
      <c r="N946" s="400"/>
      <c r="O946" s="349"/>
      <c r="Q946" s="442"/>
      <c r="R946" s="403" t="str">
        <f>R$948</f>
        <v>DELETE</v>
      </c>
    </row>
    <row r="947" spans="2:21" ht="9" customHeight="1" x14ac:dyDescent="0.45">
      <c r="B947" s="323"/>
      <c r="C947" s="340"/>
      <c r="L947" s="405"/>
      <c r="M947" s="421"/>
      <c r="N947" s="400"/>
      <c r="O947" s="347"/>
      <c r="Q947" s="442"/>
      <c r="R947" s="403" t="str">
        <f>R$948</f>
        <v>DELETE</v>
      </c>
    </row>
    <row r="948" spans="2:21" ht="31.5" customHeight="1" x14ac:dyDescent="0.45">
      <c r="B948" s="323"/>
      <c r="C948" s="340"/>
      <c r="L948" s="405"/>
      <c r="M948" s="421"/>
      <c r="N948" s="400"/>
      <c r="O948" s="347">
        <f>SUM(O941:O947)</f>
        <v>0</v>
      </c>
      <c r="Q948" s="442"/>
      <c r="R948" s="403" t="str">
        <f t="shared" ref="R948" si="33">IF(O948=0,"DELETE"," ")</f>
        <v>DELETE</v>
      </c>
      <c r="U948" s="378" t="b">
        <f>O948=SUM(TrialBalance!L44:L46)+SUM(TrialBalance!L108:L109)+SUM(TrialBalanceA!I44:I46)+SUM(TrialBalanceA!I108:I109)+SUM(TrialBalanceB!I44:I46)+SUM(TrialBalanceB!I108:I109)+SUM(TrialBalanceC!I44:I46)+SUM(TrialBalanceC!I108:I109)</f>
        <v>1</v>
      </c>
    </row>
    <row r="949" spans="2:21" ht="9" customHeight="1" thickBot="1" x14ac:dyDescent="0.5">
      <c r="B949" s="323"/>
      <c r="C949" s="340"/>
      <c r="L949" s="405"/>
      <c r="M949" s="421"/>
      <c r="N949" s="400"/>
      <c r="O949" s="351"/>
      <c r="Q949" s="442"/>
      <c r="R949" s="403" t="str">
        <f t="shared" ref="R949:R954" si="34">R$948</f>
        <v>DELETE</v>
      </c>
    </row>
    <row r="950" spans="2:21" ht="9" customHeight="1" thickTop="1" x14ac:dyDescent="0.45">
      <c r="B950" s="323"/>
      <c r="C950" s="340"/>
      <c r="L950" s="405"/>
      <c r="M950" s="421"/>
      <c r="N950" s="400"/>
      <c r="O950" s="363"/>
      <c r="Q950" s="442"/>
      <c r="R950" s="403" t="str">
        <f t="shared" si="34"/>
        <v>DELETE</v>
      </c>
    </row>
    <row r="951" spans="2:21" ht="31.5" customHeight="1" x14ac:dyDescent="0.45">
      <c r="B951" s="323"/>
      <c r="C951" s="463"/>
      <c r="L951" s="405"/>
      <c r="M951" s="421"/>
      <c r="N951" s="400"/>
      <c r="O951" s="347"/>
      <c r="Q951" s="442"/>
      <c r="R951" s="403" t="str">
        <f t="shared" si="34"/>
        <v>DELETE</v>
      </c>
    </row>
    <row r="952" spans="2:21" ht="31.5" customHeight="1" x14ac:dyDescent="0.45">
      <c r="B952" s="323"/>
      <c r="C952" s="463"/>
      <c r="M952" s="347"/>
      <c r="N952" s="298"/>
      <c r="O952" s="347"/>
      <c r="Q952" s="442"/>
      <c r="R952" s="403" t="str">
        <f t="shared" si="34"/>
        <v>DELETE</v>
      </c>
    </row>
    <row r="953" spans="2:21" ht="31.5" customHeight="1" x14ac:dyDescent="0.45">
      <c r="B953" s="324"/>
      <c r="C953" s="468"/>
      <c r="D953" s="429"/>
      <c r="E953" s="429"/>
      <c r="F953" s="429"/>
      <c r="G953" s="429"/>
      <c r="H953" s="429"/>
      <c r="I953" s="429"/>
      <c r="J953" s="429"/>
      <c r="K953" s="429"/>
      <c r="L953" s="429"/>
      <c r="M953" s="349"/>
      <c r="N953" s="300"/>
      <c r="O953" s="349"/>
      <c r="P953" s="433"/>
      <c r="Q953" s="446"/>
      <c r="R953" s="403" t="str">
        <f t="shared" si="34"/>
        <v>DELETE</v>
      </c>
    </row>
    <row r="954" spans="2:21" ht="31.5" customHeight="1" x14ac:dyDescent="0.45">
      <c r="B954" s="325"/>
      <c r="C954" s="417"/>
      <c r="M954" s="347"/>
      <c r="N954" s="298"/>
      <c r="O954" s="347"/>
      <c r="R954" s="403" t="str">
        <f t="shared" si="34"/>
        <v>DELETE</v>
      </c>
    </row>
    <row r="955" spans="2:21" ht="31.5" customHeight="1" x14ac:dyDescent="0.45">
      <c r="B955" s="325"/>
      <c r="C955" s="417"/>
      <c r="M955" s="347"/>
      <c r="N955" s="298"/>
      <c r="O955" s="347"/>
      <c r="R955" s="403" t="str">
        <f>R$1007</f>
        <v>DELETE</v>
      </c>
    </row>
    <row r="956" spans="2:21" ht="31.5" customHeight="1" x14ac:dyDescent="0.45">
      <c r="B956" s="422"/>
      <c r="D956" s="417" t="str">
        <f>Criteria!E9</f>
        <v>HOLDING COMPANY 268 (PROPRIETARY) LIMITED</v>
      </c>
      <c r="M956" s="426"/>
      <c r="N956" s="406"/>
      <c r="O956" s="347" t="s">
        <v>96</v>
      </c>
      <c r="Q956" s="292">
        <f>MAX($Q$114:Q955)+1</f>
        <v>24</v>
      </c>
      <c r="R956" s="403" t="str">
        <f>R$1007</f>
        <v>DELETE</v>
      </c>
    </row>
    <row r="957" spans="2:21" ht="31.5" customHeight="1" x14ac:dyDescent="0.45">
      <c r="B957" s="422"/>
      <c r="D957" s="417" t="str">
        <f>Criteria!E10</f>
        <v>CONSOLIDATED FINANCIAL STATEMENTS</v>
      </c>
      <c r="M957" s="426"/>
      <c r="N957" s="406"/>
      <c r="O957" s="426"/>
      <c r="R957" s="403" t="str">
        <f>IF(R$1007="DELETE","DELETE",IF(D957=0,"DELETE"," "))</f>
        <v>DELETE</v>
      </c>
    </row>
    <row r="958" spans="2:21" ht="31.5" customHeight="1" x14ac:dyDescent="0.45">
      <c r="B958" s="422"/>
      <c r="M958" s="426"/>
      <c r="N958" s="406"/>
      <c r="O958" s="426"/>
      <c r="R958" s="403" t="str">
        <f t="shared" ref="R958:R965" si="35">R$1007</f>
        <v>DELETE</v>
      </c>
    </row>
    <row r="959" spans="2:21" ht="31.5" customHeight="1" x14ac:dyDescent="0.45">
      <c r="B959" s="422"/>
      <c r="D959" s="417" t="s">
        <v>377</v>
      </c>
      <c r="M959" s="426"/>
      <c r="N959" s="406"/>
      <c r="O959" s="426"/>
      <c r="R959" s="403" t="str">
        <f t="shared" si="35"/>
        <v>DELETE</v>
      </c>
    </row>
    <row r="960" spans="2:21" ht="31.5" customHeight="1" x14ac:dyDescent="0.45">
      <c r="B960" s="422"/>
      <c r="D960" s="417" t="str">
        <f>Criteria!E20</f>
        <v>29 FEBRUARY 2024</v>
      </c>
      <c r="J960" s="400" t="s">
        <v>247</v>
      </c>
      <c r="M960" s="426"/>
      <c r="N960" s="406"/>
      <c r="O960" s="426"/>
      <c r="R960" s="403" t="str">
        <f t="shared" si="35"/>
        <v>DELETE</v>
      </c>
    </row>
    <row r="961" spans="2:22" ht="31.5" customHeight="1" x14ac:dyDescent="0.45">
      <c r="B961" s="422"/>
      <c r="D961" s="417"/>
      <c r="M961" s="426"/>
      <c r="N961" s="406"/>
      <c r="O961" s="426"/>
      <c r="R961" s="403" t="str">
        <f t="shared" si="35"/>
        <v>DELETE</v>
      </c>
    </row>
    <row r="962" spans="2:22" ht="31.5" customHeight="1" x14ac:dyDescent="0.45">
      <c r="B962" s="326"/>
      <c r="C962" s="458"/>
      <c r="D962" s="439"/>
      <c r="E962" s="439"/>
      <c r="F962" s="439"/>
      <c r="G962" s="439"/>
      <c r="H962" s="439"/>
      <c r="I962" s="439"/>
      <c r="J962" s="439"/>
      <c r="K962" s="439"/>
      <c r="L962" s="439"/>
      <c r="M962" s="362"/>
      <c r="N962" s="299"/>
      <c r="O962" s="362"/>
      <c r="P962" s="448"/>
      <c r="Q962" s="440"/>
      <c r="R962" s="403" t="str">
        <f t="shared" si="35"/>
        <v>DELETE</v>
      </c>
    </row>
    <row r="963" spans="2:22" ht="31.5" customHeight="1" x14ac:dyDescent="0.45">
      <c r="B963" s="323"/>
      <c r="C963" s="417"/>
      <c r="L963" s="405"/>
      <c r="M963" s="421"/>
      <c r="N963" s="400"/>
      <c r="O963" s="344">
        <f>Criteria!E22</f>
        <v>2024</v>
      </c>
      <c r="Q963" s="442"/>
      <c r="R963" s="403" t="str">
        <f t="shared" si="35"/>
        <v>DELETE</v>
      </c>
    </row>
    <row r="964" spans="2:22" ht="31.5" customHeight="1" x14ac:dyDescent="0.45">
      <c r="B964" s="323"/>
      <c r="C964" s="417"/>
      <c r="L964" s="405"/>
      <c r="M964" s="421"/>
      <c r="N964" s="400"/>
      <c r="O964" s="347"/>
      <c r="Q964" s="442"/>
      <c r="R964" s="403" t="str">
        <f t="shared" si="35"/>
        <v>DELETE</v>
      </c>
    </row>
    <row r="965" spans="2:22" ht="30.75" customHeight="1" x14ac:dyDescent="0.45">
      <c r="B965" s="323">
        <f>MAX(B$559:B964)+1</f>
        <v>6</v>
      </c>
      <c r="C965" s="417" t="s">
        <v>114</v>
      </c>
      <c r="L965" s="405"/>
      <c r="M965" s="421"/>
      <c r="N965" s="400"/>
      <c r="O965" s="347"/>
      <c r="Q965" s="442"/>
      <c r="R965" s="403" t="str">
        <f t="shared" si="35"/>
        <v>DELETE</v>
      </c>
    </row>
    <row r="966" spans="2:22" ht="31.5" hidden="1" customHeight="1" x14ac:dyDescent="0.45">
      <c r="B966" s="323"/>
      <c r="C966" s="417">
        <f>B965</f>
        <v>6</v>
      </c>
      <c r="L966" s="405"/>
      <c r="M966" s="421"/>
      <c r="N966" s="400"/>
      <c r="O966" s="347"/>
      <c r="Q966" s="442"/>
      <c r="R966" s="403" t="str">
        <f>R965</f>
        <v>DELETE</v>
      </c>
    </row>
    <row r="967" spans="2:22" ht="31.5" customHeight="1" x14ac:dyDescent="0.45">
      <c r="B967" s="323"/>
      <c r="C967" s="340">
        <f>MAX(C$965:C966)+0.1</f>
        <v>6.1</v>
      </c>
      <c r="D967" s="400" t="s">
        <v>266</v>
      </c>
      <c r="L967" s="405"/>
      <c r="M967" s="421"/>
      <c r="N967" s="400"/>
      <c r="O967" s="347">
        <f>SUM(O970:O972)</f>
        <v>0</v>
      </c>
      <c r="Q967" s="442"/>
      <c r="R967" s="403" t="str">
        <f t="shared" ref="R967" si="36">IF(O967=0,"DELETE"," ")</f>
        <v>DELETE</v>
      </c>
      <c r="S967" s="383">
        <f>O967</f>
        <v>0</v>
      </c>
      <c r="T967" s="383"/>
      <c r="U967" s="383"/>
      <c r="V967" s="383"/>
    </row>
    <row r="968" spans="2:22" ht="9" customHeight="1" x14ac:dyDescent="0.45">
      <c r="B968" s="323"/>
      <c r="C968" s="463"/>
      <c r="L968" s="405"/>
      <c r="M968" s="421"/>
      <c r="N968" s="400"/>
      <c r="O968" s="347"/>
      <c r="Q968" s="442"/>
      <c r="R968" s="403" t="str">
        <f>R967</f>
        <v>DELETE</v>
      </c>
    </row>
    <row r="969" spans="2:22" ht="9" customHeight="1" x14ac:dyDescent="0.45">
      <c r="B969" s="323"/>
      <c r="C969" s="463"/>
      <c r="L969" s="405"/>
      <c r="M969" s="421"/>
      <c r="N969" s="400"/>
      <c r="O969" s="372"/>
      <c r="Q969" s="442"/>
      <c r="R969" s="403" t="str">
        <f>R967</f>
        <v>DELETE</v>
      </c>
    </row>
    <row r="970" spans="2:22" ht="31.5" customHeight="1" x14ac:dyDescent="0.45">
      <c r="B970" s="323"/>
      <c r="C970" s="463"/>
      <c r="D970" s="400" t="s">
        <v>267</v>
      </c>
      <c r="L970" s="405"/>
      <c r="M970" s="421"/>
      <c r="N970" s="400"/>
      <c r="O970" s="373">
        <f>-TrialBalance!L90-TrialBalanceA!I90-TrialBalanceB!I90-TrialBalanceC!I90</f>
        <v>0</v>
      </c>
      <c r="Q970" s="442"/>
      <c r="R970" s="403" t="str">
        <f t="shared" ref="R970:R972" si="37">IF(O970=0,"DELETE"," ")</f>
        <v>DELETE</v>
      </c>
    </row>
    <row r="971" spans="2:22" ht="31.5" customHeight="1" x14ac:dyDescent="0.45">
      <c r="B971" s="323"/>
      <c r="C971" s="463"/>
      <c r="D971" s="400" t="s">
        <v>1142</v>
      </c>
      <c r="L971" s="405"/>
      <c r="M971" s="421"/>
      <c r="N971" s="400"/>
      <c r="O971" s="373">
        <f>-TrialBalance!L91-TrialBalanceA!I91-TrialBalanceB!I91-TrialBalanceC!I91</f>
        <v>0</v>
      </c>
      <c r="Q971" s="442"/>
      <c r="R971" s="403" t="str">
        <f t="shared" ref="R971" si="38">IF(O971=0,"DELETE"," ")</f>
        <v>DELETE</v>
      </c>
    </row>
    <row r="972" spans="2:22" ht="31.5" customHeight="1" x14ac:dyDescent="0.45">
      <c r="B972" s="323"/>
      <c r="C972" s="463"/>
      <c r="D972" s="400" t="s">
        <v>572</v>
      </c>
      <c r="L972" s="405"/>
      <c r="M972" s="421"/>
      <c r="N972" s="400"/>
      <c r="O972" s="373">
        <f>-TrialBalance!L92-TrialBalanceA!I92-TrialBalanceB!I92-TrialBalanceC!I92</f>
        <v>0</v>
      </c>
      <c r="Q972" s="442"/>
      <c r="R972" s="403" t="str">
        <f t="shared" si="37"/>
        <v>DELETE</v>
      </c>
    </row>
    <row r="973" spans="2:22" ht="9" customHeight="1" x14ac:dyDescent="0.45">
      <c r="B973" s="323"/>
      <c r="C973" s="463"/>
      <c r="L973" s="405"/>
      <c r="M973" s="421"/>
      <c r="N973" s="400"/>
      <c r="O973" s="374"/>
      <c r="Q973" s="442"/>
      <c r="R973" s="403" t="str">
        <f>R967</f>
        <v>DELETE</v>
      </c>
    </row>
    <row r="974" spans="2:22" ht="9" customHeight="1" x14ac:dyDescent="0.45">
      <c r="B974" s="323"/>
      <c r="C974" s="463"/>
      <c r="L974" s="405"/>
      <c r="M974" s="421"/>
      <c r="N974" s="400"/>
      <c r="O974" s="347"/>
      <c r="Q974" s="442"/>
      <c r="R974" s="403" t="str">
        <f>R967</f>
        <v>DELETE</v>
      </c>
    </row>
    <row r="975" spans="2:22" ht="31.5" customHeight="1" x14ac:dyDescent="0.45">
      <c r="B975" s="323"/>
      <c r="C975" s="340">
        <f>MAX(C$965:C974)+0.1</f>
        <v>6.1999999999999993</v>
      </c>
      <c r="D975" s="400" t="s">
        <v>268</v>
      </c>
      <c r="L975" s="405"/>
      <c r="M975" s="421"/>
      <c r="N975" s="400"/>
      <c r="O975" s="347">
        <f>SUM(O977:O994)</f>
        <v>0</v>
      </c>
      <c r="Q975" s="442"/>
      <c r="R975" s="403" t="str">
        <f t="shared" ref="R975" si="39">IF(O975=0,"DELETE"," ")</f>
        <v>DELETE</v>
      </c>
      <c r="S975" s="383">
        <f>O975</f>
        <v>0</v>
      </c>
      <c r="T975" s="383"/>
      <c r="U975" s="383"/>
      <c r="V975" s="383"/>
    </row>
    <row r="976" spans="2:22" ht="9" customHeight="1" x14ac:dyDescent="0.45">
      <c r="B976" s="323"/>
      <c r="C976" s="463"/>
      <c r="L976" s="405"/>
      <c r="M976" s="421"/>
      <c r="N976" s="400"/>
      <c r="O976" s="347"/>
      <c r="Q976" s="442"/>
      <c r="R976" s="403" t="str">
        <f>R975</f>
        <v>DELETE</v>
      </c>
    </row>
    <row r="977" spans="2:18" ht="9" customHeight="1" x14ac:dyDescent="0.45">
      <c r="B977" s="323"/>
      <c r="C977" s="463"/>
      <c r="L977" s="405"/>
      <c r="M977" s="421"/>
      <c r="N977" s="400"/>
      <c r="O977" s="372"/>
      <c r="Q977" s="442"/>
      <c r="R977" s="403" t="str">
        <f>R975</f>
        <v>DELETE</v>
      </c>
    </row>
    <row r="978" spans="2:18" ht="31.5" customHeight="1" x14ac:dyDescent="0.45">
      <c r="B978" s="323"/>
      <c r="C978" s="463"/>
      <c r="D978" s="464">
        <f>TrialBalance!C85</f>
        <v>0</v>
      </c>
      <c r="L978" s="405"/>
      <c r="M978" s="421"/>
      <c r="N978" s="400"/>
      <c r="O978" s="373">
        <f>-TrialBalance!L85</f>
        <v>0</v>
      </c>
      <c r="Q978" s="442"/>
      <c r="R978" s="403" t="str">
        <f t="shared" ref="R978:R993" si="40">IF(O978=0,"DELETE"," ")</f>
        <v>DELETE</v>
      </c>
    </row>
    <row r="979" spans="2:18" ht="31.5" customHeight="1" x14ac:dyDescent="0.45">
      <c r="B979" s="323"/>
      <c r="C979" s="463"/>
      <c r="D979" s="464">
        <f>TrialBalance!C86</f>
        <v>0</v>
      </c>
      <c r="L979" s="405"/>
      <c r="M979" s="421"/>
      <c r="N979" s="400"/>
      <c r="O979" s="373">
        <f>-TrialBalance!L86</f>
        <v>0</v>
      </c>
      <c r="Q979" s="442"/>
      <c r="R979" s="403" t="str">
        <f t="shared" si="40"/>
        <v>DELETE</v>
      </c>
    </row>
    <row r="980" spans="2:18" ht="31.5" customHeight="1" x14ac:dyDescent="0.45">
      <c r="B980" s="323"/>
      <c r="C980" s="463"/>
      <c r="D980" s="464">
        <f>TrialBalance!C87</f>
        <v>0</v>
      </c>
      <c r="L980" s="405"/>
      <c r="M980" s="421"/>
      <c r="N980" s="400"/>
      <c r="O980" s="373">
        <f>-TrialBalance!L87</f>
        <v>0</v>
      </c>
      <c r="Q980" s="442"/>
      <c r="R980" s="403" t="str">
        <f t="shared" si="40"/>
        <v>DELETE</v>
      </c>
    </row>
    <row r="981" spans="2:18" ht="31.5" customHeight="1" x14ac:dyDescent="0.45">
      <c r="B981" s="323"/>
      <c r="C981" s="463"/>
      <c r="D981" s="464">
        <f>TrialBalance!C88</f>
        <v>0</v>
      </c>
      <c r="L981" s="405"/>
      <c r="M981" s="421"/>
      <c r="N981" s="400"/>
      <c r="O981" s="373">
        <f>-TrialBalance!L88</f>
        <v>0</v>
      </c>
      <c r="Q981" s="442"/>
      <c r="R981" s="403" t="str">
        <f t="shared" si="40"/>
        <v>DELETE</v>
      </c>
    </row>
    <row r="982" spans="2:18" ht="31.5" customHeight="1" x14ac:dyDescent="0.45">
      <c r="B982" s="323"/>
      <c r="C982" s="463"/>
      <c r="D982" s="464">
        <f>TrialBalanceA!C85</f>
        <v>0</v>
      </c>
      <c r="L982" s="405"/>
      <c r="M982" s="421"/>
      <c r="N982" s="400"/>
      <c r="O982" s="373">
        <f>-TrialBalanceA!I85</f>
        <v>0</v>
      </c>
      <c r="Q982" s="442"/>
      <c r="R982" s="403" t="str">
        <f t="shared" si="40"/>
        <v>DELETE</v>
      </c>
    </row>
    <row r="983" spans="2:18" ht="31.5" customHeight="1" x14ac:dyDescent="0.45">
      <c r="B983" s="323"/>
      <c r="C983" s="463"/>
      <c r="D983" s="464">
        <f>TrialBalanceA!C86</f>
        <v>0</v>
      </c>
      <c r="L983" s="405"/>
      <c r="M983" s="421"/>
      <c r="N983" s="400"/>
      <c r="O983" s="373">
        <f>-TrialBalanceA!I86</f>
        <v>0</v>
      </c>
      <c r="Q983" s="442"/>
      <c r="R983" s="403" t="str">
        <f t="shared" si="40"/>
        <v>DELETE</v>
      </c>
    </row>
    <row r="984" spans="2:18" ht="31.5" customHeight="1" x14ac:dyDescent="0.45">
      <c r="B984" s="323"/>
      <c r="C984" s="463"/>
      <c r="D984" s="464">
        <f>TrialBalanceA!C87</f>
        <v>0</v>
      </c>
      <c r="L984" s="405"/>
      <c r="M984" s="421"/>
      <c r="N984" s="400"/>
      <c r="O984" s="373">
        <f>-TrialBalanceA!I87</f>
        <v>0</v>
      </c>
      <c r="Q984" s="442"/>
      <c r="R984" s="403" t="str">
        <f t="shared" si="40"/>
        <v>DELETE</v>
      </c>
    </row>
    <row r="985" spans="2:18" ht="31.5" customHeight="1" x14ac:dyDescent="0.45">
      <c r="B985" s="323"/>
      <c r="C985" s="463"/>
      <c r="D985" s="464">
        <f>TrialBalanceA!C88</f>
        <v>0</v>
      </c>
      <c r="L985" s="405"/>
      <c r="M985" s="421"/>
      <c r="N985" s="400"/>
      <c r="O985" s="373">
        <f>-TrialBalanceA!I88</f>
        <v>0</v>
      </c>
      <c r="Q985" s="442"/>
      <c r="R985" s="403" t="str">
        <f t="shared" si="40"/>
        <v>DELETE</v>
      </c>
    </row>
    <row r="986" spans="2:18" ht="31.5" customHeight="1" x14ac:dyDescent="0.45">
      <c r="B986" s="323"/>
      <c r="C986" s="463"/>
      <c r="D986" s="464">
        <f>TrialBalanceB!C85</f>
        <v>0</v>
      </c>
      <c r="L986" s="405"/>
      <c r="M986" s="421"/>
      <c r="N986" s="400"/>
      <c r="O986" s="373">
        <f>-TrialBalanceB!I85</f>
        <v>0</v>
      </c>
      <c r="Q986" s="442"/>
      <c r="R986" s="403" t="str">
        <f t="shared" si="40"/>
        <v>DELETE</v>
      </c>
    </row>
    <row r="987" spans="2:18" ht="31.5" customHeight="1" x14ac:dyDescent="0.45">
      <c r="B987" s="323"/>
      <c r="C987" s="463"/>
      <c r="D987" s="464">
        <f>TrialBalanceB!C86</f>
        <v>0</v>
      </c>
      <c r="L987" s="405"/>
      <c r="M987" s="421"/>
      <c r="N987" s="400"/>
      <c r="O987" s="373">
        <f>-TrialBalanceB!I86</f>
        <v>0</v>
      </c>
      <c r="Q987" s="442"/>
      <c r="R987" s="403" t="str">
        <f t="shared" si="40"/>
        <v>DELETE</v>
      </c>
    </row>
    <row r="988" spans="2:18" ht="31.5" customHeight="1" x14ac:dyDescent="0.45">
      <c r="B988" s="323"/>
      <c r="C988" s="463"/>
      <c r="D988" s="464">
        <f>TrialBalanceB!C87</f>
        <v>0</v>
      </c>
      <c r="L988" s="405"/>
      <c r="M988" s="421"/>
      <c r="N988" s="400"/>
      <c r="O988" s="373">
        <f>-TrialBalanceB!I87</f>
        <v>0</v>
      </c>
      <c r="Q988" s="442"/>
      <c r="R988" s="403" t="str">
        <f t="shared" si="40"/>
        <v>DELETE</v>
      </c>
    </row>
    <row r="989" spans="2:18" ht="31.5" customHeight="1" x14ac:dyDescent="0.45">
      <c r="B989" s="323"/>
      <c r="C989" s="463"/>
      <c r="D989" s="464">
        <f>TrialBalanceB!C88</f>
        <v>0</v>
      </c>
      <c r="L989" s="405"/>
      <c r="M989" s="421"/>
      <c r="N989" s="400"/>
      <c r="O989" s="373">
        <f>-TrialBalanceB!I88</f>
        <v>0</v>
      </c>
      <c r="Q989" s="442"/>
      <c r="R989" s="403" t="str">
        <f t="shared" si="40"/>
        <v>DELETE</v>
      </c>
    </row>
    <row r="990" spans="2:18" ht="31.5" customHeight="1" x14ac:dyDescent="0.45">
      <c r="B990" s="323"/>
      <c r="C990" s="463"/>
      <c r="D990" s="464">
        <f>TrialBalanceC!C85</f>
        <v>0</v>
      </c>
      <c r="L990" s="405"/>
      <c r="M990" s="421"/>
      <c r="N990" s="400"/>
      <c r="O990" s="373">
        <f>-TrialBalanceC!I85</f>
        <v>0</v>
      </c>
      <c r="Q990" s="442"/>
      <c r="R990" s="403" t="str">
        <f t="shared" si="40"/>
        <v>DELETE</v>
      </c>
    </row>
    <row r="991" spans="2:18" ht="31.5" customHeight="1" x14ac:dyDescent="0.45">
      <c r="B991" s="323"/>
      <c r="C991" s="463"/>
      <c r="D991" s="464">
        <f>TrialBalanceC!C86</f>
        <v>0</v>
      </c>
      <c r="L991" s="405"/>
      <c r="M991" s="421"/>
      <c r="N991" s="400"/>
      <c r="O991" s="373">
        <f>-TrialBalanceC!I86</f>
        <v>0</v>
      </c>
      <c r="Q991" s="442"/>
      <c r="R991" s="403" t="str">
        <f t="shared" si="40"/>
        <v>DELETE</v>
      </c>
    </row>
    <row r="992" spans="2:18" ht="31.5" customHeight="1" x14ac:dyDescent="0.45">
      <c r="B992" s="323"/>
      <c r="C992" s="463"/>
      <c r="D992" s="464">
        <f>TrialBalanceC!C87</f>
        <v>0</v>
      </c>
      <c r="L992" s="405"/>
      <c r="M992" s="421"/>
      <c r="N992" s="400"/>
      <c r="O992" s="373">
        <f>-TrialBalanceC!I87</f>
        <v>0</v>
      </c>
      <c r="Q992" s="442"/>
      <c r="R992" s="403" t="str">
        <f t="shared" si="40"/>
        <v>DELETE</v>
      </c>
    </row>
    <row r="993" spans="2:22" ht="31.5" customHeight="1" x14ac:dyDescent="0.45">
      <c r="B993" s="323"/>
      <c r="C993" s="463"/>
      <c r="D993" s="464">
        <f>TrialBalanceC!C88</f>
        <v>0</v>
      </c>
      <c r="L993" s="405"/>
      <c r="M993" s="421"/>
      <c r="N993" s="400"/>
      <c r="O993" s="373">
        <f>-TrialBalanceC!I88</f>
        <v>0</v>
      </c>
      <c r="Q993" s="442"/>
      <c r="R993" s="403" t="str">
        <f t="shared" si="40"/>
        <v>DELETE</v>
      </c>
    </row>
    <row r="994" spans="2:22" ht="9" customHeight="1" x14ac:dyDescent="0.45">
      <c r="B994" s="323"/>
      <c r="C994" s="463"/>
      <c r="L994" s="405"/>
      <c r="M994" s="421"/>
      <c r="N994" s="400"/>
      <c r="O994" s="374"/>
      <c r="Q994" s="442"/>
      <c r="R994" s="403" t="str">
        <f>R975</f>
        <v>DELETE</v>
      </c>
    </row>
    <row r="995" spans="2:22" ht="9" customHeight="1" x14ac:dyDescent="0.45">
      <c r="B995" s="323"/>
      <c r="C995" s="463"/>
      <c r="L995" s="405"/>
      <c r="M995" s="421"/>
      <c r="N995" s="400"/>
      <c r="O995" s="347"/>
      <c r="Q995" s="442"/>
      <c r="R995" s="403" t="str">
        <f>R975</f>
        <v>DELETE</v>
      </c>
    </row>
    <row r="996" spans="2:22" ht="31.5" customHeight="1" x14ac:dyDescent="0.45">
      <c r="B996" s="323"/>
      <c r="C996" s="340">
        <f>MAX(C$965:C995)+0.1</f>
        <v>6.2999999999999989</v>
      </c>
      <c r="D996" s="400" t="s">
        <v>351</v>
      </c>
      <c r="L996" s="405"/>
      <c r="M996" s="421"/>
      <c r="N996" s="400"/>
      <c r="O996" s="347">
        <f>SUM(O998:O1004)</f>
        <v>0</v>
      </c>
      <c r="Q996" s="442"/>
      <c r="R996" s="403" t="str">
        <f>IF(SUM(O999:O1003)=0,"DELETE"," ")</f>
        <v>DELETE</v>
      </c>
      <c r="S996" s="380">
        <f>O996</f>
        <v>0</v>
      </c>
    </row>
    <row r="997" spans="2:22" ht="9" customHeight="1" x14ac:dyDescent="0.45">
      <c r="B997" s="323"/>
      <c r="C997" s="340"/>
      <c r="L997" s="405"/>
      <c r="M997" s="421"/>
      <c r="N997" s="400"/>
      <c r="O997" s="347"/>
      <c r="Q997" s="442"/>
      <c r="R997" s="403" t="str">
        <f>R996</f>
        <v>DELETE</v>
      </c>
    </row>
    <row r="998" spans="2:22" ht="9" customHeight="1" x14ac:dyDescent="0.45">
      <c r="B998" s="323"/>
      <c r="C998" s="340"/>
      <c r="L998" s="405"/>
      <c r="M998" s="421"/>
      <c r="N998" s="400"/>
      <c r="O998" s="372"/>
      <c r="Q998" s="442"/>
      <c r="R998" s="403" t="str">
        <f>R996</f>
        <v>DELETE</v>
      </c>
    </row>
    <row r="999" spans="2:22" ht="31.5" customHeight="1" x14ac:dyDescent="0.45">
      <c r="B999" s="323"/>
      <c r="C999" s="463"/>
      <c r="D999" s="400" t="s">
        <v>548</v>
      </c>
      <c r="L999" s="405"/>
      <c r="M999" s="421"/>
      <c r="N999" s="400"/>
      <c r="O999" s="373">
        <f>IF(TrialBalance!L93&lt;0,-TrialBalance!L93,0)+IF(TrialBalanceA!I93&lt;0,-TrialBalanceA!I93,0)+IF(TrialBalanceB!I93&lt;0,-TrialBalanceB!I93,0)+IF(TrialBalanceC!I93&lt;0,-TrialBalanceC!I93,0)</f>
        <v>0</v>
      </c>
      <c r="Q999" s="442"/>
      <c r="R999" s="403" t="str">
        <f t="shared" ref="R999:R1002" si="41">IF(O999=0,"DELETE"," ")</f>
        <v>DELETE</v>
      </c>
      <c r="S999" s="383"/>
      <c r="T999" s="383"/>
      <c r="U999" s="383"/>
      <c r="V999" s="383"/>
    </row>
    <row r="1000" spans="2:22" ht="31.5" customHeight="1" x14ac:dyDescent="0.45">
      <c r="B1000" s="323"/>
      <c r="C1000" s="463"/>
      <c r="D1000" s="400" t="s">
        <v>359</v>
      </c>
      <c r="L1000" s="405"/>
      <c r="M1000" s="421"/>
      <c r="N1000" s="400"/>
      <c r="O1000" s="373">
        <f>-TrialBalance!L83-TrialBalanceA!I83-TrialBalanceB!I83-TrialBalanceC!I83</f>
        <v>0</v>
      </c>
      <c r="Q1000" s="442"/>
      <c r="R1000" s="403" t="str">
        <f t="shared" si="41"/>
        <v>DELETE</v>
      </c>
      <c r="S1000" s="383"/>
      <c r="T1000" s="383"/>
      <c r="U1000" s="383"/>
      <c r="V1000" s="383"/>
    </row>
    <row r="1001" spans="2:22" ht="31.5" customHeight="1" x14ac:dyDescent="0.45">
      <c r="B1001" s="323"/>
      <c r="C1001" s="463"/>
      <c r="D1001" s="400" t="s">
        <v>205</v>
      </c>
      <c r="L1001" s="405"/>
      <c r="M1001" s="421"/>
      <c r="N1001" s="400"/>
      <c r="O1001" s="373">
        <f>-TrialBalance!L94-TrialBalanceA!I94-TrialBalanceB!I94-TrialBalanceC!I94</f>
        <v>0</v>
      </c>
      <c r="Q1001" s="442"/>
      <c r="R1001" s="403" t="str">
        <f t="shared" si="41"/>
        <v>DELETE</v>
      </c>
      <c r="S1001" s="383"/>
      <c r="T1001" s="383"/>
      <c r="U1001" s="383"/>
      <c r="V1001" s="383"/>
    </row>
    <row r="1002" spans="2:22" ht="31.5" customHeight="1" x14ac:dyDescent="0.45">
      <c r="B1002" s="323"/>
      <c r="C1002" s="463"/>
      <c r="D1002" s="400" t="s">
        <v>423</v>
      </c>
      <c r="L1002" s="405"/>
      <c r="M1002" s="421"/>
      <c r="N1002" s="400"/>
      <c r="O1002" s="373">
        <f>-TrialBalance!L95-TrialBalanceA!I95-TrialBalanceB!I95-TrialBalanceC!I95</f>
        <v>0</v>
      </c>
      <c r="Q1002" s="442"/>
      <c r="R1002" s="403" t="str">
        <f t="shared" si="41"/>
        <v>DELETE</v>
      </c>
      <c r="S1002" s="383"/>
      <c r="T1002" s="383"/>
      <c r="U1002" s="383"/>
      <c r="V1002" s="383"/>
    </row>
    <row r="1003" spans="2:22" ht="31.5" customHeight="1" x14ac:dyDescent="0.45">
      <c r="B1003" s="323"/>
      <c r="C1003" s="463"/>
      <c r="D1003" s="400" t="str">
        <f>TrialBalance!C96</f>
        <v>Revaluation of investment property</v>
      </c>
      <c r="L1003" s="405"/>
      <c r="M1003" s="421"/>
      <c r="N1003" s="400"/>
      <c r="O1003" s="373">
        <f>-TrialBalance!L96-TrialBalanceA!I96-TrialBalanceB!I96-TrialBalanceC!I96</f>
        <v>0</v>
      </c>
      <c r="Q1003" s="442"/>
      <c r="R1003" s="403" t="str">
        <f t="shared" ref="R1003" si="42">IF(O1003=0,"DELETE"," ")</f>
        <v>DELETE</v>
      </c>
      <c r="S1003" s="383"/>
      <c r="T1003" s="383"/>
      <c r="U1003" s="383"/>
      <c r="V1003" s="383"/>
    </row>
    <row r="1004" spans="2:22" ht="9" customHeight="1" x14ac:dyDescent="0.45">
      <c r="B1004" s="323"/>
      <c r="C1004" s="463"/>
      <c r="L1004" s="405"/>
      <c r="M1004" s="421"/>
      <c r="N1004" s="400"/>
      <c r="O1004" s="374"/>
      <c r="Q1004" s="442"/>
      <c r="R1004" s="403" t="str">
        <f>R996</f>
        <v>DELETE</v>
      </c>
      <c r="S1004" s="383"/>
      <c r="T1004" s="383"/>
      <c r="U1004" s="383"/>
      <c r="V1004" s="383"/>
    </row>
    <row r="1005" spans="2:22" ht="9" customHeight="1" x14ac:dyDescent="0.45">
      <c r="B1005" s="323"/>
      <c r="C1005" s="463"/>
      <c r="L1005" s="405"/>
      <c r="M1005" s="421"/>
      <c r="N1005" s="400"/>
      <c r="O1005" s="349"/>
      <c r="Q1005" s="442"/>
      <c r="R1005" s="403" t="str">
        <f>R1007</f>
        <v>DELETE</v>
      </c>
    </row>
    <row r="1006" spans="2:22" ht="9" customHeight="1" x14ac:dyDescent="0.45">
      <c r="B1006" s="323"/>
      <c r="C1006" s="463"/>
      <c r="L1006" s="405"/>
      <c r="M1006" s="421"/>
      <c r="N1006" s="400"/>
      <c r="O1006" s="347"/>
      <c r="Q1006" s="442"/>
      <c r="R1006" s="403" t="str">
        <f>R1007</f>
        <v>DELETE</v>
      </c>
    </row>
    <row r="1007" spans="2:22" ht="31.5" customHeight="1" x14ac:dyDescent="0.45">
      <c r="B1007" s="323"/>
      <c r="C1007" s="463"/>
      <c r="D1007" s="400" t="s">
        <v>573</v>
      </c>
      <c r="L1007" s="405"/>
      <c r="M1007" s="421"/>
      <c r="N1007" s="400"/>
      <c r="O1007" s="347">
        <f>SUM(S967:S1005)</f>
        <v>0</v>
      </c>
      <c r="Q1007" s="442"/>
      <c r="R1007" s="403" t="str">
        <f t="shared" ref="R1007" si="43">IF(O1007=0,"DELETE"," ")</f>
        <v>DELETE</v>
      </c>
      <c r="U1007" s="385"/>
      <c r="V1007" s="385"/>
    </row>
    <row r="1008" spans="2:22" ht="9" customHeight="1" thickBot="1" x14ac:dyDescent="0.5">
      <c r="B1008" s="323"/>
      <c r="C1008" s="463"/>
      <c r="L1008" s="405"/>
      <c r="M1008" s="421"/>
      <c r="N1008" s="400"/>
      <c r="O1008" s="351"/>
      <c r="Q1008" s="442"/>
      <c r="R1008" s="403" t="str">
        <f t="shared" ref="R1008:R1013" si="44">R$1007</f>
        <v>DELETE</v>
      </c>
    </row>
    <row r="1009" spans="2:18" ht="9" customHeight="1" thickTop="1" x14ac:dyDescent="0.45">
      <c r="B1009" s="323"/>
      <c r="C1009" s="463"/>
      <c r="L1009" s="405"/>
      <c r="M1009" s="421"/>
      <c r="N1009" s="400"/>
      <c r="O1009" s="363"/>
      <c r="Q1009" s="442"/>
      <c r="R1009" s="403" t="str">
        <f t="shared" si="44"/>
        <v>DELETE</v>
      </c>
    </row>
    <row r="1010" spans="2:18" ht="31.5" customHeight="1" x14ac:dyDescent="0.45">
      <c r="B1010" s="323"/>
      <c r="C1010" s="463"/>
      <c r="L1010" s="405"/>
      <c r="M1010" s="421"/>
      <c r="N1010" s="400"/>
      <c r="O1010" s="347"/>
      <c r="Q1010" s="442"/>
      <c r="R1010" s="403" t="str">
        <f t="shared" si="44"/>
        <v>DELETE</v>
      </c>
    </row>
    <row r="1011" spans="2:18" ht="31.5" customHeight="1" x14ac:dyDescent="0.45">
      <c r="B1011" s="323"/>
      <c r="C1011" s="463"/>
      <c r="M1011" s="347"/>
      <c r="N1011" s="298"/>
      <c r="O1011" s="347"/>
      <c r="Q1011" s="442"/>
      <c r="R1011" s="403" t="str">
        <f t="shared" si="44"/>
        <v>DELETE</v>
      </c>
    </row>
    <row r="1012" spans="2:18" ht="31.5" customHeight="1" x14ac:dyDescent="0.45">
      <c r="B1012" s="324"/>
      <c r="C1012" s="468"/>
      <c r="D1012" s="429"/>
      <c r="E1012" s="429"/>
      <c r="F1012" s="429"/>
      <c r="G1012" s="429"/>
      <c r="H1012" s="429"/>
      <c r="I1012" s="429"/>
      <c r="J1012" s="429"/>
      <c r="K1012" s="429"/>
      <c r="L1012" s="429"/>
      <c r="M1012" s="349"/>
      <c r="N1012" s="300"/>
      <c r="O1012" s="349"/>
      <c r="P1012" s="433"/>
      <c r="Q1012" s="446"/>
      <c r="R1012" s="403" t="str">
        <f t="shared" si="44"/>
        <v>DELETE</v>
      </c>
    </row>
    <row r="1013" spans="2:18" ht="31.5" customHeight="1" x14ac:dyDescent="0.45">
      <c r="B1013" s="325"/>
      <c r="C1013" s="417"/>
      <c r="M1013" s="347"/>
      <c r="N1013" s="298"/>
      <c r="O1013" s="347"/>
      <c r="R1013" s="403" t="str">
        <f t="shared" si="44"/>
        <v>DELETE</v>
      </c>
    </row>
    <row r="1014" spans="2:18" ht="31.5" customHeight="1" x14ac:dyDescent="0.45">
      <c r="B1014" s="422"/>
      <c r="M1014" s="426"/>
      <c r="N1014" s="406"/>
      <c r="O1014" s="426"/>
      <c r="R1014" s="403" t="str">
        <f>R$1071</f>
        <v>DELETE</v>
      </c>
    </row>
    <row r="1015" spans="2:18" ht="31.5" customHeight="1" x14ac:dyDescent="0.45">
      <c r="B1015" s="422"/>
      <c r="D1015" s="417" t="str">
        <f>Criteria!E9</f>
        <v>HOLDING COMPANY 268 (PROPRIETARY) LIMITED</v>
      </c>
      <c r="M1015" s="426"/>
      <c r="N1015" s="406"/>
      <c r="O1015" s="347" t="s">
        <v>96</v>
      </c>
      <c r="Q1015" s="292">
        <f>MAX($Q$114:Q1014)+1</f>
        <v>25</v>
      </c>
      <c r="R1015" s="403" t="str">
        <f>R$1071</f>
        <v>DELETE</v>
      </c>
    </row>
    <row r="1016" spans="2:18" ht="31.5" customHeight="1" x14ac:dyDescent="0.45">
      <c r="B1016" s="422"/>
      <c r="D1016" s="417" t="str">
        <f>Criteria!E10</f>
        <v>CONSOLIDATED FINANCIAL STATEMENTS</v>
      </c>
      <c r="M1016" s="426"/>
      <c r="N1016" s="406"/>
      <c r="O1016" s="426"/>
      <c r="R1016" s="403" t="str">
        <f>IF(R$1071="DELETE","DELETE",IF(D1016=0,"DELETE"," "))</f>
        <v>DELETE</v>
      </c>
    </row>
    <row r="1017" spans="2:18" ht="31.5" customHeight="1" x14ac:dyDescent="0.45">
      <c r="B1017" s="422"/>
      <c r="M1017" s="426"/>
      <c r="N1017" s="406"/>
      <c r="O1017" s="426"/>
      <c r="R1017" s="403" t="str">
        <f t="shared" ref="R1017:R1024" si="45">R$1071</f>
        <v>DELETE</v>
      </c>
    </row>
    <row r="1018" spans="2:18" ht="31.5" customHeight="1" x14ac:dyDescent="0.45">
      <c r="B1018" s="422"/>
      <c r="D1018" s="417" t="s">
        <v>377</v>
      </c>
      <c r="M1018" s="426"/>
      <c r="N1018" s="406"/>
      <c r="O1018" s="426"/>
      <c r="R1018" s="403" t="str">
        <f t="shared" si="45"/>
        <v>DELETE</v>
      </c>
    </row>
    <row r="1019" spans="2:18" ht="31.5" customHeight="1" x14ac:dyDescent="0.45">
      <c r="B1019" s="422"/>
      <c r="D1019" s="417" t="str">
        <f>Criteria!E20</f>
        <v>29 FEBRUARY 2024</v>
      </c>
      <c r="J1019" s="400" t="s">
        <v>247</v>
      </c>
      <c r="M1019" s="426"/>
      <c r="N1019" s="406"/>
      <c r="O1019" s="426"/>
      <c r="R1019" s="403" t="str">
        <f t="shared" si="45"/>
        <v>DELETE</v>
      </c>
    </row>
    <row r="1020" spans="2:18" ht="31.5" customHeight="1" x14ac:dyDescent="0.45">
      <c r="B1020" s="422"/>
      <c r="M1020" s="437"/>
      <c r="N1020" s="461"/>
      <c r="O1020" s="437"/>
      <c r="R1020" s="403" t="str">
        <f t="shared" si="45"/>
        <v>DELETE</v>
      </c>
    </row>
    <row r="1021" spans="2:18" ht="31.5" customHeight="1" x14ac:dyDescent="0.45">
      <c r="B1021" s="457"/>
      <c r="C1021" s="439"/>
      <c r="D1021" s="439"/>
      <c r="E1021" s="439"/>
      <c r="F1021" s="439"/>
      <c r="G1021" s="439"/>
      <c r="H1021" s="439"/>
      <c r="I1021" s="439"/>
      <c r="J1021" s="439"/>
      <c r="K1021" s="439"/>
      <c r="L1021" s="439"/>
      <c r="M1021" s="469"/>
      <c r="N1021" s="470"/>
      <c r="O1021" s="469"/>
      <c r="P1021" s="448"/>
      <c r="Q1021" s="440"/>
      <c r="R1021" s="403" t="str">
        <f t="shared" si="45"/>
        <v>DELETE</v>
      </c>
    </row>
    <row r="1022" spans="2:18" ht="31.5" customHeight="1" x14ac:dyDescent="0.45">
      <c r="B1022" s="459"/>
      <c r="L1022" s="405"/>
      <c r="M1022" s="421"/>
      <c r="N1022" s="400"/>
      <c r="O1022" s="344">
        <f>Criteria!E22</f>
        <v>2024</v>
      </c>
      <c r="Q1022" s="442"/>
      <c r="R1022" s="403" t="str">
        <f t="shared" si="45"/>
        <v>DELETE</v>
      </c>
    </row>
    <row r="1023" spans="2:18" ht="31.5" customHeight="1" x14ac:dyDescent="0.45">
      <c r="B1023" s="323"/>
      <c r="C1023" s="417"/>
      <c r="L1023" s="405"/>
      <c r="M1023" s="421"/>
      <c r="N1023" s="400"/>
      <c r="O1023" s="347"/>
      <c r="Q1023" s="442"/>
      <c r="R1023" s="403" t="str">
        <f t="shared" si="45"/>
        <v>DELETE</v>
      </c>
    </row>
    <row r="1024" spans="2:18" ht="31.5" customHeight="1" x14ac:dyDescent="0.45">
      <c r="B1024" s="323">
        <f>MAX(B$559:B1023)+1</f>
        <v>7</v>
      </c>
      <c r="C1024" s="417" t="s">
        <v>115</v>
      </c>
      <c r="L1024" s="405"/>
      <c r="M1024" s="421"/>
      <c r="N1024" s="400"/>
      <c r="O1024" s="347"/>
      <c r="Q1024" s="442"/>
      <c r="R1024" s="403" t="str">
        <f t="shared" si="45"/>
        <v>DELETE</v>
      </c>
    </row>
    <row r="1025" spans="2:18" ht="31.5" customHeight="1" x14ac:dyDescent="0.45">
      <c r="B1025" s="323"/>
      <c r="C1025" s="417"/>
      <c r="D1025" s="400">
        <f>TrialBalance!C142</f>
        <v>0</v>
      </c>
      <c r="L1025" s="405"/>
      <c r="M1025" s="421"/>
      <c r="N1025" s="400"/>
      <c r="O1025" s="347">
        <f>TrialBalance!L142</f>
        <v>0</v>
      </c>
      <c r="Q1025" s="442"/>
      <c r="R1025" s="403" t="str">
        <f t="shared" ref="R1025:R1068" si="46">IF(O1025=0,"DELETE"," ")</f>
        <v>DELETE</v>
      </c>
    </row>
    <row r="1026" spans="2:18" ht="31.5" customHeight="1" x14ac:dyDescent="0.45">
      <c r="B1026" s="323"/>
      <c r="C1026" s="417"/>
      <c r="D1026" s="400">
        <f>TrialBalance!C143</f>
        <v>0</v>
      </c>
      <c r="L1026" s="405"/>
      <c r="M1026" s="421"/>
      <c r="N1026" s="400"/>
      <c r="O1026" s="347">
        <f>TrialBalance!L143</f>
        <v>0</v>
      </c>
      <c r="Q1026" s="442"/>
      <c r="R1026" s="403" t="str">
        <f t="shared" si="46"/>
        <v>DELETE</v>
      </c>
    </row>
    <row r="1027" spans="2:18" ht="31.5" customHeight="1" x14ac:dyDescent="0.45">
      <c r="B1027" s="323"/>
      <c r="C1027" s="417"/>
      <c r="D1027" s="400">
        <f>TrialBalance!C144</f>
        <v>0</v>
      </c>
      <c r="L1027" s="405"/>
      <c r="M1027" s="421"/>
      <c r="N1027" s="400"/>
      <c r="O1027" s="347">
        <f>TrialBalance!L144</f>
        <v>0</v>
      </c>
      <c r="Q1027" s="442"/>
      <c r="R1027" s="403" t="str">
        <f t="shared" si="46"/>
        <v>DELETE</v>
      </c>
    </row>
    <row r="1028" spans="2:18" ht="31.5" customHeight="1" x14ac:dyDescent="0.45">
      <c r="B1028" s="323"/>
      <c r="C1028" s="417"/>
      <c r="D1028" s="400">
        <f>TrialBalance!C145</f>
        <v>0</v>
      </c>
      <c r="L1028" s="405"/>
      <c r="M1028" s="421"/>
      <c r="N1028" s="400"/>
      <c r="O1028" s="347">
        <f>TrialBalance!L145</f>
        <v>0</v>
      </c>
      <c r="Q1028" s="442"/>
      <c r="R1028" s="403" t="str">
        <f t="shared" si="46"/>
        <v>DELETE</v>
      </c>
    </row>
    <row r="1029" spans="2:18" ht="31.5" customHeight="1" x14ac:dyDescent="0.45">
      <c r="B1029" s="323"/>
      <c r="C1029" s="417"/>
      <c r="D1029" s="400">
        <f>TrialBalance!C146</f>
        <v>0</v>
      </c>
      <c r="L1029" s="405"/>
      <c r="M1029" s="421"/>
      <c r="N1029" s="400"/>
      <c r="O1029" s="347">
        <f>TrialBalance!L146</f>
        <v>0</v>
      </c>
      <c r="Q1029" s="442"/>
      <c r="R1029" s="403" t="str">
        <f t="shared" si="46"/>
        <v>DELETE</v>
      </c>
    </row>
    <row r="1030" spans="2:18" ht="31.5" customHeight="1" x14ac:dyDescent="0.45">
      <c r="B1030" s="323"/>
      <c r="C1030" s="417"/>
      <c r="D1030" s="400">
        <f>TrialBalance!C147</f>
        <v>0</v>
      </c>
      <c r="L1030" s="405"/>
      <c r="M1030" s="421"/>
      <c r="N1030" s="400"/>
      <c r="O1030" s="347">
        <f>TrialBalance!L147</f>
        <v>0</v>
      </c>
      <c r="Q1030" s="442"/>
      <c r="R1030" s="403" t="str">
        <f t="shared" si="46"/>
        <v>DELETE</v>
      </c>
    </row>
    <row r="1031" spans="2:18" ht="31.5" customHeight="1" x14ac:dyDescent="0.45">
      <c r="B1031" s="323"/>
      <c r="C1031" s="417"/>
      <c r="D1031" s="400">
        <f>TrialBalance!C148</f>
        <v>0</v>
      </c>
      <c r="L1031" s="405"/>
      <c r="M1031" s="421"/>
      <c r="N1031" s="400"/>
      <c r="O1031" s="347">
        <f>TrialBalance!L148</f>
        <v>0</v>
      </c>
      <c r="Q1031" s="442"/>
      <c r="R1031" s="403" t="str">
        <f t="shared" si="46"/>
        <v>DELETE</v>
      </c>
    </row>
    <row r="1032" spans="2:18" ht="31.5" customHeight="1" x14ac:dyDescent="0.45">
      <c r="B1032" s="323"/>
      <c r="C1032" s="417"/>
      <c r="D1032" s="400">
        <f>TrialBalance!C149</f>
        <v>0</v>
      </c>
      <c r="L1032" s="405"/>
      <c r="M1032" s="421"/>
      <c r="N1032" s="400"/>
      <c r="O1032" s="347">
        <f>TrialBalance!L149</f>
        <v>0</v>
      </c>
      <c r="Q1032" s="442"/>
      <c r="R1032" s="403" t="str">
        <f t="shared" si="46"/>
        <v>DELETE</v>
      </c>
    </row>
    <row r="1033" spans="2:18" ht="31.5" customHeight="1" x14ac:dyDescent="0.45">
      <c r="B1033" s="323"/>
      <c r="C1033" s="417"/>
      <c r="D1033" s="400">
        <f>TrialBalance!C150</f>
        <v>0</v>
      </c>
      <c r="L1033" s="405"/>
      <c r="M1033" s="421"/>
      <c r="N1033" s="400"/>
      <c r="O1033" s="347">
        <f>TrialBalance!L150</f>
        <v>0</v>
      </c>
      <c r="Q1033" s="442"/>
      <c r="R1033" s="403" t="str">
        <f t="shared" si="46"/>
        <v>DELETE</v>
      </c>
    </row>
    <row r="1034" spans="2:18" ht="31.5" customHeight="1" x14ac:dyDescent="0.45">
      <c r="B1034" s="323"/>
      <c r="C1034" s="417"/>
      <c r="D1034" s="400">
        <f>TrialBalance!C151</f>
        <v>0</v>
      </c>
      <c r="L1034" s="405"/>
      <c r="M1034" s="421"/>
      <c r="N1034" s="400"/>
      <c r="O1034" s="347">
        <f>TrialBalance!L151</f>
        <v>0</v>
      </c>
      <c r="Q1034" s="442"/>
      <c r="R1034" s="403" t="str">
        <f t="shared" si="46"/>
        <v>DELETE</v>
      </c>
    </row>
    <row r="1035" spans="2:18" ht="31.5" customHeight="1" x14ac:dyDescent="0.45">
      <c r="B1035" s="323"/>
      <c r="C1035" s="417"/>
      <c r="D1035" s="400" t="str">
        <f>TrialBalance!C152</f>
        <v>Interest on finance leases - Investments in financial instruments</v>
      </c>
      <c r="L1035" s="405"/>
      <c r="M1035" s="421"/>
      <c r="N1035" s="400"/>
      <c r="O1035" s="347">
        <f>TrialBalance!L152</f>
        <v>0</v>
      </c>
      <c r="Q1035" s="442"/>
      <c r="R1035" s="403" t="str">
        <f t="shared" si="46"/>
        <v>DELETE</v>
      </c>
    </row>
    <row r="1036" spans="2:18" ht="31.5" customHeight="1" x14ac:dyDescent="0.45">
      <c r="B1036" s="323"/>
      <c r="C1036" s="417"/>
      <c r="D1036" s="400">
        <f>TrialBalanceA!C142</f>
        <v>0</v>
      </c>
      <c r="L1036" s="405"/>
      <c r="M1036" s="421"/>
      <c r="N1036" s="400"/>
      <c r="O1036" s="347">
        <f>TrialBalanceA!I142</f>
        <v>0</v>
      </c>
      <c r="Q1036" s="442"/>
      <c r="R1036" s="403" t="str">
        <f t="shared" si="46"/>
        <v>DELETE</v>
      </c>
    </row>
    <row r="1037" spans="2:18" ht="31.5" customHeight="1" x14ac:dyDescent="0.45">
      <c r="B1037" s="323"/>
      <c r="C1037" s="417"/>
      <c r="D1037" s="400">
        <f>TrialBalanceA!C143</f>
        <v>0</v>
      </c>
      <c r="L1037" s="405"/>
      <c r="M1037" s="421"/>
      <c r="N1037" s="400"/>
      <c r="O1037" s="347">
        <f>TrialBalanceA!I143</f>
        <v>0</v>
      </c>
      <c r="Q1037" s="442"/>
      <c r="R1037" s="403" t="str">
        <f t="shared" si="46"/>
        <v>DELETE</v>
      </c>
    </row>
    <row r="1038" spans="2:18" ht="31.5" customHeight="1" x14ac:dyDescent="0.45">
      <c r="B1038" s="323"/>
      <c r="C1038" s="417"/>
      <c r="D1038" s="400">
        <f>TrialBalanceA!C144</f>
        <v>0</v>
      </c>
      <c r="L1038" s="405"/>
      <c r="M1038" s="421"/>
      <c r="N1038" s="400"/>
      <c r="O1038" s="347">
        <f>TrialBalanceA!I144</f>
        <v>0</v>
      </c>
      <c r="Q1038" s="442"/>
      <c r="R1038" s="403" t="str">
        <f t="shared" si="46"/>
        <v>DELETE</v>
      </c>
    </row>
    <row r="1039" spans="2:18" ht="31.5" customHeight="1" x14ac:dyDescent="0.45">
      <c r="B1039" s="323"/>
      <c r="C1039" s="417"/>
      <c r="D1039" s="400">
        <f>TrialBalanceA!C145</f>
        <v>0</v>
      </c>
      <c r="L1039" s="405"/>
      <c r="M1039" s="421"/>
      <c r="N1039" s="400"/>
      <c r="O1039" s="347">
        <f>TrialBalanceA!I145</f>
        <v>0</v>
      </c>
      <c r="Q1039" s="442"/>
      <c r="R1039" s="403" t="str">
        <f t="shared" si="46"/>
        <v>DELETE</v>
      </c>
    </row>
    <row r="1040" spans="2:18" ht="31.5" customHeight="1" x14ac:dyDescent="0.45">
      <c r="B1040" s="323"/>
      <c r="C1040" s="417"/>
      <c r="D1040" s="400">
        <f>TrialBalanceA!C146</f>
        <v>0</v>
      </c>
      <c r="L1040" s="405"/>
      <c r="M1040" s="421"/>
      <c r="N1040" s="400"/>
      <c r="O1040" s="347">
        <f>TrialBalanceA!I146</f>
        <v>0</v>
      </c>
      <c r="Q1040" s="442"/>
      <c r="R1040" s="403" t="str">
        <f t="shared" si="46"/>
        <v>DELETE</v>
      </c>
    </row>
    <row r="1041" spans="2:18" ht="31.5" customHeight="1" x14ac:dyDescent="0.45">
      <c r="B1041" s="323"/>
      <c r="C1041" s="417"/>
      <c r="D1041" s="400">
        <f>TrialBalanceA!C147</f>
        <v>0</v>
      </c>
      <c r="L1041" s="405"/>
      <c r="M1041" s="421"/>
      <c r="N1041" s="400"/>
      <c r="O1041" s="347">
        <f>TrialBalanceA!I147</f>
        <v>0</v>
      </c>
      <c r="Q1041" s="442"/>
      <c r="R1041" s="403" t="str">
        <f t="shared" si="46"/>
        <v>DELETE</v>
      </c>
    </row>
    <row r="1042" spans="2:18" ht="31.5" customHeight="1" x14ac:dyDescent="0.45">
      <c r="B1042" s="323"/>
      <c r="C1042" s="417"/>
      <c r="D1042" s="400">
        <f>TrialBalanceA!C148</f>
        <v>0</v>
      </c>
      <c r="L1042" s="405"/>
      <c r="M1042" s="421"/>
      <c r="N1042" s="400"/>
      <c r="O1042" s="347">
        <f>TrialBalanceA!I148</f>
        <v>0</v>
      </c>
      <c r="Q1042" s="442"/>
      <c r="R1042" s="403" t="str">
        <f t="shared" si="46"/>
        <v>DELETE</v>
      </c>
    </row>
    <row r="1043" spans="2:18" ht="31.5" customHeight="1" x14ac:dyDescent="0.45">
      <c r="B1043" s="323"/>
      <c r="C1043" s="417"/>
      <c r="D1043" s="400">
        <f>TrialBalanceA!C149</f>
        <v>0</v>
      </c>
      <c r="L1043" s="405"/>
      <c r="M1043" s="421"/>
      <c r="N1043" s="400"/>
      <c r="O1043" s="347">
        <f>TrialBalanceA!I149</f>
        <v>0</v>
      </c>
      <c r="Q1043" s="442"/>
      <c r="R1043" s="403" t="str">
        <f t="shared" si="46"/>
        <v>DELETE</v>
      </c>
    </row>
    <row r="1044" spans="2:18" ht="31.5" customHeight="1" x14ac:dyDescent="0.45">
      <c r="B1044" s="323"/>
      <c r="C1044" s="417"/>
      <c r="D1044" s="400">
        <f>TrialBalanceA!C150</f>
        <v>0</v>
      </c>
      <c r="L1044" s="405"/>
      <c r="M1044" s="421"/>
      <c r="N1044" s="400"/>
      <c r="O1044" s="347">
        <f>TrialBalanceA!I150</f>
        <v>0</v>
      </c>
      <c r="Q1044" s="442"/>
      <c r="R1044" s="403" t="str">
        <f t="shared" si="46"/>
        <v>DELETE</v>
      </c>
    </row>
    <row r="1045" spans="2:18" ht="31.5" customHeight="1" x14ac:dyDescent="0.45">
      <c r="B1045" s="323"/>
      <c r="C1045" s="417"/>
      <c r="D1045" s="400">
        <f>TrialBalanceA!C151</f>
        <v>0</v>
      </c>
      <c r="L1045" s="405"/>
      <c r="M1045" s="421"/>
      <c r="N1045" s="400"/>
      <c r="O1045" s="347">
        <f>TrialBalanceA!I151</f>
        <v>0</v>
      </c>
      <c r="Q1045" s="442"/>
      <c r="R1045" s="403" t="str">
        <f t="shared" si="46"/>
        <v>DELETE</v>
      </c>
    </row>
    <row r="1046" spans="2:18" ht="31.5" customHeight="1" x14ac:dyDescent="0.45">
      <c r="B1046" s="323"/>
      <c r="C1046" s="417"/>
      <c r="D1046" s="400" t="str">
        <f>TrialBalanceA!C152</f>
        <v>Interest on finance leases - Subsidiary One 111 (Pty) Ltd</v>
      </c>
      <c r="L1046" s="405"/>
      <c r="M1046" s="421"/>
      <c r="N1046" s="400"/>
      <c r="O1046" s="347">
        <f>TrialBalanceA!I152</f>
        <v>0</v>
      </c>
      <c r="Q1046" s="442"/>
      <c r="R1046" s="403" t="str">
        <f t="shared" si="46"/>
        <v>DELETE</v>
      </c>
    </row>
    <row r="1047" spans="2:18" ht="31.5" customHeight="1" x14ac:dyDescent="0.45">
      <c r="B1047" s="323"/>
      <c r="C1047" s="417"/>
      <c r="D1047" s="400">
        <f>TrialBalanceB!C142</f>
        <v>0</v>
      </c>
      <c r="L1047" s="405"/>
      <c r="M1047" s="421"/>
      <c r="N1047" s="400"/>
      <c r="O1047" s="347">
        <f>TrialBalanceB!I142</f>
        <v>0</v>
      </c>
      <c r="Q1047" s="442"/>
      <c r="R1047" s="403" t="str">
        <f t="shared" si="46"/>
        <v>DELETE</v>
      </c>
    </row>
    <row r="1048" spans="2:18" ht="31.5" customHeight="1" x14ac:dyDescent="0.45">
      <c r="B1048" s="323"/>
      <c r="C1048" s="417"/>
      <c r="D1048" s="400">
        <f>TrialBalanceB!C143</f>
        <v>0</v>
      </c>
      <c r="L1048" s="405"/>
      <c r="M1048" s="421"/>
      <c r="N1048" s="400"/>
      <c r="O1048" s="347">
        <f>TrialBalanceB!I143</f>
        <v>0</v>
      </c>
      <c r="Q1048" s="442"/>
      <c r="R1048" s="403" t="str">
        <f t="shared" si="46"/>
        <v>DELETE</v>
      </c>
    </row>
    <row r="1049" spans="2:18" ht="31.5" customHeight="1" x14ac:dyDescent="0.45">
      <c r="B1049" s="323"/>
      <c r="C1049" s="417"/>
      <c r="D1049" s="400">
        <f>TrialBalanceB!C144</f>
        <v>0</v>
      </c>
      <c r="L1049" s="405"/>
      <c r="M1049" s="421"/>
      <c r="N1049" s="400"/>
      <c r="O1049" s="347">
        <f>TrialBalanceB!I144</f>
        <v>0</v>
      </c>
      <c r="Q1049" s="442"/>
      <c r="R1049" s="403" t="str">
        <f t="shared" si="46"/>
        <v>DELETE</v>
      </c>
    </row>
    <row r="1050" spans="2:18" ht="31.5" customHeight="1" x14ac:dyDescent="0.45">
      <c r="B1050" s="323"/>
      <c r="C1050" s="417"/>
      <c r="D1050" s="400">
        <f>TrialBalanceB!C145</f>
        <v>0</v>
      </c>
      <c r="L1050" s="405"/>
      <c r="M1050" s="421"/>
      <c r="N1050" s="400"/>
      <c r="O1050" s="347">
        <f>TrialBalanceB!I145</f>
        <v>0</v>
      </c>
      <c r="Q1050" s="442"/>
      <c r="R1050" s="403" t="str">
        <f t="shared" si="46"/>
        <v>DELETE</v>
      </c>
    </row>
    <row r="1051" spans="2:18" ht="31.5" customHeight="1" x14ac:dyDescent="0.45">
      <c r="B1051" s="323"/>
      <c r="C1051" s="417"/>
      <c r="D1051" s="400">
        <f>TrialBalanceB!C146</f>
        <v>0</v>
      </c>
      <c r="L1051" s="405"/>
      <c r="M1051" s="421"/>
      <c r="N1051" s="400"/>
      <c r="O1051" s="347">
        <f>TrialBalanceB!I146</f>
        <v>0</v>
      </c>
      <c r="Q1051" s="442"/>
      <c r="R1051" s="403" t="str">
        <f t="shared" si="46"/>
        <v>DELETE</v>
      </c>
    </row>
    <row r="1052" spans="2:18" ht="31.5" customHeight="1" x14ac:dyDescent="0.45">
      <c r="B1052" s="323"/>
      <c r="C1052" s="417"/>
      <c r="D1052" s="400">
        <f>TrialBalanceB!C147</f>
        <v>0</v>
      </c>
      <c r="L1052" s="405"/>
      <c r="M1052" s="421"/>
      <c r="N1052" s="400"/>
      <c r="O1052" s="347">
        <f>TrialBalanceB!I147</f>
        <v>0</v>
      </c>
      <c r="Q1052" s="442"/>
      <c r="R1052" s="403" t="str">
        <f t="shared" si="46"/>
        <v>DELETE</v>
      </c>
    </row>
    <row r="1053" spans="2:18" ht="31.5" customHeight="1" x14ac:dyDescent="0.45">
      <c r="B1053" s="323"/>
      <c r="C1053" s="417"/>
      <c r="D1053" s="400">
        <f>TrialBalanceB!C148</f>
        <v>0</v>
      </c>
      <c r="L1053" s="405"/>
      <c r="M1053" s="421"/>
      <c r="N1053" s="400"/>
      <c r="O1053" s="347">
        <f>TrialBalanceB!I148</f>
        <v>0</v>
      </c>
      <c r="Q1053" s="442"/>
      <c r="R1053" s="403" t="str">
        <f t="shared" si="46"/>
        <v>DELETE</v>
      </c>
    </row>
    <row r="1054" spans="2:18" ht="31.5" customHeight="1" x14ac:dyDescent="0.45">
      <c r="B1054" s="323"/>
      <c r="C1054" s="417"/>
      <c r="D1054" s="400">
        <f>TrialBalanceB!C149</f>
        <v>0</v>
      </c>
      <c r="L1054" s="405"/>
      <c r="M1054" s="421"/>
      <c r="N1054" s="400"/>
      <c r="O1054" s="347">
        <f>TrialBalanceB!I149</f>
        <v>0</v>
      </c>
      <c r="Q1054" s="442"/>
      <c r="R1054" s="403" t="str">
        <f t="shared" si="46"/>
        <v>DELETE</v>
      </c>
    </row>
    <row r="1055" spans="2:18" ht="31.5" customHeight="1" x14ac:dyDescent="0.45">
      <c r="B1055" s="323"/>
      <c r="C1055" s="417"/>
      <c r="D1055" s="400">
        <f>TrialBalanceB!C150</f>
        <v>0</v>
      </c>
      <c r="L1055" s="405"/>
      <c r="M1055" s="421"/>
      <c r="N1055" s="400"/>
      <c r="O1055" s="347">
        <f>TrialBalanceB!I150</f>
        <v>0</v>
      </c>
      <c r="Q1055" s="442"/>
      <c r="R1055" s="403" t="str">
        <f t="shared" si="46"/>
        <v>DELETE</v>
      </c>
    </row>
    <row r="1056" spans="2:18" ht="31.5" customHeight="1" x14ac:dyDescent="0.45">
      <c r="B1056" s="323"/>
      <c r="C1056" s="417"/>
      <c r="D1056" s="400">
        <f>TrialBalanceB!C151</f>
        <v>0</v>
      </c>
      <c r="L1056" s="405"/>
      <c r="M1056" s="421"/>
      <c r="N1056" s="400"/>
      <c r="O1056" s="347">
        <f>TrialBalanceB!I151</f>
        <v>0</v>
      </c>
      <c r="Q1056" s="442"/>
      <c r="R1056" s="403" t="str">
        <f t="shared" si="46"/>
        <v>DELETE</v>
      </c>
    </row>
    <row r="1057" spans="2:18" ht="31.5" customHeight="1" x14ac:dyDescent="0.45">
      <c r="B1057" s="323"/>
      <c r="C1057" s="417"/>
      <c r="D1057" s="400" t="str">
        <f>TrialBalanceB!C152</f>
        <v>Interest on finance leases - Subsidiary Two 15 (Pty) Ltd</v>
      </c>
      <c r="L1057" s="405"/>
      <c r="M1057" s="421"/>
      <c r="N1057" s="400"/>
      <c r="O1057" s="347">
        <f>TrialBalanceB!I152</f>
        <v>0</v>
      </c>
      <c r="Q1057" s="442"/>
      <c r="R1057" s="403" t="str">
        <f t="shared" si="46"/>
        <v>DELETE</v>
      </c>
    </row>
    <row r="1058" spans="2:18" ht="31.5" customHeight="1" x14ac:dyDescent="0.45">
      <c r="B1058" s="323"/>
      <c r="C1058" s="417"/>
      <c r="D1058" s="400">
        <f>TrialBalanceC!C142</f>
        <v>0</v>
      </c>
      <c r="L1058" s="405"/>
      <c r="M1058" s="421"/>
      <c r="N1058" s="400"/>
      <c r="O1058" s="347">
        <f>TrialBalanceC!I142</f>
        <v>0</v>
      </c>
      <c r="Q1058" s="442"/>
      <c r="R1058" s="403" t="str">
        <f t="shared" si="46"/>
        <v>DELETE</v>
      </c>
    </row>
    <row r="1059" spans="2:18" ht="31.5" customHeight="1" x14ac:dyDescent="0.45">
      <c r="B1059" s="323"/>
      <c r="C1059" s="417"/>
      <c r="D1059" s="400">
        <f>TrialBalanceC!C143</f>
        <v>0</v>
      </c>
      <c r="L1059" s="405"/>
      <c r="M1059" s="421"/>
      <c r="N1059" s="400"/>
      <c r="O1059" s="347">
        <f>TrialBalanceC!I143</f>
        <v>0</v>
      </c>
      <c r="Q1059" s="442"/>
      <c r="R1059" s="403" t="str">
        <f t="shared" si="46"/>
        <v>DELETE</v>
      </c>
    </row>
    <row r="1060" spans="2:18" ht="31.5" customHeight="1" x14ac:dyDescent="0.45">
      <c r="B1060" s="323"/>
      <c r="C1060" s="417"/>
      <c r="D1060" s="400">
        <f>TrialBalanceC!C144</f>
        <v>0</v>
      </c>
      <c r="L1060" s="405"/>
      <c r="M1060" s="421"/>
      <c r="N1060" s="400"/>
      <c r="O1060" s="347">
        <f>TrialBalanceC!I144</f>
        <v>0</v>
      </c>
      <c r="Q1060" s="442"/>
      <c r="R1060" s="403" t="str">
        <f t="shared" si="46"/>
        <v>DELETE</v>
      </c>
    </row>
    <row r="1061" spans="2:18" ht="31.5" customHeight="1" x14ac:dyDescent="0.45">
      <c r="B1061" s="323"/>
      <c r="C1061" s="417"/>
      <c r="D1061" s="400">
        <f>TrialBalanceC!C145</f>
        <v>0</v>
      </c>
      <c r="L1061" s="405"/>
      <c r="M1061" s="421"/>
      <c r="N1061" s="400"/>
      <c r="O1061" s="347">
        <f>TrialBalanceC!I145</f>
        <v>0</v>
      </c>
      <c r="Q1061" s="442"/>
      <c r="R1061" s="403" t="str">
        <f t="shared" si="46"/>
        <v>DELETE</v>
      </c>
    </row>
    <row r="1062" spans="2:18" ht="31.5" customHeight="1" x14ac:dyDescent="0.45">
      <c r="B1062" s="323"/>
      <c r="C1062" s="417"/>
      <c r="D1062" s="400">
        <f>TrialBalanceC!C146</f>
        <v>0</v>
      </c>
      <c r="L1062" s="405"/>
      <c r="M1062" s="421"/>
      <c r="N1062" s="400"/>
      <c r="O1062" s="347">
        <f>TrialBalanceC!I146</f>
        <v>0</v>
      </c>
      <c r="Q1062" s="442"/>
      <c r="R1062" s="403" t="str">
        <f t="shared" si="46"/>
        <v>DELETE</v>
      </c>
    </row>
    <row r="1063" spans="2:18" ht="31.5" customHeight="1" x14ac:dyDescent="0.45">
      <c r="B1063" s="323"/>
      <c r="C1063" s="417"/>
      <c r="D1063" s="400">
        <f>TrialBalanceC!C147</f>
        <v>0</v>
      </c>
      <c r="L1063" s="405"/>
      <c r="M1063" s="421"/>
      <c r="N1063" s="400"/>
      <c r="O1063" s="347">
        <f>TrialBalanceC!I147</f>
        <v>0</v>
      </c>
      <c r="Q1063" s="442"/>
      <c r="R1063" s="403" t="str">
        <f t="shared" si="46"/>
        <v>DELETE</v>
      </c>
    </row>
    <row r="1064" spans="2:18" ht="31.5" customHeight="1" x14ac:dyDescent="0.45">
      <c r="B1064" s="323"/>
      <c r="C1064" s="417"/>
      <c r="D1064" s="400">
        <f>TrialBalanceC!C148</f>
        <v>0</v>
      </c>
      <c r="L1064" s="405"/>
      <c r="M1064" s="421"/>
      <c r="N1064" s="400"/>
      <c r="O1064" s="347">
        <f>TrialBalanceC!I148</f>
        <v>0</v>
      </c>
      <c r="Q1064" s="442"/>
      <c r="R1064" s="403" t="str">
        <f t="shared" si="46"/>
        <v>DELETE</v>
      </c>
    </row>
    <row r="1065" spans="2:18" ht="31.5" customHeight="1" x14ac:dyDescent="0.45">
      <c r="B1065" s="323"/>
      <c r="C1065" s="417"/>
      <c r="D1065" s="400">
        <f>TrialBalanceC!C149</f>
        <v>0</v>
      </c>
      <c r="L1065" s="405"/>
      <c r="M1065" s="421"/>
      <c r="N1065" s="400"/>
      <c r="O1065" s="347">
        <f>TrialBalanceC!I149</f>
        <v>0</v>
      </c>
      <c r="Q1065" s="442"/>
      <c r="R1065" s="403" t="str">
        <f t="shared" si="46"/>
        <v>DELETE</v>
      </c>
    </row>
    <row r="1066" spans="2:18" ht="31.5" customHeight="1" x14ac:dyDescent="0.45">
      <c r="B1066" s="323"/>
      <c r="C1066" s="417"/>
      <c r="D1066" s="400">
        <f>TrialBalanceC!C150</f>
        <v>0</v>
      </c>
      <c r="L1066" s="405"/>
      <c r="M1066" s="421"/>
      <c r="N1066" s="400"/>
      <c r="O1066" s="347">
        <f>TrialBalanceC!I150</f>
        <v>0</v>
      </c>
      <c r="Q1066" s="442"/>
      <c r="R1066" s="403" t="str">
        <f t="shared" si="46"/>
        <v>DELETE</v>
      </c>
    </row>
    <row r="1067" spans="2:18" ht="31.5" customHeight="1" x14ac:dyDescent="0.45">
      <c r="B1067" s="323"/>
      <c r="C1067" s="417"/>
      <c r="D1067" s="400">
        <f>TrialBalanceC!C151</f>
        <v>0</v>
      </c>
      <c r="L1067" s="405"/>
      <c r="M1067" s="421"/>
      <c r="N1067" s="400"/>
      <c r="O1067" s="347">
        <f>TrialBalanceC!I151</f>
        <v>0</v>
      </c>
      <c r="Q1067" s="442"/>
      <c r="R1067" s="403" t="str">
        <f t="shared" si="46"/>
        <v>DELETE</v>
      </c>
    </row>
    <row r="1068" spans="2:18" ht="31.5" customHeight="1" x14ac:dyDescent="0.45">
      <c r="B1068" s="323"/>
      <c r="C1068" s="417"/>
      <c r="D1068" s="400" t="str">
        <f>TrialBalanceC!C152</f>
        <v xml:space="preserve">Interest on finance leases - </v>
      </c>
      <c r="L1068" s="405"/>
      <c r="M1068" s="421"/>
      <c r="N1068" s="400"/>
      <c r="O1068" s="347">
        <f>TrialBalanceC!I152</f>
        <v>0</v>
      </c>
      <c r="Q1068" s="442"/>
      <c r="R1068" s="403" t="str">
        <f t="shared" si="46"/>
        <v>DELETE</v>
      </c>
    </row>
    <row r="1069" spans="2:18" ht="9" customHeight="1" x14ac:dyDescent="0.45">
      <c r="B1069" s="323"/>
      <c r="C1069" s="417"/>
      <c r="L1069" s="405"/>
      <c r="M1069" s="421"/>
      <c r="N1069" s="400"/>
      <c r="O1069" s="349"/>
      <c r="Q1069" s="442"/>
      <c r="R1069" s="403" t="str">
        <f>R$1071</f>
        <v>DELETE</v>
      </c>
    </row>
    <row r="1070" spans="2:18" ht="9" customHeight="1" x14ac:dyDescent="0.45">
      <c r="B1070" s="323"/>
      <c r="C1070" s="417"/>
      <c r="L1070" s="405"/>
      <c r="M1070" s="421"/>
      <c r="N1070" s="400"/>
      <c r="O1070" s="347"/>
      <c r="Q1070" s="442"/>
      <c r="R1070" s="403" t="str">
        <f>R$1071</f>
        <v>DELETE</v>
      </c>
    </row>
    <row r="1071" spans="2:18" ht="31.5" customHeight="1" x14ac:dyDescent="0.45">
      <c r="B1071" s="323"/>
      <c r="C1071" s="417"/>
      <c r="L1071" s="405"/>
      <c r="M1071" s="421"/>
      <c r="N1071" s="400"/>
      <c r="O1071" s="347">
        <f>SUM(O1025:O1070)</f>
        <v>0</v>
      </c>
      <c r="Q1071" s="442"/>
      <c r="R1071" s="403" t="str">
        <f t="shared" ref="R1071" si="47">IF(O1071=0,"DELETE"," ")</f>
        <v>DELETE</v>
      </c>
    </row>
    <row r="1072" spans="2:18" ht="9" customHeight="1" thickBot="1" x14ac:dyDescent="0.5">
      <c r="B1072" s="323"/>
      <c r="C1072" s="417"/>
      <c r="L1072" s="405"/>
      <c r="M1072" s="421"/>
      <c r="N1072" s="400"/>
      <c r="O1072" s="351"/>
      <c r="Q1072" s="442"/>
      <c r="R1072" s="403" t="str">
        <f t="shared" ref="R1072:R1077" si="48">R$1071</f>
        <v>DELETE</v>
      </c>
    </row>
    <row r="1073" spans="2:18" ht="9" customHeight="1" thickTop="1" x14ac:dyDescent="0.45">
      <c r="B1073" s="323"/>
      <c r="C1073" s="417"/>
      <c r="L1073" s="405"/>
      <c r="M1073" s="421"/>
      <c r="N1073" s="400"/>
      <c r="O1073" s="363"/>
      <c r="Q1073" s="442"/>
      <c r="R1073" s="403" t="str">
        <f t="shared" si="48"/>
        <v>DELETE</v>
      </c>
    </row>
    <row r="1074" spans="2:18" ht="31.5" customHeight="1" x14ac:dyDescent="0.45">
      <c r="B1074" s="323"/>
      <c r="C1074" s="417"/>
      <c r="L1074" s="405"/>
      <c r="M1074" s="421"/>
      <c r="N1074" s="400"/>
      <c r="O1074" s="363"/>
      <c r="Q1074" s="442"/>
      <c r="R1074" s="403" t="str">
        <f t="shared" si="48"/>
        <v>DELETE</v>
      </c>
    </row>
    <row r="1075" spans="2:18" ht="31.5" customHeight="1" x14ac:dyDescent="0.45">
      <c r="B1075" s="323"/>
      <c r="C1075" s="417"/>
      <c r="M1075" s="363"/>
      <c r="N1075" s="314"/>
      <c r="O1075" s="363"/>
      <c r="Q1075" s="442"/>
      <c r="R1075" s="403" t="str">
        <f t="shared" si="48"/>
        <v>DELETE</v>
      </c>
    </row>
    <row r="1076" spans="2:18" ht="31.5" customHeight="1" x14ac:dyDescent="0.45">
      <c r="B1076" s="324"/>
      <c r="C1076" s="465"/>
      <c r="D1076" s="429"/>
      <c r="E1076" s="429"/>
      <c r="F1076" s="429"/>
      <c r="G1076" s="429"/>
      <c r="H1076" s="429"/>
      <c r="I1076" s="429"/>
      <c r="J1076" s="429"/>
      <c r="K1076" s="429"/>
      <c r="L1076" s="429"/>
      <c r="M1076" s="349"/>
      <c r="N1076" s="300"/>
      <c r="O1076" s="349"/>
      <c r="P1076" s="433"/>
      <c r="Q1076" s="446"/>
      <c r="R1076" s="403" t="str">
        <f t="shared" si="48"/>
        <v>DELETE</v>
      </c>
    </row>
    <row r="1077" spans="2:18" ht="31.5" customHeight="1" x14ac:dyDescent="0.45">
      <c r="B1077" s="325"/>
      <c r="C1077" s="417"/>
      <c r="M1077" s="347"/>
      <c r="N1077" s="298"/>
      <c r="O1077" s="347"/>
      <c r="R1077" s="403" t="str">
        <f t="shared" si="48"/>
        <v>DELETE</v>
      </c>
    </row>
    <row r="1078" spans="2:18" ht="31.5" customHeight="1" x14ac:dyDescent="0.45">
      <c r="B1078" s="422"/>
      <c r="D1078" s="417"/>
      <c r="R1078" s="403" t="str">
        <f t="shared" ref="R1078:R1131" si="49">R$1088</f>
        <v>DELETE</v>
      </c>
    </row>
    <row r="1079" spans="2:18" ht="31.5" customHeight="1" x14ac:dyDescent="0.45">
      <c r="B1079" s="422"/>
      <c r="D1079" s="417" t="str">
        <f>Criteria!E9</f>
        <v>HOLDING COMPANY 268 (PROPRIETARY) LIMITED</v>
      </c>
      <c r="O1079" s="346" t="s">
        <v>96</v>
      </c>
      <c r="Q1079" s="292">
        <f>MAX($Q$114:Q1078)+1</f>
        <v>26</v>
      </c>
      <c r="R1079" s="403" t="str">
        <f t="shared" si="49"/>
        <v>DELETE</v>
      </c>
    </row>
    <row r="1080" spans="2:18" ht="31.5" customHeight="1" x14ac:dyDescent="0.45">
      <c r="B1080" s="422"/>
      <c r="D1080" s="417" t="str">
        <f>Criteria!E10</f>
        <v>CONSOLIDATED FINANCIAL STATEMENTS</v>
      </c>
      <c r="R1080" s="403" t="str">
        <f>IF(R$1088="DELETE","DELETE",IF(D1080=0,"DELETE"," "))</f>
        <v>DELETE</v>
      </c>
    </row>
    <row r="1081" spans="2:18" ht="31.5" customHeight="1" x14ac:dyDescent="0.45">
      <c r="B1081" s="422"/>
      <c r="R1081" s="403" t="str">
        <f t="shared" si="49"/>
        <v>DELETE</v>
      </c>
    </row>
    <row r="1082" spans="2:18" ht="31.5" customHeight="1" x14ac:dyDescent="0.45">
      <c r="B1082" s="422"/>
      <c r="D1082" s="417" t="s">
        <v>377</v>
      </c>
      <c r="R1082" s="403" t="str">
        <f t="shared" si="49"/>
        <v>DELETE</v>
      </c>
    </row>
    <row r="1083" spans="2:18" ht="31.5" customHeight="1" x14ac:dyDescent="0.45">
      <c r="B1083" s="422"/>
      <c r="D1083" s="417" t="str">
        <f>Criteria!E20</f>
        <v>29 FEBRUARY 2024</v>
      </c>
      <c r="J1083" s="400" t="s">
        <v>247</v>
      </c>
      <c r="R1083" s="403" t="str">
        <f t="shared" si="49"/>
        <v>DELETE</v>
      </c>
    </row>
    <row r="1084" spans="2:18" ht="31.5" customHeight="1" x14ac:dyDescent="0.45">
      <c r="B1084" s="422"/>
      <c r="R1084" s="403" t="str">
        <f t="shared" si="49"/>
        <v>DELETE</v>
      </c>
    </row>
    <row r="1085" spans="2:18" ht="31.5" customHeight="1" x14ac:dyDescent="0.45">
      <c r="B1085" s="457"/>
      <c r="C1085" s="439"/>
      <c r="D1085" s="439"/>
      <c r="E1085" s="439"/>
      <c r="F1085" s="439"/>
      <c r="G1085" s="439"/>
      <c r="H1085" s="439"/>
      <c r="I1085" s="439"/>
      <c r="J1085" s="439"/>
      <c r="K1085" s="439"/>
      <c r="L1085" s="439"/>
      <c r="M1085" s="447"/>
      <c r="N1085" s="448"/>
      <c r="O1085" s="447"/>
      <c r="P1085" s="448"/>
      <c r="Q1085" s="440"/>
      <c r="R1085" s="403" t="str">
        <f t="shared" si="49"/>
        <v>DELETE</v>
      </c>
    </row>
    <row r="1086" spans="2:18" ht="31.5" customHeight="1" x14ac:dyDescent="0.45">
      <c r="B1086" s="459"/>
      <c r="M1086" s="424"/>
      <c r="N1086" s="425"/>
      <c r="O1086" s="344">
        <f>Criteria!E22</f>
        <v>2024</v>
      </c>
      <c r="P1086" s="425"/>
      <c r="Q1086" s="442"/>
      <c r="R1086" s="403" t="str">
        <f t="shared" si="49"/>
        <v>DELETE</v>
      </c>
    </row>
    <row r="1087" spans="2:18" ht="31.5" customHeight="1" x14ac:dyDescent="0.45">
      <c r="B1087" s="459"/>
      <c r="M1087" s="424"/>
      <c r="N1087" s="425"/>
      <c r="O1087" s="424"/>
      <c r="P1087" s="425"/>
      <c r="Q1087" s="442"/>
      <c r="R1087" s="403" t="str">
        <f t="shared" si="49"/>
        <v>DELETE</v>
      </c>
    </row>
    <row r="1088" spans="2:18" ht="31.5" customHeight="1" x14ac:dyDescent="0.45">
      <c r="B1088" s="323">
        <f>MAX(B$559:B1085)+1</f>
        <v>8</v>
      </c>
      <c r="C1088" s="417" t="s">
        <v>1011</v>
      </c>
      <c r="M1088" s="424"/>
      <c r="N1088" s="425"/>
      <c r="O1088" s="424"/>
      <c r="P1088" s="425"/>
      <c r="Q1088" s="442"/>
      <c r="R1088" s="403" t="str">
        <f>IF(SUM(TrialBalance!L229:L230)+SUM(TrialBalance!N229:N230)+TrialBalance!L233=0,"DELETE"," ")</f>
        <v>DELETE</v>
      </c>
    </row>
    <row r="1089" spans="2:19" ht="31.5" customHeight="1" x14ac:dyDescent="0.45">
      <c r="B1089" s="323"/>
      <c r="D1089" s="400" t="s">
        <v>1055</v>
      </c>
      <c r="H1089" s="405"/>
      <c r="J1089" s="405"/>
      <c r="K1089" s="471"/>
      <c r="M1089" s="363"/>
      <c r="N1089" s="314"/>
      <c r="O1089" s="347">
        <f>O1092-O1093</f>
        <v>0</v>
      </c>
      <c r="Q1089" s="442"/>
      <c r="R1089" s="403" t="str">
        <f t="shared" si="49"/>
        <v>DELETE</v>
      </c>
    </row>
    <row r="1090" spans="2:19" ht="9" customHeight="1" x14ac:dyDescent="0.45">
      <c r="B1090" s="323"/>
      <c r="M1090" s="363"/>
      <c r="N1090" s="314"/>
      <c r="O1090" s="347"/>
      <c r="Q1090" s="442"/>
      <c r="R1090" s="403" t="str">
        <f t="shared" si="49"/>
        <v>DELETE</v>
      </c>
    </row>
    <row r="1091" spans="2:19" ht="9" customHeight="1" x14ac:dyDescent="0.45">
      <c r="B1091" s="323"/>
      <c r="M1091" s="363"/>
      <c r="N1091" s="314"/>
      <c r="O1091" s="372"/>
      <c r="Q1091" s="442"/>
      <c r="R1091" s="403" t="str">
        <f t="shared" si="49"/>
        <v>DELETE</v>
      </c>
    </row>
    <row r="1092" spans="2:19" ht="31.5" customHeight="1" x14ac:dyDescent="0.45">
      <c r="B1092" s="323"/>
      <c r="D1092" s="400" t="s">
        <v>383</v>
      </c>
      <c r="M1092" s="363"/>
      <c r="N1092" s="314"/>
      <c r="O1092" s="373">
        <f>TrialBalance!L229</f>
        <v>0</v>
      </c>
      <c r="Q1092" s="442"/>
      <c r="R1092" s="403" t="str">
        <f t="shared" si="49"/>
        <v>DELETE</v>
      </c>
      <c r="S1092" s="380">
        <f>O1092</f>
        <v>0</v>
      </c>
    </row>
    <row r="1093" spans="2:19" ht="31.5" customHeight="1" x14ac:dyDescent="0.45">
      <c r="B1093" s="323"/>
      <c r="D1093" s="400" t="s">
        <v>742</v>
      </c>
      <c r="M1093" s="363"/>
      <c r="N1093" s="314"/>
      <c r="O1093" s="373">
        <f>-TrialBalance!L235</f>
        <v>0</v>
      </c>
      <c r="Q1093" s="442"/>
      <c r="R1093" s="403" t="str">
        <f t="shared" si="49"/>
        <v>DELETE</v>
      </c>
      <c r="S1093" s="380">
        <f>-O1093</f>
        <v>0</v>
      </c>
    </row>
    <row r="1094" spans="2:19" ht="9" customHeight="1" x14ac:dyDescent="0.45">
      <c r="B1094" s="323"/>
      <c r="M1094" s="363"/>
      <c r="N1094" s="314"/>
      <c r="O1094" s="374"/>
      <c r="Q1094" s="442"/>
      <c r="R1094" s="403" t="str">
        <f t="shared" si="49"/>
        <v>DELETE</v>
      </c>
    </row>
    <row r="1095" spans="2:19" ht="9" customHeight="1" x14ac:dyDescent="0.45">
      <c r="B1095" s="323"/>
      <c r="M1095" s="363"/>
      <c r="N1095" s="314"/>
      <c r="O1095" s="347"/>
      <c r="Q1095" s="442"/>
      <c r="R1095" s="403" t="str">
        <f t="shared" si="49"/>
        <v>DELETE</v>
      </c>
    </row>
    <row r="1096" spans="2:19" ht="31.5" customHeight="1" x14ac:dyDescent="0.45">
      <c r="B1096" s="323"/>
      <c r="D1096" s="400" t="s">
        <v>384</v>
      </c>
      <c r="M1096" s="363"/>
      <c r="N1096" s="314"/>
      <c r="O1096" s="347">
        <f>TrialBalance!L230</f>
        <v>0</v>
      </c>
      <c r="Q1096" s="442"/>
      <c r="R1096" s="403" t="str">
        <f t="shared" si="49"/>
        <v>DELETE</v>
      </c>
      <c r="S1096" s="380">
        <f>O1096</f>
        <v>0</v>
      </c>
    </row>
    <row r="1097" spans="2:19" ht="31.5" customHeight="1" x14ac:dyDescent="0.45">
      <c r="B1097" s="323"/>
      <c r="E1097" s="400" t="s">
        <v>1085</v>
      </c>
      <c r="M1097" s="363"/>
      <c r="N1097" s="314"/>
      <c r="O1097" s="347">
        <f>TrialBalance!L233</f>
        <v>0</v>
      </c>
      <c r="Q1097" s="442"/>
      <c r="R1097" s="403" t="str">
        <f>IF(O1097=0,"DELETE"," ")</f>
        <v>DELETE</v>
      </c>
      <c r="S1097" s="380">
        <f>O1097</f>
        <v>0</v>
      </c>
    </row>
    <row r="1098" spans="2:19" ht="9" customHeight="1" x14ac:dyDescent="0.45">
      <c r="B1098" s="323"/>
      <c r="M1098" s="363"/>
      <c r="N1098" s="314"/>
      <c r="O1098" s="349"/>
      <c r="Q1098" s="442"/>
      <c r="R1098" s="403" t="str">
        <f t="shared" si="49"/>
        <v>DELETE</v>
      </c>
    </row>
    <row r="1099" spans="2:19" ht="9" customHeight="1" x14ac:dyDescent="0.45">
      <c r="B1099" s="323"/>
      <c r="M1099" s="363"/>
      <c r="N1099" s="314"/>
      <c r="O1099" s="347"/>
      <c r="Q1099" s="442"/>
      <c r="R1099" s="403" t="str">
        <f t="shared" si="49"/>
        <v>DELETE</v>
      </c>
    </row>
    <row r="1100" spans="2:19" ht="31.5" customHeight="1" x14ac:dyDescent="0.45">
      <c r="B1100" s="323"/>
      <c r="M1100" s="363"/>
      <c r="N1100" s="314"/>
      <c r="O1100" s="347">
        <f>O1089+SUM(O1095:O1098)</f>
        <v>0</v>
      </c>
      <c r="Q1100" s="442"/>
      <c r="R1100" s="403" t="str">
        <f t="shared" si="49"/>
        <v>DELETE</v>
      </c>
    </row>
    <row r="1101" spans="2:19" ht="31.5" customHeight="1" x14ac:dyDescent="0.45">
      <c r="B1101" s="323"/>
      <c r="D1101" s="400" t="s">
        <v>1079</v>
      </c>
      <c r="M1101" s="363"/>
      <c r="N1101" s="314"/>
      <c r="O1101" s="347">
        <f>-SUM(S1103:S1106)</f>
        <v>0</v>
      </c>
      <c r="Q1101" s="442"/>
      <c r="R1101" s="403" t="str">
        <f>IF(O1101=0,"DELETE"," ")</f>
        <v>DELETE</v>
      </c>
    </row>
    <row r="1102" spans="2:19" ht="9" customHeight="1" x14ac:dyDescent="0.45">
      <c r="B1102" s="323"/>
      <c r="M1102" s="363"/>
      <c r="N1102" s="314"/>
      <c r="O1102" s="347"/>
      <c r="Q1102" s="442"/>
      <c r="R1102" s="403" t="str">
        <f>R$1101</f>
        <v>DELETE</v>
      </c>
    </row>
    <row r="1103" spans="2:19" ht="9" customHeight="1" x14ac:dyDescent="0.45">
      <c r="B1103" s="323"/>
      <c r="M1103" s="363"/>
      <c r="N1103" s="314"/>
      <c r="O1103" s="372"/>
      <c r="Q1103" s="442"/>
      <c r="R1103" s="403" t="str">
        <f>R$1101</f>
        <v>DELETE</v>
      </c>
    </row>
    <row r="1104" spans="2:19" ht="31.5" customHeight="1" x14ac:dyDescent="0.45">
      <c r="B1104" s="323"/>
      <c r="D1104" s="400" t="s">
        <v>383</v>
      </c>
      <c r="M1104" s="363"/>
      <c r="N1104" s="314"/>
      <c r="O1104" s="373">
        <f>-TrialBalance!L232</f>
        <v>0</v>
      </c>
      <c r="Q1104" s="442"/>
      <c r="R1104" s="403" t="str">
        <f t="shared" ref="R1104:R1105" si="50">IF(O1104=0,"DELETE"," ")</f>
        <v>DELETE</v>
      </c>
      <c r="S1104" s="380">
        <f>-O1104</f>
        <v>0</v>
      </c>
    </row>
    <row r="1105" spans="2:21" ht="31.5" customHeight="1" x14ac:dyDescent="0.45">
      <c r="B1105" s="323"/>
      <c r="D1105" s="400" t="s">
        <v>742</v>
      </c>
      <c r="M1105" s="363"/>
      <c r="N1105" s="314"/>
      <c r="O1105" s="373">
        <f>TrialBalance!L238</f>
        <v>0</v>
      </c>
      <c r="Q1105" s="442"/>
      <c r="R1105" s="403" t="str">
        <f t="shared" si="50"/>
        <v>DELETE</v>
      </c>
      <c r="S1105" s="380">
        <f>O1105</f>
        <v>0</v>
      </c>
    </row>
    <row r="1106" spans="2:21" ht="9" customHeight="1" x14ac:dyDescent="0.45">
      <c r="B1106" s="323"/>
      <c r="M1106" s="363"/>
      <c r="N1106" s="314"/>
      <c r="O1106" s="374"/>
      <c r="Q1106" s="442"/>
      <c r="R1106" s="403" t="str">
        <f t="shared" ref="R1106:R1107" si="51">R$1101</f>
        <v>DELETE</v>
      </c>
    </row>
    <row r="1107" spans="2:21" ht="9" customHeight="1" x14ac:dyDescent="0.45">
      <c r="B1107" s="323"/>
      <c r="M1107" s="363"/>
      <c r="N1107" s="314"/>
      <c r="O1107" s="347"/>
      <c r="Q1107" s="442"/>
      <c r="R1107" s="403" t="str">
        <f t="shared" si="51"/>
        <v>DELETE</v>
      </c>
    </row>
    <row r="1108" spans="2:21" ht="31.5" customHeight="1" x14ac:dyDescent="0.45">
      <c r="B1108" s="323"/>
      <c r="D1108" s="400" t="s">
        <v>162</v>
      </c>
      <c r="M1108" s="363"/>
      <c r="N1108" s="314"/>
      <c r="O1108" s="347">
        <f>-SUM(S1110:S1113)</f>
        <v>0</v>
      </c>
      <c r="Q1108" s="442"/>
      <c r="R1108" s="403" t="str">
        <f t="shared" ref="R1108" si="52">IF(O1108=0,"DELETE"," ")</f>
        <v>DELETE</v>
      </c>
    </row>
    <row r="1109" spans="2:21" ht="9" customHeight="1" x14ac:dyDescent="0.45">
      <c r="B1109" s="323"/>
      <c r="M1109" s="363"/>
      <c r="N1109" s="314"/>
      <c r="O1109" s="347"/>
      <c r="Q1109" s="442"/>
      <c r="R1109" s="403" t="str">
        <f>R$1108</f>
        <v>DELETE</v>
      </c>
    </row>
    <row r="1110" spans="2:21" ht="9" customHeight="1" x14ac:dyDescent="0.45">
      <c r="B1110" s="323"/>
      <c r="M1110" s="363"/>
      <c r="N1110" s="314"/>
      <c r="O1110" s="372"/>
      <c r="Q1110" s="442"/>
      <c r="R1110" s="403" t="str">
        <f>R$1108</f>
        <v>DELETE</v>
      </c>
    </row>
    <row r="1111" spans="2:21" ht="31.5" customHeight="1" x14ac:dyDescent="0.45">
      <c r="B1111" s="323"/>
      <c r="D1111" s="400" t="s">
        <v>383</v>
      </c>
      <c r="M1111" s="363"/>
      <c r="N1111" s="314"/>
      <c r="O1111" s="373">
        <f>-TrialBalance!L231</f>
        <v>0</v>
      </c>
      <c r="Q1111" s="442"/>
      <c r="R1111" s="403" t="str">
        <f t="shared" ref="R1111:R1112" si="53">IF(O1111=0,"DELETE"," ")</f>
        <v>DELETE</v>
      </c>
      <c r="S1111" s="380">
        <f>-O1111</f>
        <v>0</v>
      </c>
    </row>
    <row r="1112" spans="2:21" ht="31.5" customHeight="1" x14ac:dyDescent="0.45">
      <c r="B1112" s="323"/>
      <c r="D1112" s="400" t="s">
        <v>742</v>
      </c>
      <c r="M1112" s="363"/>
      <c r="N1112" s="314"/>
      <c r="O1112" s="373">
        <f>TrialBalance!L237</f>
        <v>0</v>
      </c>
      <c r="Q1112" s="442"/>
      <c r="R1112" s="403" t="str">
        <f t="shared" si="53"/>
        <v>DELETE</v>
      </c>
      <c r="S1112" s="380">
        <f>O1112</f>
        <v>0</v>
      </c>
    </row>
    <row r="1113" spans="2:21" ht="9" customHeight="1" x14ac:dyDescent="0.45">
      <c r="B1113" s="323"/>
      <c r="M1113" s="363"/>
      <c r="N1113" s="314"/>
      <c r="O1113" s="374"/>
      <c r="Q1113" s="442"/>
      <c r="R1113" s="403" t="str">
        <f t="shared" ref="R1113:R1114" si="54">R$1108</f>
        <v>DELETE</v>
      </c>
    </row>
    <row r="1114" spans="2:21" ht="9" customHeight="1" x14ac:dyDescent="0.45">
      <c r="B1114" s="323"/>
      <c r="M1114" s="363"/>
      <c r="N1114" s="314"/>
      <c r="O1114" s="363"/>
      <c r="Q1114" s="442"/>
      <c r="R1114" s="403" t="str">
        <f t="shared" si="54"/>
        <v>DELETE</v>
      </c>
    </row>
    <row r="1115" spans="2:21" ht="31.5" customHeight="1" x14ac:dyDescent="0.45">
      <c r="B1115" s="323"/>
      <c r="D1115" s="400" t="s">
        <v>277</v>
      </c>
      <c r="M1115" s="363"/>
      <c r="N1115" s="314"/>
      <c r="O1115" s="363">
        <f>TrialBalance!L236</f>
        <v>0</v>
      </c>
      <c r="P1115" s="425"/>
      <c r="Q1115" s="442"/>
      <c r="R1115" s="403" t="str">
        <f t="shared" si="49"/>
        <v>DELETE</v>
      </c>
      <c r="S1115" s="380">
        <f>O1115</f>
        <v>0</v>
      </c>
    </row>
    <row r="1116" spans="2:21" ht="9" customHeight="1" x14ac:dyDescent="0.45">
      <c r="B1116" s="323"/>
      <c r="M1116" s="363"/>
      <c r="N1116" s="314"/>
      <c r="O1116" s="349"/>
      <c r="P1116" s="425"/>
      <c r="Q1116" s="442"/>
      <c r="R1116" s="403" t="str">
        <f t="shared" si="49"/>
        <v>DELETE</v>
      </c>
    </row>
    <row r="1117" spans="2:21" ht="9" customHeight="1" x14ac:dyDescent="0.45">
      <c r="B1117" s="323"/>
      <c r="M1117" s="363"/>
      <c r="N1117" s="314"/>
      <c r="O1117" s="363"/>
      <c r="P1117" s="425"/>
      <c r="Q1117" s="442"/>
      <c r="R1117" s="403" t="str">
        <f t="shared" si="49"/>
        <v>DELETE</v>
      </c>
    </row>
    <row r="1118" spans="2:21" ht="31.5" customHeight="1" x14ac:dyDescent="0.45">
      <c r="B1118" s="323"/>
      <c r="D1118" s="400" t="s">
        <v>1060</v>
      </c>
      <c r="K1118" s="472"/>
      <c r="M1118" s="363"/>
      <c r="N1118" s="314"/>
      <c r="O1118" s="347">
        <f>SUM(S1091:S1116)</f>
        <v>0</v>
      </c>
      <c r="Q1118" s="442"/>
      <c r="R1118" s="403" t="str">
        <f t="shared" si="49"/>
        <v>DELETE</v>
      </c>
      <c r="U1118" s="378" t="b">
        <f>O1118=O1122-O1123</f>
        <v>1</v>
      </c>
    </row>
    <row r="1119" spans="2:21" ht="9" customHeight="1" thickBot="1" x14ac:dyDescent="0.5">
      <c r="B1119" s="323"/>
      <c r="M1119" s="363"/>
      <c r="N1119" s="314"/>
      <c r="O1119" s="351"/>
      <c r="Q1119" s="442"/>
      <c r="R1119" s="403" t="str">
        <f t="shared" si="49"/>
        <v>DELETE</v>
      </c>
    </row>
    <row r="1120" spans="2:21" ht="9" customHeight="1" thickTop="1" x14ac:dyDescent="0.45">
      <c r="B1120" s="323"/>
      <c r="M1120" s="363"/>
      <c r="N1120" s="314"/>
      <c r="O1120" s="347"/>
      <c r="Q1120" s="442"/>
      <c r="R1120" s="403" t="str">
        <f t="shared" si="49"/>
        <v>DELETE</v>
      </c>
    </row>
    <row r="1121" spans="2:18" ht="9" customHeight="1" x14ac:dyDescent="0.45">
      <c r="B1121" s="323"/>
      <c r="M1121" s="363"/>
      <c r="N1121" s="314"/>
      <c r="O1121" s="372"/>
      <c r="Q1121" s="442"/>
      <c r="R1121" s="403" t="str">
        <f t="shared" si="49"/>
        <v>DELETE</v>
      </c>
    </row>
    <row r="1122" spans="2:18" ht="31.5" customHeight="1" x14ac:dyDescent="0.45">
      <c r="B1122" s="323"/>
      <c r="D1122" s="400" t="s">
        <v>383</v>
      </c>
      <c r="M1122" s="363"/>
      <c r="N1122" s="314"/>
      <c r="O1122" s="373">
        <f>SUM(TrialBalance!L229:L233)</f>
        <v>0</v>
      </c>
      <c r="Q1122" s="442"/>
      <c r="R1122" s="403" t="str">
        <f t="shared" si="49"/>
        <v>DELETE</v>
      </c>
    </row>
    <row r="1123" spans="2:18" ht="31.5" customHeight="1" x14ac:dyDescent="0.45">
      <c r="B1123" s="323"/>
      <c r="D1123" s="400" t="s">
        <v>742</v>
      </c>
      <c r="M1123" s="363"/>
      <c r="N1123" s="314"/>
      <c r="O1123" s="373">
        <f>-SUM(TrialBalance!L235:L238)</f>
        <v>0</v>
      </c>
      <c r="Q1123" s="442"/>
      <c r="R1123" s="403" t="str">
        <f t="shared" si="49"/>
        <v>DELETE</v>
      </c>
    </row>
    <row r="1124" spans="2:18" ht="9" customHeight="1" x14ac:dyDescent="0.45">
      <c r="B1124" s="323"/>
      <c r="M1124" s="363"/>
      <c r="N1124" s="314"/>
      <c r="O1124" s="374"/>
      <c r="Q1124" s="442"/>
      <c r="R1124" s="403" t="str">
        <f t="shared" si="49"/>
        <v>DELETE</v>
      </c>
    </row>
    <row r="1125" spans="2:18" ht="9" customHeight="1" x14ac:dyDescent="0.45">
      <c r="B1125" s="323"/>
      <c r="M1125" s="363"/>
      <c r="N1125" s="314"/>
      <c r="O1125" s="347"/>
      <c r="Q1125" s="442"/>
      <c r="R1125" s="403" t="str">
        <f t="shared" si="49"/>
        <v>DELETE</v>
      </c>
    </row>
    <row r="1126" spans="2:18" ht="31.5" customHeight="1" x14ac:dyDescent="0.45">
      <c r="B1126" s="323"/>
      <c r="M1126" s="424"/>
      <c r="N1126" s="425"/>
      <c r="O1126" s="424"/>
      <c r="P1126" s="425"/>
      <c r="Q1126" s="442"/>
      <c r="R1126" s="403" t="str">
        <f t="shared" si="49"/>
        <v>DELETE</v>
      </c>
    </row>
    <row r="1127" spans="2:18" ht="31.5" customHeight="1" x14ac:dyDescent="0.45">
      <c r="B1127" s="323"/>
      <c r="D1127" s="400" t="str">
        <f>IF(SUM(TrialBalance!L229:L233)=0," ",IF(Criteria!F119="Yes",CONCATENATE("Fixed property is pledged as security - See Note ",'FS2'!B1768)," "))</f>
        <v xml:space="preserve"> </v>
      </c>
      <c r="M1127" s="424"/>
      <c r="N1127" s="425"/>
      <c r="O1127" s="424"/>
      <c r="P1127" s="425"/>
      <c r="Q1127" s="442"/>
      <c r="R1127" s="403" t="str">
        <f>IF(R$1088="DELETE","DELETE",IF(D1127=" ","DELETE"," "))</f>
        <v>DELETE</v>
      </c>
    </row>
    <row r="1128" spans="2:18" ht="31.5" customHeight="1" x14ac:dyDescent="0.45">
      <c r="B1128" s="323"/>
      <c r="M1128" s="424"/>
      <c r="N1128" s="425"/>
      <c r="O1128" s="424"/>
      <c r="P1128" s="425"/>
      <c r="Q1128" s="442"/>
      <c r="R1128" s="403" t="str">
        <f t="shared" si="49"/>
        <v>DELETE</v>
      </c>
    </row>
    <row r="1129" spans="2:18" ht="31.5" customHeight="1" x14ac:dyDescent="0.45">
      <c r="B1129" s="323"/>
      <c r="M1129" s="424"/>
      <c r="N1129" s="425"/>
      <c r="O1129" s="424"/>
      <c r="P1129" s="425"/>
      <c r="Q1129" s="442"/>
      <c r="R1129" s="403" t="str">
        <f t="shared" si="49"/>
        <v>DELETE</v>
      </c>
    </row>
    <row r="1130" spans="2:18" ht="31.5" customHeight="1" x14ac:dyDescent="0.45">
      <c r="B1130" s="324"/>
      <c r="C1130" s="465"/>
      <c r="D1130" s="429"/>
      <c r="E1130" s="429"/>
      <c r="F1130" s="429"/>
      <c r="G1130" s="429"/>
      <c r="H1130" s="429"/>
      <c r="I1130" s="429"/>
      <c r="J1130" s="429"/>
      <c r="K1130" s="429"/>
      <c r="L1130" s="429"/>
      <c r="M1130" s="349"/>
      <c r="N1130" s="300"/>
      <c r="O1130" s="349"/>
      <c r="P1130" s="433"/>
      <c r="Q1130" s="446"/>
      <c r="R1130" s="403" t="str">
        <f t="shared" si="49"/>
        <v>DELETE</v>
      </c>
    </row>
    <row r="1131" spans="2:18" ht="31.5" customHeight="1" x14ac:dyDescent="0.45">
      <c r="B1131" s="325"/>
      <c r="C1131" s="417"/>
      <c r="M1131" s="347"/>
      <c r="N1131" s="298"/>
      <c r="O1131" s="347"/>
      <c r="R1131" s="403" t="str">
        <f t="shared" si="49"/>
        <v>DELETE</v>
      </c>
    </row>
    <row r="1132" spans="2:18" ht="31.5" customHeight="1" x14ac:dyDescent="0.45">
      <c r="B1132" s="325"/>
      <c r="C1132" s="417"/>
      <c r="M1132" s="347"/>
      <c r="N1132" s="298"/>
      <c r="O1132" s="347"/>
      <c r="R1132" s="403" t="str">
        <f t="shared" ref="R1132:R1143" si="55">R$1184</f>
        <v>DELETE</v>
      </c>
    </row>
    <row r="1133" spans="2:18" ht="31.5" customHeight="1" x14ac:dyDescent="0.45">
      <c r="B1133" s="325"/>
      <c r="C1133" s="417"/>
      <c r="D1133" s="417" t="str">
        <f>Criteria!E9</f>
        <v>HOLDING COMPANY 268 (PROPRIETARY) LIMITED</v>
      </c>
      <c r="O1133" s="346" t="s">
        <v>96</v>
      </c>
      <c r="Q1133" s="292">
        <f>MAX($Q$114:Q1132)+1</f>
        <v>27</v>
      </c>
      <c r="R1133" s="403" t="str">
        <f t="shared" si="55"/>
        <v>DELETE</v>
      </c>
    </row>
    <row r="1134" spans="2:18" ht="31.5" customHeight="1" x14ac:dyDescent="0.45">
      <c r="B1134" s="325"/>
      <c r="C1134" s="417"/>
      <c r="D1134" s="417" t="str">
        <f>Criteria!E10</f>
        <v>CONSOLIDATED FINANCIAL STATEMENTS</v>
      </c>
      <c r="R1134" s="403" t="str">
        <f>IF(R$1184="DELETE","DELETE",IF(D1134=0,"DELETE"," "))</f>
        <v>DELETE</v>
      </c>
    </row>
    <row r="1135" spans="2:18" ht="31.5" customHeight="1" x14ac:dyDescent="0.45">
      <c r="B1135" s="325"/>
      <c r="C1135" s="417"/>
      <c r="R1135" s="403" t="str">
        <f t="shared" si="55"/>
        <v>DELETE</v>
      </c>
    </row>
    <row r="1136" spans="2:18" ht="31.5" customHeight="1" x14ac:dyDescent="0.45">
      <c r="B1136" s="325"/>
      <c r="C1136" s="417"/>
      <c r="D1136" s="417" t="s">
        <v>377</v>
      </c>
      <c r="R1136" s="403" t="str">
        <f t="shared" si="55"/>
        <v>DELETE</v>
      </c>
    </row>
    <row r="1137" spans="2:18" ht="31.5" customHeight="1" x14ac:dyDescent="0.45">
      <c r="B1137" s="325"/>
      <c r="C1137" s="417"/>
      <c r="D1137" s="417" t="str">
        <f>Criteria!E20</f>
        <v>29 FEBRUARY 2024</v>
      </c>
      <c r="J1137" s="400" t="s">
        <v>247</v>
      </c>
      <c r="R1137" s="403" t="str">
        <f t="shared" si="55"/>
        <v>DELETE</v>
      </c>
    </row>
    <row r="1138" spans="2:18" ht="31.5" customHeight="1" x14ac:dyDescent="0.45">
      <c r="B1138" s="325"/>
      <c r="C1138" s="417"/>
      <c r="M1138" s="347"/>
      <c r="N1138" s="298"/>
      <c r="O1138" s="347"/>
      <c r="R1138" s="403" t="str">
        <f t="shared" si="55"/>
        <v>DELETE</v>
      </c>
    </row>
    <row r="1139" spans="2:18" ht="31.5" customHeight="1" x14ac:dyDescent="0.45">
      <c r="B1139" s="326"/>
      <c r="C1139" s="458"/>
      <c r="D1139" s="439"/>
      <c r="E1139" s="439"/>
      <c r="F1139" s="439"/>
      <c r="G1139" s="439"/>
      <c r="H1139" s="439"/>
      <c r="I1139" s="439"/>
      <c r="J1139" s="439"/>
      <c r="K1139" s="439"/>
      <c r="L1139" s="439"/>
      <c r="M1139" s="362"/>
      <c r="N1139" s="299"/>
      <c r="O1139" s="362"/>
      <c r="P1139" s="448"/>
      <c r="Q1139" s="440"/>
      <c r="R1139" s="403" t="str">
        <f t="shared" si="55"/>
        <v>DELETE</v>
      </c>
    </row>
    <row r="1140" spans="2:18" ht="31.5" customHeight="1" x14ac:dyDescent="0.45">
      <c r="B1140" s="323"/>
      <c r="C1140" s="417"/>
      <c r="M1140" s="363"/>
      <c r="N1140" s="314"/>
      <c r="O1140" s="344">
        <f>Criteria!E22</f>
        <v>2024</v>
      </c>
      <c r="P1140" s="425"/>
      <c r="Q1140" s="442"/>
      <c r="R1140" s="403" t="str">
        <f t="shared" si="55"/>
        <v>DELETE</v>
      </c>
    </row>
    <row r="1141" spans="2:18" ht="31.5" customHeight="1" x14ac:dyDescent="0.45">
      <c r="B1141" s="323"/>
      <c r="C1141" s="417"/>
      <c r="M1141" s="363"/>
      <c r="N1141" s="314"/>
      <c r="O1141" s="363"/>
      <c r="P1141" s="425"/>
      <c r="Q1141" s="442"/>
      <c r="R1141" s="403" t="str">
        <f t="shared" si="55"/>
        <v>DELETE</v>
      </c>
    </row>
    <row r="1142" spans="2:18" ht="31.5" customHeight="1" x14ac:dyDescent="0.45">
      <c r="B1142" s="323"/>
      <c r="C1142" s="400" t="s">
        <v>1202</v>
      </c>
      <c r="M1142" s="363"/>
      <c r="N1142" s="314"/>
      <c r="O1142" s="363"/>
      <c r="P1142" s="425"/>
      <c r="Q1142" s="442"/>
      <c r="R1142" s="403" t="str">
        <f t="shared" si="55"/>
        <v>DELETE</v>
      </c>
    </row>
    <row r="1143" spans="2:18" ht="31.5" customHeight="1" x14ac:dyDescent="0.45">
      <c r="B1143" s="323"/>
      <c r="C1143" s="417"/>
      <c r="M1143" s="363"/>
      <c r="N1143" s="314"/>
      <c r="O1143" s="363"/>
      <c r="P1143" s="425"/>
      <c r="Q1143" s="442"/>
      <c r="R1143" s="403" t="str">
        <f t="shared" si="55"/>
        <v>DELETE</v>
      </c>
    </row>
    <row r="1144" spans="2:18" ht="31.5" customHeight="1" x14ac:dyDescent="0.45">
      <c r="B1144" s="323"/>
      <c r="C1144" s="417"/>
      <c r="D1144" s="400">
        <f>Criteria!C124</f>
        <v>0</v>
      </c>
      <c r="M1144" s="363"/>
      <c r="N1144" s="314"/>
      <c r="O1144" s="363">
        <f>Criteria!F124</f>
        <v>0</v>
      </c>
      <c r="P1144" s="425"/>
      <c r="Q1144" s="442"/>
      <c r="R1144" s="403" t="str">
        <f>IF(O1144=0,"DELETE"," ")</f>
        <v>DELETE</v>
      </c>
    </row>
    <row r="1145" spans="2:18" ht="31.5" customHeight="1" x14ac:dyDescent="0.45">
      <c r="B1145" s="323"/>
      <c r="C1145" s="417"/>
      <c r="D1145" s="400">
        <f>Criteria!C125</f>
        <v>0</v>
      </c>
      <c r="M1145" s="363"/>
      <c r="N1145" s="314"/>
      <c r="O1145" s="363">
        <f>Criteria!F125</f>
        <v>0</v>
      </c>
      <c r="P1145" s="425"/>
      <c r="Q1145" s="442"/>
      <c r="R1145" s="403" t="str">
        <f t="shared" ref="R1145:R1181" si="56">IF(O1145=0,"DELETE"," ")</f>
        <v>DELETE</v>
      </c>
    </row>
    <row r="1146" spans="2:18" ht="31.5" customHeight="1" x14ac:dyDescent="0.45">
      <c r="B1146" s="323"/>
      <c r="C1146" s="417"/>
      <c r="D1146" s="400">
        <f>Criteria!C126</f>
        <v>0</v>
      </c>
      <c r="M1146" s="363"/>
      <c r="N1146" s="314"/>
      <c r="O1146" s="363">
        <f>Criteria!F126</f>
        <v>0</v>
      </c>
      <c r="P1146" s="425"/>
      <c r="Q1146" s="442"/>
      <c r="R1146" s="403" t="str">
        <f t="shared" si="56"/>
        <v>DELETE</v>
      </c>
    </row>
    <row r="1147" spans="2:18" ht="31.5" customHeight="1" x14ac:dyDescent="0.45">
      <c r="B1147" s="323"/>
      <c r="C1147" s="417"/>
      <c r="D1147" s="400">
        <f>Criteria!C127</f>
        <v>0</v>
      </c>
      <c r="M1147" s="363"/>
      <c r="N1147" s="314"/>
      <c r="O1147" s="363">
        <f>Criteria!F127</f>
        <v>0</v>
      </c>
      <c r="P1147" s="425"/>
      <c r="Q1147" s="442"/>
      <c r="R1147" s="403" t="str">
        <f t="shared" si="56"/>
        <v>DELETE</v>
      </c>
    </row>
    <row r="1148" spans="2:18" ht="31.5" customHeight="1" x14ac:dyDescent="0.45">
      <c r="B1148" s="323"/>
      <c r="C1148" s="417"/>
      <c r="D1148" s="400">
        <f>Criteria!C128</f>
        <v>0</v>
      </c>
      <c r="M1148" s="363"/>
      <c r="N1148" s="314"/>
      <c r="O1148" s="363">
        <f>Criteria!F128</f>
        <v>0</v>
      </c>
      <c r="P1148" s="425"/>
      <c r="Q1148" s="442"/>
      <c r="R1148" s="403" t="str">
        <f t="shared" si="56"/>
        <v>DELETE</v>
      </c>
    </row>
    <row r="1149" spans="2:18" ht="31.5" customHeight="1" x14ac:dyDescent="0.45">
      <c r="B1149" s="323"/>
      <c r="C1149" s="417"/>
      <c r="D1149" s="400">
        <f>Criteria!C129</f>
        <v>0</v>
      </c>
      <c r="M1149" s="363"/>
      <c r="N1149" s="314"/>
      <c r="O1149" s="363">
        <f>Criteria!F129</f>
        <v>0</v>
      </c>
      <c r="P1149" s="425"/>
      <c r="Q1149" s="442"/>
      <c r="R1149" s="403" t="str">
        <f t="shared" si="56"/>
        <v>DELETE</v>
      </c>
    </row>
    <row r="1150" spans="2:18" ht="31.5" customHeight="1" x14ac:dyDescent="0.45">
      <c r="B1150" s="323"/>
      <c r="C1150" s="417"/>
      <c r="D1150" s="400">
        <f>Criteria!C130</f>
        <v>0</v>
      </c>
      <c r="M1150" s="363"/>
      <c r="N1150" s="314"/>
      <c r="O1150" s="363">
        <f>Criteria!F130</f>
        <v>0</v>
      </c>
      <c r="P1150" s="425"/>
      <c r="Q1150" s="442"/>
      <c r="R1150" s="403" t="str">
        <f t="shared" si="56"/>
        <v>DELETE</v>
      </c>
    </row>
    <row r="1151" spans="2:18" ht="31.5" customHeight="1" x14ac:dyDescent="0.45">
      <c r="B1151" s="323"/>
      <c r="C1151" s="417"/>
      <c r="D1151" s="400">
        <f>Criteria!C131</f>
        <v>0</v>
      </c>
      <c r="M1151" s="363"/>
      <c r="N1151" s="314"/>
      <c r="O1151" s="363">
        <f>Criteria!F131</f>
        <v>0</v>
      </c>
      <c r="P1151" s="425"/>
      <c r="Q1151" s="442"/>
      <c r="R1151" s="403" t="str">
        <f t="shared" si="56"/>
        <v>DELETE</v>
      </c>
    </row>
    <row r="1152" spans="2:18" ht="31.5" customHeight="1" x14ac:dyDescent="0.45">
      <c r="B1152" s="323"/>
      <c r="C1152" s="417"/>
      <c r="D1152" s="400">
        <f>Criteria!C132</f>
        <v>0</v>
      </c>
      <c r="M1152" s="363"/>
      <c r="N1152" s="314"/>
      <c r="O1152" s="363">
        <f>Criteria!F132</f>
        <v>0</v>
      </c>
      <c r="P1152" s="425"/>
      <c r="Q1152" s="442"/>
      <c r="R1152" s="403" t="str">
        <f t="shared" si="56"/>
        <v>DELETE</v>
      </c>
    </row>
    <row r="1153" spans="2:18" ht="31.5" customHeight="1" x14ac:dyDescent="0.45">
      <c r="B1153" s="323"/>
      <c r="C1153" s="417"/>
      <c r="D1153" s="400">
        <f>Criteria!C133</f>
        <v>0</v>
      </c>
      <c r="M1153" s="363"/>
      <c r="N1153" s="314"/>
      <c r="O1153" s="363">
        <f>Criteria!F133</f>
        <v>0</v>
      </c>
      <c r="P1153" s="425"/>
      <c r="Q1153" s="442"/>
      <c r="R1153" s="403" t="str">
        <f t="shared" si="56"/>
        <v>DELETE</v>
      </c>
    </row>
    <row r="1154" spans="2:18" ht="31.5" customHeight="1" x14ac:dyDescent="0.45">
      <c r="B1154" s="323"/>
      <c r="C1154" s="417"/>
      <c r="D1154" s="400">
        <f>Criteria!C134</f>
        <v>0</v>
      </c>
      <c r="M1154" s="363"/>
      <c r="N1154" s="314"/>
      <c r="O1154" s="363">
        <f>Criteria!F134</f>
        <v>0</v>
      </c>
      <c r="P1154" s="425"/>
      <c r="Q1154" s="442"/>
      <c r="R1154" s="403" t="str">
        <f t="shared" si="56"/>
        <v>DELETE</v>
      </c>
    </row>
    <row r="1155" spans="2:18" ht="31.5" customHeight="1" x14ac:dyDescent="0.45">
      <c r="B1155" s="323"/>
      <c r="C1155" s="417"/>
      <c r="D1155" s="400">
        <f>Criteria!C135</f>
        <v>0</v>
      </c>
      <c r="M1155" s="363"/>
      <c r="N1155" s="314"/>
      <c r="O1155" s="363">
        <f>Criteria!F135</f>
        <v>0</v>
      </c>
      <c r="P1155" s="425"/>
      <c r="Q1155" s="442"/>
      <c r="R1155" s="403" t="str">
        <f t="shared" si="56"/>
        <v>DELETE</v>
      </c>
    </row>
    <row r="1156" spans="2:18" ht="31.5" customHeight="1" x14ac:dyDescent="0.45">
      <c r="B1156" s="323"/>
      <c r="C1156" s="417"/>
      <c r="D1156" s="400">
        <f>Criteria!C136</f>
        <v>0</v>
      </c>
      <c r="M1156" s="363"/>
      <c r="N1156" s="314"/>
      <c r="O1156" s="363">
        <f>Criteria!F136</f>
        <v>0</v>
      </c>
      <c r="P1156" s="425"/>
      <c r="Q1156" s="442"/>
      <c r="R1156" s="403" t="str">
        <f t="shared" si="56"/>
        <v>DELETE</v>
      </c>
    </row>
    <row r="1157" spans="2:18" ht="31.5" customHeight="1" x14ac:dyDescent="0.45">
      <c r="B1157" s="323"/>
      <c r="C1157" s="417"/>
      <c r="D1157" s="400">
        <f>Criteria!C137</f>
        <v>0</v>
      </c>
      <c r="M1157" s="363"/>
      <c r="N1157" s="314"/>
      <c r="O1157" s="363">
        <f>Criteria!F137</f>
        <v>0</v>
      </c>
      <c r="P1157" s="425"/>
      <c r="Q1157" s="442"/>
      <c r="R1157" s="403" t="str">
        <f t="shared" si="56"/>
        <v>DELETE</v>
      </c>
    </row>
    <row r="1158" spans="2:18" ht="31.5" customHeight="1" x14ac:dyDescent="0.45">
      <c r="B1158" s="323"/>
      <c r="C1158" s="417"/>
      <c r="D1158" s="400">
        <f>Criteria!C138</f>
        <v>0</v>
      </c>
      <c r="M1158" s="363"/>
      <c r="N1158" s="314"/>
      <c r="O1158" s="363">
        <f>Criteria!F138</f>
        <v>0</v>
      </c>
      <c r="P1158" s="425"/>
      <c r="Q1158" s="442"/>
      <c r="R1158" s="403" t="str">
        <f t="shared" si="56"/>
        <v>DELETE</v>
      </c>
    </row>
    <row r="1159" spans="2:18" ht="31.5" customHeight="1" x14ac:dyDescent="0.45">
      <c r="B1159" s="323"/>
      <c r="C1159" s="417"/>
      <c r="D1159" s="400">
        <f>Criteria!C139</f>
        <v>0</v>
      </c>
      <c r="M1159" s="363"/>
      <c r="N1159" s="314"/>
      <c r="O1159" s="363">
        <f>Criteria!F139</f>
        <v>0</v>
      </c>
      <c r="P1159" s="425"/>
      <c r="Q1159" s="442"/>
      <c r="R1159" s="403" t="str">
        <f t="shared" si="56"/>
        <v>DELETE</v>
      </c>
    </row>
    <row r="1160" spans="2:18" ht="31.5" customHeight="1" x14ac:dyDescent="0.45">
      <c r="B1160" s="323"/>
      <c r="C1160" s="417"/>
      <c r="D1160" s="400">
        <f>Criteria!C140</f>
        <v>0</v>
      </c>
      <c r="M1160" s="363"/>
      <c r="N1160" s="314"/>
      <c r="O1160" s="363">
        <f>Criteria!F140</f>
        <v>0</v>
      </c>
      <c r="P1160" s="425"/>
      <c r="Q1160" s="442"/>
      <c r="R1160" s="403" t="str">
        <f t="shared" si="56"/>
        <v>DELETE</v>
      </c>
    </row>
    <row r="1161" spans="2:18" ht="31.5" customHeight="1" x14ac:dyDescent="0.45">
      <c r="B1161" s="323"/>
      <c r="C1161" s="417"/>
      <c r="D1161" s="400">
        <f>Criteria!C141</f>
        <v>0</v>
      </c>
      <c r="M1161" s="363"/>
      <c r="N1161" s="314"/>
      <c r="O1161" s="363">
        <f>Criteria!F141</f>
        <v>0</v>
      </c>
      <c r="P1161" s="425"/>
      <c r="Q1161" s="442"/>
      <c r="R1161" s="403" t="str">
        <f t="shared" si="56"/>
        <v>DELETE</v>
      </c>
    </row>
    <row r="1162" spans="2:18" ht="31.5" customHeight="1" x14ac:dyDescent="0.45">
      <c r="B1162" s="323"/>
      <c r="C1162" s="417"/>
      <c r="D1162" s="400">
        <f>Criteria!C142</f>
        <v>0</v>
      </c>
      <c r="M1162" s="363"/>
      <c r="N1162" s="314"/>
      <c r="O1162" s="363">
        <f>Criteria!F142</f>
        <v>0</v>
      </c>
      <c r="P1162" s="425"/>
      <c r="Q1162" s="442"/>
      <c r="R1162" s="403" t="str">
        <f t="shared" si="56"/>
        <v>DELETE</v>
      </c>
    </row>
    <row r="1163" spans="2:18" ht="31.5" customHeight="1" x14ac:dyDescent="0.45">
      <c r="B1163" s="323"/>
      <c r="C1163" s="417"/>
      <c r="D1163" s="400">
        <f>Criteria!C143</f>
        <v>0</v>
      </c>
      <c r="M1163" s="363"/>
      <c r="N1163" s="314"/>
      <c r="O1163" s="363">
        <f>Criteria!F143</f>
        <v>0</v>
      </c>
      <c r="P1163" s="425"/>
      <c r="Q1163" s="442"/>
      <c r="R1163" s="403" t="str">
        <f t="shared" si="56"/>
        <v>DELETE</v>
      </c>
    </row>
    <row r="1164" spans="2:18" ht="31.5" customHeight="1" x14ac:dyDescent="0.45">
      <c r="B1164" s="323"/>
      <c r="C1164" s="417"/>
      <c r="D1164" s="400">
        <f>Criteria!C144</f>
        <v>0</v>
      </c>
      <c r="M1164" s="363"/>
      <c r="N1164" s="314"/>
      <c r="O1164" s="363">
        <f>Criteria!F144</f>
        <v>0</v>
      </c>
      <c r="P1164" s="425"/>
      <c r="Q1164" s="442"/>
      <c r="R1164" s="403" t="str">
        <f t="shared" si="56"/>
        <v>DELETE</v>
      </c>
    </row>
    <row r="1165" spans="2:18" ht="31.5" customHeight="1" x14ac:dyDescent="0.45">
      <c r="B1165" s="323"/>
      <c r="C1165" s="417"/>
      <c r="D1165" s="400">
        <f>Criteria!C145</f>
        <v>0</v>
      </c>
      <c r="M1165" s="363"/>
      <c r="N1165" s="314"/>
      <c r="O1165" s="363">
        <f>Criteria!F145</f>
        <v>0</v>
      </c>
      <c r="P1165" s="425"/>
      <c r="Q1165" s="442"/>
      <c r="R1165" s="403" t="str">
        <f t="shared" si="56"/>
        <v>DELETE</v>
      </c>
    </row>
    <row r="1166" spans="2:18" ht="31.5" customHeight="1" x14ac:dyDescent="0.45">
      <c r="B1166" s="323"/>
      <c r="C1166" s="417"/>
      <c r="D1166" s="400">
        <f>Criteria!C146</f>
        <v>0</v>
      </c>
      <c r="M1166" s="363"/>
      <c r="N1166" s="314"/>
      <c r="O1166" s="363">
        <f>Criteria!F146</f>
        <v>0</v>
      </c>
      <c r="P1166" s="425"/>
      <c r="Q1166" s="442"/>
      <c r="R1166" s="403" t="str">
        <f t="shared" si="56"/>
        <v>DELETE</v>
      </c>
    </row>
    <row r="1167" spans="2:18" ht="31.5" customHeight="1" x14ac:dyDescent="0.45">
      <c r="B1167" s="323"/>
      <c r="C1167" s="417"/>
      <c r="D1167" s="400">
        <f>Criteria!C147</f>
        <v>0</v>
      </c>
      <c r="M1167" s="363"/>
      <c r="N1167" s="314"/>
      <c r="O1167" s="363">
        <f>Criteria!F147</f>
        <v>0</v>
      </c>
      <c r="P1167" s="425"/>
      <c r="Q1167" s="442"/>
      <c r="R1167" s="403" t="str">
        <f t="shared" si="56"/>
        <v>DELETE</v>
      </c>
    </row>
    <row r="1168" spans="2:18" ht="31.5" customHeight="1" x14ac:dyDescent="0.45">
      <c r="B1168" s="323"/>
      <c r="C1168" s="417"/>
      <c r="D1168" s="400">
        <f>Criteria!C148</f>
        <v>0</v>
      </c>
      <c r="M1168" s="363"/>
      <c r="N1168" s="314"/>
      <c r="O1168" s="363">
        <f>Criteria!F148</f>
        <v>0</v>
      </c>
      <c r="P1168" s="425"/>
      <c r="Q1168" s="442"/>
      <c r="R1168" s="403" t="str">
        <f t="shared" si="56"/>
        <v>DELETE</v>
      </c>
    </row>
    <row r="1169" spans="2:21" ht="31.5" customHeight="1" x14ac:dyDescent="0.45">
      <c r="B1169" s="323"/>
      <c r="C1169" s="417"/>
      <c r="D1169" s="400">
        <f>Criteria!C149</f>
        <v>0</v>
      </c>
      <c r="M1169" s="363"/>
      <c r="N1169" s="314"/>
      <c r="O1169" s="363">
        <f>Criteria!F149</f>
        <v>0</v>
      </c>
      <c r="P1169" s="425"/>
      <c r="Q1169" s="442"/>
      <c r="R1169" s="403" t="str">
        <f t="shared" si="56"/>
        <v>DELETE</v>
      </c>
    </row>
    <row r="1170" spans="2:21" ht="31.5" customHeight="1" x14ac:dyDescent="0.45">
      <c r="B1170" s="323"/>
      <c r="C1170" s="417"/>
      <c r="D1170" s="400">
        <f>Criteria!C150</f>
        <v>0</v>
      </c>
      <c r="M1170" s="363"/>
      <c r="N1170" s="314"/>
      <c r="O1170" s="363">
        <f>Criteria!F150</f>
        <v>0</v>
      </c>
      <c r="P1170" s="425"/>
      <c r="Q1170" s="442"/>
      <c r="R1170" s="403" t="str">
        <f t="shared" si="56"/>
        <v>DELETE</v>
      </c>
    </row>
    <row r="1171" spans="2:21" ht="31.5" customHeight="1" x14ac:dyDescent="0.45">
      <c r="B1171" s="323"/>
      <c r="C1171" s="417"/>
      <c r="D1171" s="400">
        <f>Criteria!C151</f>
        <v>0</v>
      </c>
      <c r="M1171" s="363"/>
      <c r="N1171" s="314"/>
      <c r="O1171" s="363">
        <f>Criteria!F151</f>
        <v>0</v>
      </c>
      <c r="P1171" s="425"/>
      <c r="Q1171" s="442"/>
      <c r="R1171" s="403" t="str">
        <f t="shared" si="56"/>
        <v>DELETE</v>
      </c>
    </row>
    <row r="1172" spans="2:21" ht="31.5" customHeight="1" x14ac:dyDescent="0.45">
      <c r="B1172" s="323"/>
      <c r="C1172" s="417"/>
      <c r="D1172" s="400">
        <f>Criteria!C152</f>
        <v>0</v>
      </c>
      <c r="M1172" s="363"/>
      <c r="N1172" s="314"/>
      <c r="O1172" s="363">
        <f>Criteria!F152</f>
        <v>0</v>
      </c>
      <c r="P1172" s="425"/>
      <c r="Q1172" s="442"/>
      <c r="R1172" s="403" t="str">
        <f t="shared" si="56"/>
        <v>DELETE</v>
      </c>
    </row>
    <row r="1173" spans="2:21" ht="31.5" customHeight="1" x14ac:dyDescent="0.45">
      <c r="B1173" s="323"/>
      <c r="C1173" s="417"/>
      <c r="D1173" s="400">
        <f>Criteria!C153</f>
        <v>0</v>
      </c>
      <c r="M1173" s="363"/>
      <c r="N1173" s="314"/>
      <c r="O1173" s="363">
        <f>Criteria!F153</f>
        <v>0</v>
      </c>
      <c r="P1173" s="425"/>
      <c r="Q1173" s="442"/>
      <c r="R1173" s="403" t="str">
        <f t="shared" si="56"/>
        <v>DELETE</v>
      </c>
    </row>
    <row r="1174" spans="2:21" ht="31.5" customHeight="1" x14ac:dyDescent="0.45">
      <c r="B1174" s="323"/>
      <c r="C1174" s="417"/>
      <c r="D1174" s="400">
        <f>Criteria!C154</f>
        <v>0</v>
      </c>
      <c r="M1174" s="363"/>
      <c r="N1174" s="314"/>
      <c r="O1174" s="363">
        <f>Criteria!F154</f>
        <v>0</v>
      </c>
      <c r="P1174" s="425"/>
      <c r="Q1174" s="442"/>
      <c r="R1174" s="403" t="str">
        <f t="shared" si="56"/>
        <v>DELETE</v>
      </c>
    </row>
    <row r="1175" spans="2:21" ht="31.5" customHeight="1" x14ac:dyDescent="0.45">
      <c r="B1175" s="323"/>
      <c r="C1175" s="417"/>
      <c r="D1175" s="400">
        <f>Criteria!C155</f>
        <v>0</v>
      </c>
      <c r="M1175" s="363"/>
      <c r="N1175" s="314"/>
      <c r="O1175" s="363">
        <f>Criteria!F155</f>
        <v>0</v>
      </c>
      <c r="P1175" s="425"/>
      <c r="Q1175" s="442"/>
      <c r="R1175" s="403" t="str">
        <f t="shared" si="56"/>
        <v>DELETE</v>
      </c>
    </row>
    <row r="1176" spans="2:21" ht="31.5" customHeight="1" x14ac:dyDescent="0.45">
      <c r="B1176" s="323"/>
      <c r="C1176" s="417"/>
      <c r="D1176" s="400">
        <f>Criteria!C156</f>
        <v>0</v>
      </c>
      <c r="M1176" s="363"/>
      <c r="N1176" s="314"/>
      <c r="O1176" s="363">
        <f>Criteria!F156</f>
        <v>0</v>
      </c>
      <c r="P1176" s="425"/>
      <c r="Q1176" s="442"/>
      <c r="R1176" s="403" t="str">
        <f t="shared" si="56"/>
        <v>DELETE</v>
      </c>
    </row>
    <row r="1177" spans="2:21" ht="31.5" customHeight="1" x14ac:dyDescent="0.45">
      <c r="B1177" s="323"/>
      <c r="C1177" s="417"/>
      <c r="D1177" s="400">
        <f>Criteria!C157</f>
        <v>0</v>
      </c>
      <c r="M1177" s="363"/>
      <c r="N1177" s="314"/>
      <c r="O1177" s="363">
        <f>Criteria!F157</f>
        <v>0</v>
      </c>
      <c r="P1177" s="425"/>
      <c r="Q1177" s="442"/>
      <c r="R1177" s="403" t="str">
        <f t="shared" si="56"/>
        <v>DELETE</v>
      </c>
    </row>
    <row r="1178" spans="2:21" ht="31.5" customHeight="1" x14ac:dyDescent="0.45">
      <c r="B1178" s="323"/>
      <c r="C1178" s="417"/>
      <c r="D1178" s="400">
        <f>Criteria!C158</f>
        <v>0</v>
      </c>
      <c r="M1178" s="363"/>
      <c r="N1178" s="314"/>
      <c r="O1178" s="363">
        <f>Criteria!F158</f>
        <v>0</v>
      </c>
      <c r="P1178" s="425"/>
      <c r="Q1178" s="442"/>
      <c r="R1178" s="403" t="str">
        <f t="shared" si="56"/>
        <v>DELETE</v>
      </c>
    </row>
    <row r="1179" spans="2:21" ht="31.5" customHeight="1" x14ac:dyDescent="0.45">
      <c r="B1179" s="323"/>
      <c r="C1179" s="417"/>
      <c r="D1179" s="400">
        <f>Criteria!C159</f>
        <v>0</v>
      </c>
      <c r="M1179" s="363"/>
      <c r="N1179" s="314"/>
      <c r="O1179" s="363">
        <f>Criteria!F159</f>
        <v>0</v>
      </c>
      <c r="P1179" s="425"/>
      <c r="Q1179" s="442"/>
      <c r="R1179" s="403" t="str">
        <f t="shared" si="56"/>
        <v>DELETE</v>
      </c>
    </row>
    <row r="1180" spans="2:21" ht="31.5" customHeight="1" x14ac:dyDescent="0.45">
      <c r="B1180" s="323"/>
      <c r="C1180" s="417"/>
      <c r="D1180" s="400">
        <f>Criteria!C160</f>
        <v>0</v>
      </c>
      <c r="M1180" s="363"/>
      <c r="N1180" s="314"/>
      <c r="O1180" s="363">
        <f>Criteria!F160</f>
        <v>0</v>
      </c>
      <c r="P1180" s="425"/>
      <c r="Q1180" s="442"/>
      <c r="R1180" s="403" t="str">
        <f t="shared" si="56"/>
        <v>DELETE</v>
      </c>
    </row>
    <row r="1181" spans="2:21" ht="31.5" customHeight="1" x14ac:dyDescent="0.45">
      <c r="B1181" s="323"/>
      <c r="C1181" s="417"/>
      <c r="D1181" s="400">
        <f>Criteria!C161</f>
        <v>0</v>
      </c>
      <c r="M1181" s="363"/>
      <c r="N1181" s="314"/>
      <c r="O1181" s="363">
        <f>Criteria!F161</f>
        <v>0</v>
      </c>
      <c r="P1181" s="425"/>
      <c r="Q1181" s="442"/>
      <c r="R1181" s="403" t="str">
        <f t="shared" si="56"/>
        <v>DELETE</v>
      </c>
    </row>
    <row r="1182" spans="2:21" ht="9" customHeight="1" x14ac:dyDescent="0.45">
      <c r="B1182" s="323"/>
      <c r="C1182" s="417"/>
      <c r="M1182" s="363"/>
      <c r="N1182" s="314"/>
      <c r="O1182" s="349"/>
      <c r="P1182" s="425"/>
      <c r="Q1182" s="442"/>
      <c r="R1182" s="403" t="str">
        <f>R$1184</f>
        <v>DELETE</v>
      </c>
    </row>
    <row r="1183" spans="2:21" ht="9" customHeight="1" x14ac:dyDescent="0.45">
      <c r="B1183" s="323"/>
      <c r="C1183" s="417"/>
      <c r="M1183" s="363"/>
      <c r="N1183" s="314"/>
      <c r="O1183" s="363"/>
      <c r="P1183" s="425"/>
      <c r="Q1183" s="442"/>
      <c r="R1183" s="403" t="str">
        <f>R$1184</f>
        <v>DELETE</v>
      </c>
    </row>
    <row r="1184" spans="2:21" ht="31.5" customHeight="1" x14ac:dyDescent="0.45">
      <c r="B1184" s="323"/>
      <c r="C1184" s="417"/>
      <c r="M1184" s="363"/>
      <c r="N1184" s="314"/>
      <c r="O1184" s="363">
        <f>SUM(O1144:O1182)</f>
        <v>0</v>
      </c>
      <c r="P1184" s="425"/>
      <c r="Q1184" s="442"/>
      <c r="R1184" s="403" t="str">
        <f t="shared" ref="R1184" si="57">IF(O1184=0,"DELETE"," ")</f>
        <v>DELETE</v>
      </c>
      <c r="U1184" s="378" t="b">
        <f>O1184=O1122</f>
        <v>1</v>
      </c>
    </row>
    <row r="1185" spans="2:18" ht="9" customHeight="1" thickBot="1" x14ac:dyDescent="0.5">
      <c r="B1185" s="323"/>
      <c r="C1185" s="417"/>
      <c r="M1185" s="363"/>
      <c r="N1185" s="314"/>
      <c r="O1185" s="351"/>
      <c r="P1185" s="425"/>
      <c r="Q1185" s="442"/>
      <c r="R1185" s="403" t="str">
        <f t="shared" ref="R1185:R1189" si="58">R$1184</f>
        <v>DELETE</v>
      </c>
    </row>
    <row r="1186" spans="2:18" ht="9" customHeight="1" thickTop="1" x14ac:dyDescent="0.45">
      <c r="B1186" s="323"/>
      <c r="C1186" s="417"/>
      <c r="M1186" s="363"/>
      <c r="N1186" s="314"/>
      <c r="O1186" s="363"/>
      <c r="P1186" s="425"/>
      <c r="Q1186" s="442"/>
      <c r="R1186" s="403" t="str">
        <f t="shared" si="58"/>
        <v>DELETE</v>
      </c>
    </row>
    <row r="1187" spans="2:18" ht="31.5" customHeight="1" x14ac:dyDescent="0.45">
      <c r="B1187" s="323"/>
      <c r="C1187" s="417"/>
      <c r="M1187" s="363"/>
      <c r="N1187" s="314"/>
      <c r="O1187" s="363"/>
      <c r="P1187" s="425"/>
      <c r="Q1187" s="442"/>
      <c r="R1187" s="403" t="str">
        <f t="shared" si="58"/>
        <v>DELETE</v>
      </c>
    </row>
    <row r="1188" spans="2:18" ht="31.5" customHeight="1" x14ac:dyDescent="0.45">
      <c r="B1188" s="324"/>
      <c r="C1188" s="465"/>
      <c r="D1188" s="429"/>
      <c r="E1188" s="429"/>
      <c r="F1188" s="429"/>
      <c r="G1188" s="429"/>
      <c r="H1188" s="429"/>
      <c r="I1188" s="429"/>
      <c r="J1188" s="429"/>
      <c r="K1188" s="429"/>
      <c r="L1188" s="429"/>
      <c r="M1188" s="349"/>
      <c r="N1188" s="300"/>
      <c r="O1188" s="349"/>
      <c r="P1188" s="433"/>
      <c r="Q1188" s="446"/>
      <c r="R1188" s="403" t="str">
        <f t="shared" si="58"/>
        <v>DELETE</v>
      </c>
    </row>
    <row r="1189" spans="2:18" ht="31.5" customHeight="1" x14ac:dyDescent="0.45">
      <c r="B1189" s="325"/>
      <c r="C1189" s="417"/>
      <c r="M1189" s="347"/>
      <c r="N1189" s="298"/>
      <c r="O1189" s="347"/>
      <c r="R1189" s="403" t="str">
        <f t="shared" si="58"/>
        <v>DELETE</v>
      </c>
    </row>
    <row r="1190" spans="2:18" ht="31.5" customHeight="1" x14ac:dyDescent="0.45">
      <c r="B1190" s="422"/>
      <c r="D1190" s="417"/>
      <c r="R1190" s="403" t="str">
        <f t="shared" ref="R1190:R1197" si="59">R$1198</f>
        <v>DELETE</v>
      </c>
    </row>
    <row r="1191" spans="2:18" ht="31.5" customHeight="1" x14ac:dyDescent="0.45">
      <c r="B1191" s="422"/>
      <c r="D1191" s="417" t="str">
        <f>Criteria!E9</f>
        <v>HOLDING COMPANY 268 (PROPRIETARY) LIMITED</v>
      </c>
      <c r="O1191" s="346" t="s">
        <v>96</v>
      </c>
      <c r="Q1191" s="292">
        <f>MAX($Q$114:Q1190)+1</f>
        <v>28</v>
      </c>
      <c r="R1191" s="403" t="str">
        <f t="shared" si="59"/>
        <v>DELETE</v>
      </c>
    </row>
    <row r="1192" spans="2:18" ht="31.5" customHeight="1" x14ac:dyDescent="0.45">
      <c r="B1192" s="422"/>
      <c r="D1192" s="417" t="str">
        <f>Criteria!E10</f>
        <v>CONSOLIDATED FINANCIAL STATEMENTS</v>
      </c>
      <c r="R1192" s="403" t="str">
        <f>IF(R$1198="DELETE","DELETE",IF(D1192=0,"DELETE"," "))</f>
        <v>DELETE</v>
      </c>
    </row>
    <row r="1193" spans="2:18" ht="31.5" customHeight="1" x14ac:dyDescent="0.45">
      <c r="B1193" s="422"/>
      <c r="R1193" s="403" t="str">
        <f t="shared" si="59"/>
        <v>DELETE</v>
      </c>
    </row>
    <row r="1194" spans="2:18" ht="31.5" customHeight="1" x14ac:dyDescent="0.45">
      <c r="B1194" s="422"/>
      <c r="D1194" s="417" t="s">
        <v>377</v>
      </c>
      <c r="R1194" s="403" t="str">
        <f t="shared" si="59"/>
        <v>DELETE</v>
      </c>
    </row>
    <row r="1195" spans="2:18" ht="31.5" customHeight="1" x14ac:dyDescent="0.45">
      <c r="B1195" s="422"/>
      <c r="D1195" s="417" t="str">
        <f>Criteria!E20</f>
        <v>29 FEBRUARY 2024</v>
      </c>
      <c r="J1195" s="400" t="s">
        <v>247</v>
      </c>
      <c r="R1195" s="403" t="str">
        <f t="shared" si="59"/>
        <v>DELETE</v>
      </c>
    </row>
    <row r="1196" spans="2:18" ht="31.5" customHeight="1" x14ac:dyDescent="0.45">
      <c r="B1196" s="422"/>
      <c r="R1196" s="403" t="str">
        <f t="shared" si="59"/>
        <v>DELETE</v>
      </c>
    </row>
    <row r="1197" spans="2:18" ht="31.5" customHeight="1" x14ac:dyDescent="0.45">
      <c r="B1197" s="457"/>
      <c r="C1197" s="439"/>
      <c r="D1197" s="439"/>
      <c r="E1197" s="439"/>
      <c r="F1197" s="439"/>
      <c r="G1197" s="439"/>
      <c r="H1197" s="439"/>
      <c r="I1197" s="439"/>
      <c r="J1197" s="439"/>
      <c r="K1197" s="439"/>
      <c r="L1197" s="439"/>
      <c r="M1197" s="447"/>
      <c r="N1197" s="448"/>
      <c r="O1197" s="447"/>
      <c r="P1197" s="448"/>
      <c r="Q1197" s="440"/>
      <c r="R1197" s="403" t="str">
        <f t="shared" si="59"/>
        <v>DELETE</v>
      </c>
    </row>
    <row r="1198" spans="2:18" ht="31.5" customHeight="1" x14ac:dyDescent="0.45">
      <c r="B1198" s="323">
        <f>MAX(B$559:B1197)+1</f>
        <v>9</v>
      </c>
      <c r="C1198" s="417" t="s">
        <v>170</v>
      </c>
      <c r="M1198" s="424"/>
      <c r="N1198" s="425"/>
      <c r="O1198" s="424"/>
      <c r="P1198" s="425"/>
      <c r="Q1198" s="442"/>
      <c r="R1198" s="403" t="str">
        <f>IF(O1206+O1210+O1228=0,"DELETE"," ")</f>
        <v>DELETE</v>
      </c>
    </row>
    <row r="1199" spans="2:18" ht="31.5" customHeight="1" x14ac:dyDescent="0.45">
      <c r="B1199" s="323"/>
      <c r="C1199" s="400">
        <f>B1198+0.1</f>
        <v>9.1</v>
      </c>
      <c r="D1199" s="400" t="s">
        <v>1012</v>
      </c>
      <c r="M1199" s="424"/>
      <c r="N1199" s="425"/>
      <c r="O1199" s="424"/>
      <c r="P1199" s="425"/>
      <c r="Q1199" s="442"/>
      <c r="R1199" s="403" t="str">
        <f t="shared" ref="R1199:R1232" si="60">R$1198</f>
        <v>DELETE</v>
      </c>
    </row>
    <row r="1200" spans="2:18" ht="31.5" customHeight="1" x14ac:dyDescent="0.45">
      <c r="B1200" s="323"/>
      <c r="C1200" s="405"/>
      <c r="D1200" s="405"/>
      <c r="G1200" s="425"/>
      <c r="H1200" s="377" t="str">
        <f>Criteria!G206</f>
        <v>Plant and</v>
      </c>
      <c r="I1200" s="377"/>
      <c r="J1200" s="377" t="str">
        <f>Criteria!H206</f>
        <v>Motor</v>
      </c>
      <c r="K1200" s="377" t="str">
        <f>Criteria!I206</f>
        <v>Electronic</v>
      </c>
      <c r="L1200" s="377"/>
      <c r="M1200" s="386" t="str">
        <f>Criteria!J206</f>
        <v>Furniture and</v>
      </c>
      <c r="N1200" s="377"/>
      <c r="O1200" s="386" t="s">
        <v>382</v>
      </c>
      <c r="P1200" s="377"/>
      <c r="Q1200" s="442"/>
      <c r="R1200" s="403" t="str">
        <f t="shared" si="60"/>
        <v>DELETE</v>
      </c>
    </row>
    <row r="1201" spans="2:21" ht="31.5" customHeight="1" x14ac:dyDescent="0.45">
      <c r="B1201" s="323"/>
      <c r="G1201" s="425"/>
      <c r="H1201" s="377" t="str">
        <f>Criteria!G207</f>
        <v>equipment</v>
      </c>
      <c r="I1201" s="377"/>
      <c r="J1201" s="377" t="str">
        <f>Criteria!H207</f>
        <v>vehicles</v>
      </c>
      <c r="K1201" s="377" t="str">
        <f>Criteria!I207</f>
        <v>equipment</v>
      </c>
      <c r="L1201" s="377"/>
      <c r="M1201" s="386" t="str">
        <f>Criteria!J207</f>
        <v>fittings</v>
      </c>
      <c r="N1201" s="377"/>
      <c r="O1201" s="386"/>
      <c r="P1201" s="377"/>
      <c r="Q1201" s="442"/>
      <c r="R1201" s="403" t="str">
        <f t="shared" si="60"/>
        <v>DELETE</v>
      </c>
    </row>
    <row r="1202" spans="2:21" ht="31.5" customHeight="1" x14ac:dyDescent="0.45">
      <c r="B1202" s="323"/>
      <c r="D1202" s="473" t="s">
        <v>201</v>
      </c>
      <c r="G1202" s="484">
        <f>Criteria!G21</f>
        <v>44985</v>
      </c>
      <c r="H1202" s="387">
        <f>H1206-H1207</f>
        <v>0</v>
      </c>
      <c r="I1202" s="387"/>
      <c r="J1202" s="387">
        <f>J1206-J1207</f>
        <v>0</v>
      </c>
      <c r="K1202" s="387">
        <f>K1206-K1207</f>
        <v>0</v>
      </c>
      <c r="L1202" s="387"/>
      <c r="M1202" s="387">
        <f>M1206-M1207</f>
        <v>0</v>
      </c>
      <c r="N1202" s="387"/>
      <c r="O1202" s="387">
        <f>O1206-O1207</f>
        <v>0</v>
      </c>
      <c r="P1202" s="377"/>
      <c r="Q1202" s="442"/>
      <c r="R1202" s="403" t="str">
        <f t="shared" si="60"/>
        <v>DELETE</v>
      </c>
      <c r="U1202" s="378" t="b">
        <f>O1202=SUM(H1202:N1202)</f>
        <v>1</v>
      </c>
    </row>
    <row r="1203" spans="2:21" ht="9" customHeight="1" thickBot="1" x14ac:dyDescent="0.5">
      <c r="B1203" s="323"/>
      <c r="D1203" s="473"/>
      <c r="G1203" s="485"/>
      <c r="H1203" s="331"/>
      <c r="I1203" s="331"/>
      <c r="J1203" s="331"/>
      <c r="K1203" s="331"/>
      <c r="L1203" s="331"/>
      <c r="M1203" s="331"/>
      <c r="N1203" s="331"/>
      <c r="O1203" s="331"/>
      <c r="P1203" s="377"/>
      <c r="Q1203" s="442"/>
      <c r="R1203" s="403" t="str">
        <f t="shared" si="60"/>
        <v>DELETE</v>
      </c>
    </row>
    <row r="1204" spans="2:21" ht="9" customHeight="1" thickTop="1" x14ac:dyDescent="0.45">
      <c r="B1204" s="323"/>
      <c r="D1204" s="473"/>
      <c r="G1204" s="485"/>
      <c r="H1204" s="339"/>
      <c r="I1204" s="339"/>
      <c r="J1204" s="339"/>
      <c r="K1204" s="339"/>
      <c r="L1204" s="339"/>
      <c r="M1204" s="339"/>
      <c r="N1204" s="339"/>
      <c r="O1204" s="339"/>
      <c r="P1204" s="377"/>
      <c r="Q1204" s="442"/>
      <c r="R1204" s="403" t="str">
        <f t="shared" si="60"/>
        <v>DELETE</v>
      </c>
    </row>
    <row r="1205" spans="2:21" ht="9" customHeight="1" x14ac:dyDescent="0.45">
      <c r="B1205" s="323"/>
      <c r="D1205" s="473"/>
      <c r="G1205" s="485"/>
      <c r="H1205" s="332"/>
      <c r="I1205" s="333"/>
      <c r="J1205" s="333"/>
      <c r="K1205" s="333"/>
      <c r="L1205" s="333"/>
      <c r="M1205" s="333"/>
      <c r="N1205" s="333"/>
      <c r="O1205" s="334"/>
      <c r="P1205" s="377"/>
      <c r="Q1205" s="442"/>
      <c r="R1205" s="403" t="str">
        <f t="shared" si="60"/>
        <v>DELETE</v>
      </c>
    </row>
    <row r="1206" spans="2:21" ht="31.5" customHeight="1" x14ac:dyDescent="0.45">
      <c r="B1206" s="323"/>
      <c r="D1206" s="473" t="s">
        <v>383</v>
      </c>
      <c r="G1206" s="425"/>
      <c r="H1206" s="335">
        <f>TrialBalance!L251</f>
        <v>0</v>
      </c>
      <c r="I1206" s="339"/>
      <c r="J1206" s="339">
        <f>TrialBalance!L259</f>
        <v>0</v>
      </c>
      <c r="K1206" s="339">
        <f>TrialBalance!L267</f>
        <v>0</v>
      </c>
      <c r="L1206" s="339"/>
      <c r="M1206" s="339">
        <f>TrialBalance!L275</f>
        <v>0</v>
      </c>
      <c r="N1206" s="339"/>
      <c r="O1206" s="336">
        <f>SUM(H1206:M1206)</f>
        <v>0</v>
      </c>
      <c r="P1206" s="377"/>
      <c r="Q1206" s="442"/>
      <c r="R1206" s="403" t="str">
        <f t="shared" si="60"/>
        <v>DELETE</v>
      </c>
    </row>
    <row r="1207" spans="2:21" ht="31.5" customHeight="1" x14ac:dyDescent="0.45">
      <c r="B1207" s="323"/>
      <c r="D1207" s="473" t="s">
        <v>556</v>
      </c>
      <c r="G1207" s="425"/>
      <c r="H1207" s="335">
        <f>-TrialBalance!L255</f>
        <v>0</v>
      </c>
      <c r="I1207" s="339"/>
      <c r="J1207" s="339">
        <f>-TrialBalance!L263</f>
        <v>0</v>
      </c>
      <c r="K1207" s="339">
        <f>-TrialBalance!L271</f>
        <v>0</v>
      </c>
      <c r="L1207" s="339"/>
      <c r="M1207" s="339">
        <f>-TrialBalance!L279</f>
        <v>0</v>
      </c>
      <c r="N1207" s="339"/>
      <c r="O1207" s="336">
        <f>SUM(H1207:M1207)</f>
        <v>0</v>
      </c>
      <c r="P1207" s="377"/>
      <c r="Q1207" s="442"/>
      <c r="R1207" s="403" t="str">
        <f t="shared" si="60"/>
        <v>DELETE</v>
      </c>
    </row>
    <row r="1208" spans="2:21" ht="9" customHeight="1" x14ac:dyDescent="0.45">
      <c r="B1208" s="323"/>
      <c r="D1208" s="473"/>
      <c r="G1208" s="425"/>
      <c r="H1208" s="337"/>
      <c r="I1208" s="328"/>
      <c r="J1208" s="328"/>
      <c r="K1208" s="328"/>
      <c r="L1208" s="328"/>
      <c r="M1208" s="328"/>
      <c r="N1208" s="328"/>
      <c r="O1208" s="338"/>
      <c r="P1208" s="377"/>
      <c r="Q1208" s="442"/>
      <c r="R1208" s="403" t="str">
        <f t="shared" si="60"/>
        <v>DELETE</v>
      </c>
    </row>
    <row r="1209" spans="2:21" ht="9" customHeight="1" x14ac:dyDescent="0.45">
      <c r="B1209" s="323"/>
      <c r="D1209" s="473"/>
      <c r="G1209" s="425"/>
      <c r="H1209" s="339"/>
      <c r="I1209" s="339"/>
      <c r="J1209" s="339"/>
      <c r="K1209" s="339"/>
      <c r="L1209" s="339"/>
      <c r="M1209" s="339"/>
      <c r="N1209" s="339"/>
      <c r="O1209" s="339"/>
      <c r="P1209" s="377"/>
      <c r="Q1209" s="442"/>
      <c r="R1209" s="403" t="str">
        <f t="shared" si="60"/>
        <v>DELETE</v>
      </c>
    </row>
    <row r="1210" spans="2:21" ht="31.5" customHeight="1" x14ac:dyDescent="0.45">
      <c r="B1210" s="323"/>
      <c r="D1210" s="473" t="s">
        <v>384</v>
      </c>
      <c r="G1210" s="425"/>
      <c r="H1210" s="339">
        <f>TrialBalance!L252</f>
        <v>0</v>
      </c>
      <c r="I1210" s="339"/>
      <c r="J1210" s="339">
        <f>TrialBalance!L260</f>
        <v>0</v>
      </c>
      <c r="K1210" s="339">
        <f>TrialBalance!L268</f>
        <v>0</v>
      </c>
      <c r="L1210" s="339"/>
      <c r="M1210" s="339">
        <f>+TrialBalance!L276</f>
        <v>0</v>
      </c>
      <c r="N1210" s="339"/>
      <c r="O1210" s="339">
        <f>SUM(H1210:M1210)</f>
        <v>0</v>
      </c>
      <c r="P1210" s="377"/>
      <c r="Q1210" s="442"/>
      <c r="R1210" s="403" t="str">
        <f t="shared" si="60"/>
        <v>DELETE</v>
      </c>
    </row>
    <row r="1211" spans="2:21" ht="9" customHeight="1" x14ac:dyDescent="0.45">
      <c r="B1211" s="323"/>
      <c r="D1211" s="473"/>
      <c r="G1211" s="425"/>
      <c r="H1211" s="328"/>
      <c r="I1211" s="328"/>
      <c r="J1211" s="328"/>
      <c r="K1211" s="328"/>
      <c r="L1211" s="328"/>
      <c r="M1211" s="328"/>
      <c r="N1211" s="328"/>
      <c r="O1211" s="328"/>
      <c r="P1211" s="377"/>
      <c r="Q1211" s="442"/>
      <c r="R1211" s="403" t="str">
        <f t="shared" si="60"/>
        <v>DELETE</v>
      </c>
    </row>
    <row r="1212" spans="2:21" ht="9" customHeight="1" x14ac:dyDescent="0.45">
      <c r="B1212" s="323"/>
      <c r="D1212" s="473"/>
      <c r="G1212" s="425"/>
      <c r="H1212" s="339"/>
      <c r="I1212" s="339"/>
      <c r="J1212" s="339"/>
      <c r="K1212" s="339"/>
      <c r="L1212" s="339"/>
      <c r="M1212" s="339"/>
      <c r="N1212" s="339"/>
      <c r="O1212" s="339"/>
      <c r="P1212" s="377"/>
      <c r="Q1212" s="442"/>
      <c r="R1212" s="403" t="str">
        <f t="shared" si="60"/>
        <v>DELETE</v>
      </c>
    </row>
    <row r="1213" spans="2:21" ht="31.5" customHeight="1" x14ac:dyDescent="0.45">
      <c r="B1213" s="323"/>
      <c r="D1213" s="473"/>
      <c r="G1213" s="425"/>
      <c r="H1213" s="339">
        <f>+H1202+H1210</f>
        <v>0</v>
      </c>
      <c r="I1213" s="339"/>
      <c r="J1213" s="339">
        <f>+J1202+J1210</f>
        <v>0</v>
      </c>
      <c r="K1213" s="339">
        <f>+K1202+K1210</f>
        <v>0</v>
      </c>
      <c r="L1213" s="339"/>
      <c r="M1213" s="339">
        <f>+M1202+M1210</f>
        <v>0</v>
      </c>
      <c r="N1213" s="339"/>
      <c r="O1213" s="339">
        <f>+O1202+O1210</f>
        <v>0</v>
      </c>
      <c r="P1213" s="377"/>
      <c r="Q1213" s="442"/>
      <c r="R1213" s="403" t="str">
        <f t="shared" si="60"/>
        <v>DELETE</v>
      </c>
    </row>
    <row r="1214" spans="2:21" ht="31.5" customHeight="1" x14ac:dyDescent="0.45">
      <c r="B1214" s="323"/>
      <c r="D1214" s="473" t="s">
        <v>162</v>
      </c>
      <c r="G1214" s="425"/>
      <c r="H1214" s="339">
        <f>H1217-H1218</f>
        <v>0</v>
      </c>
      <c r="I1214" s="339"/>
      <c r="J1214" s="339">
        <f>J1217-J1218</f>
        <v>0</v>
      </c>
      <c r="K1214" s="339">
        <f>K1217-K1218</f>
        <v>0</v>
      </c>
      <c r="L1214" s="339"/>
      <c r="M1214" s="339">
        <f>M1217-M1218</f>
        <v>0</v>
      </c>
      <c r="N1214" s="339"/>
      <c r="O1214" s="339">
        <f>O1217-O1218</f>
        <v>0</v>
      </c>
      <c r="P1214" s="377"/>
      <c r="Q1214" s="442"/>
      <c r="R1214" s="403" t="str">
        <f t="shared" si="60"/>
        <v>DELETE</v>
      </c>
    </row>
    <row r="1215" spans="2:21" ht="9" customHeight="1" x14ac:dyDescent="0.45">
      <c r="B1215" s="323"/>
      <c r="D1215" s="473"/>
      <c r="G1215" s="425"/>
      <c r="H1215" s="339"/>
      <c r="I1215" s="339"/>
      <c r="J1215" s="339"/>
      <c r="K1215" s="339"/>
      <c r="L1215" s="339"/>
      <c r="M1215" s="339"/>
      <c r="N1215" s="339"/>
      <c r="O1215" s="339"/>
      <c r="P1215" s="377"/>
      <c r="Q1215" s="442"/>
      <c r="R1215" s="403" t="str">
        <f t="shared" si="60"/>
        <v>DELETE</v>
      </c>
    </row>
    <row r="1216" spans="2:21" ht="9" customHeight="1" x14ac:dyDescent="0.45">
      <c r="B1216" s="323"/>
      <c r="D1216" s="473"/>
      <c r="G1216" s="425"/>
      <c r="H1216" s="332"/>
      <c r="I1216" s="333"/>
      <c r="J1216" s="333"/>
      <c r="K1216" s="333"/>
      <c r="L1216" s="333"/>
      <c r="M1216" s="333"/>
      <c r="N1216" s="333"/>
      <c r="O1216" s="334"/>
      <c r="P1216" s="377"/>
      <c r="Q1216" s="442"/>
      <c r="R1216" s="403" t="str">
        <f t="shared" si="60"/>
        <v>DELETE</v>
      </c>
    </row>
    <row r="1217" spans="2:21" ht="31.5" customHeight="1" x14ac:dyDescent="0.45">
      <c r="B1217" s="323"/>
      <c r="D1217" s="473" t="s">
        <v>50</v>
      </c>
      <c r="G1217" s="425"/>
      <c r="H1217" s="335">
        <f>-TrialBalance!L253</f>
        <v>0</v>
      </c>
      <c r="I1217" s="339"/>
      <c r="J1217" s="339">
        <f>-TrialBalance!L261</f>
        <v>0</v>
      </c>
      <c r="K1217" s="339">
        <f>-TrialBalance!L269</f>
        <v>0</v>
      </c>
      <c r="L1217" s="339"/>
      <c r="M1217" s="339">
        <f>-TrialBalance!L277</f>
        <v>0</v>
      </c>
      <c r="N1217" s="339"/>
      <c r="O1217" s="336">
        <f>SUM(H1217:M1217)</f>
        <v>0</v>
      </c>
      <c r="P1217" s="377"/>
      <c r="Q1217" s="442"/>
      <c r="R1217" s="403" t="str">
        <f t="shared" si="60"/>
        <v>DELETE</v>
      </c>
    </row>
    <row r="1218" spans="2:21" ht="31.5" customHeight="1" x14ac:dyDescent="0.45">
      <c r="B1218" s="323"/>
      <c r="D1218" s="473" t="s">
        <v>557</v>
      </c>
      <c r="G1218" s="425"/>
      <c r="H1218" s="335">
        <f>TrialBalance!L257</f>
        <v>0</v>
      </c>
      <c r="I1218" s="339"/>
      <c r="J1218" s="339">
        <f>TrialBalance!L265</f>
        <v>0</v>
      </c>
      <c r="K1218" s="339">
        <f>TrialBalance!L273</f>
        <v>0</v>
      </c>
      <c r="L1218" s="339"/>
      <c r="M1218" s="339">
        <f>+TrialBalance!L281</f>
        <v>0</v>
      </c>
      <c r="N1218" s="339"/>
      <c r="O1218" s="336">
        <f>SUM(H1218:M1218)</f>
        <v>0</v>
      </c>
      <c r="P1218" s="377"/>
      <c r="Q1218" s="442"/>
      <c r="R1218" s="403" t="str">
        <f t="shared" si="60"/>
        <v>DELETE</v>
      </c>
    </row>
    <row r="1219" spans="2:21" ht="9" customHeight="1" x14ac:dyDescent="0.45">
      <c r="B1219" s="323"/>
      <c r="D1219" s="473"/>
      <c r="G1219" s="425"/>
      <c r="H1219" s="337"/>
      <c r="I1219" s="328"/>
      <c r="J1219" s="328"/>
      <c r="K1219" s="328"/>
      <c r="L1219" s="328"/>
      <c r="M1219" s="328"/>
      <c r="N1219" s="328"/>
      <c r="O1219" s="338"/>
      <c r="P1219" s="377"/>
      <c r="Q1219" s="442"/>
      <c r="R1219" s="403" t="str">
        <f t="shared" si="60"/>
        <v>DELETE</v>
      </c>
    </row>
    <row r="1220" spans="2:21" ht="9" customHeight="1" x14ac:dyDescent="0.45">
      <c r="B1220" s="323"/>
      <c r="D1220" s="473"/>
      <c r="G1220" s="425"/>
      <c r="H1220" s="339"/>
      <c r="I1220" s="339"/>
      <c r="J1220" s="339"/>
      <c r="K1220" s="339"/>
      <c r="L1220" s="339"/>
      <c r="M1220" s="339"/>
      <c r="N1220" s="339"/>
      <c r="O1220" s="339"/>
      <c r="P1220" s="377"/>
      <c r="Q1220" s="442"/>
      <c r="R1220" s="403" t="str">
        <f t="shared" si="60"/>
        <v>DELETE</v>
      </c>
    </row>
    <row r="1221" spans="2:21" ht="31.5" customHeight="1" x14ac:dyDescent="0.45">
      <c r="B1221" s="323"/>
      <c r="D1221" s="473" t="s">
        <v>372</v>
      </c>
      <c r="G1221" s="425"/>
      <c r="H1221" s="339">
        <f>TrialBalance!L256</f>
        <v>0</v>
      </c>
      <c r="I1221" s="339"/>
      <c r="J1221" s="339">
        <f>TrialBalance!L264</f>
        <v>0</v>
      </c>
      <c r="K1221" s="339">
        <f>TrialBalance!L272</f>
        <v>0</v>
      </c>
      <c r="L1221" s="339"/>
      <c r="M1221" s="339">
        <f>+TrialBalance!L280</f>
        <v>0</v>
      </c>
      <c r="N1221" s="339"/>
      <c r="O1221" s="339">
        <f>SUM(H1221:M1221)</f>
        <v>0</v>
      </c>
      <c r="P1221" s="377"/>
      <c r="Q1221" s="442"/>
      <c r="R1221" s="403" t="str">
        <f t="shared" si="60"/>
        <v>DELETE</v>
      </c>
    </row>
    <row r="1222" spans="2:21" ht="9" customHeight="1" x14ac:dyDescent="0.45">
      <c r="B1222" s="323"/>
      <c r="D1222" s="473"/>
      <c r="G1222" s="425"/>
      <c r="H1222" s="328"/>
      <c r="I1222" s="328"/>
      <c r="J1222" s="328"/>
      <c r="K1222" s="328"/>
      <c r="L1222" s="328"/>
      <c r="M1222" s="328"/>
      <c r="N1222" s="328"/>
      <c r="O1222" s="328"/>
      <c r="P1222" s="377"/>
      <c r="Q1222" s="442"/>
      <c r="R1222" s="403" t="str">
        <f t="shared" si="60"/>
        <v>DELETE</v>
      </c>
    </row>
    <row r="1223" spans="2:21" ht="9" customHeight="1" x14ac:dyDescent="0.45">
      <c r="B1223" s="323"/>
      <c r="D1223" s="473"/>
      <c r="G1223" s="425"/>
      <c r="H1223" s="339"/>
      <c r="I1223" s="339"/>
      <c r="J1223" s="339"/>
      <c r="K1223" s="339"/>
      <c r="L1223" s="339"/>
      <c r="M1223" s="339"/>
      <c r="N1223" s="339"/>
      <c r="O1223" s="339"/>
      <c r="P1223" s="377"/>
      <c r="Q1223" s="442"/>
      <c r="R1223" s="403" t="str">
        <f t="shared" si="60"/>
        <v>DELETE</v>
      </c>
    </row>
    <row r="1224" spans="2:21" ht="31.5" customHeight="1" x14ac:dyDescent="0.45">
      <c r="B1224" s="323"/>
      <c r="D1224" s="473" t="s">
        <v>201</v>
      </c>
      <c r="G1224" s="484">
        <f>Criteria!G20</f>
        <v>45351</v>
      </c>
      <c r="H1224" s="387">
        <f>+H1202+H1210-H1214+H1221</f>
        <v>0</v>
      </c>
      <c r="I1224" s="387"/>
      <c r="J1224" s="387">
        <f>+J1202+J1210-J1214+J1221</f>
        <v>0</v>
      </c>
      <c r="K1224" s="387">
        <f>+K1202+K1210-K1214+K1221</f>
        <v>0</v>
      </c>
      <c r="L1224" s="387"/>
      <c r="M1224" s="387">
        <f>+M1202+M1210-M1214+M1221</f>
        <v>0</v>
      </c>
      <c r="N1224" s="387"/>
      <c r="O1224" s="387">
        <f>+O1202+O1210-O1214+O1221</f>
        <v>0</v>
      </c>
      <c r="P1224" s="388"/>
      <c r="Q1224" s="442"/>
      <c r="R1224" s="403" t="str">
        <f t="shared" si="60"/>
        <v>DELETE</v>
      </c>
      <c r="U1224" s="378" t="b">
        <f>O1224=SUM(H1224:N1224)</f>
        <v>1</v>
      </c>
    </row>
    <row r="1225" spans="2:21" ht="9" customHeight="1" thickBot="1" x14ac:dyDescent="0.5">
      <c r="B1225" s="323"/>
      <c r="D1225" s="473"/>
      <c r="G1225" s="485"/>
      <c r="H1225" s="331"/>
      <c r="I1225" s="331"/>
      <c r="J1225" s="331"/>
      <c r="K1225" s="331"/>
      <c r="L1225" s="331"/>
      <c r="M1225" s="331"/>
      <c r="N1225" s="331"/>
      <c r="O1225" s="331"/>
      <c r="P1225" s="377"/>
      <c r="Q1225" s="442"/>
      <c r="R1225" s="403" t="str">
        <f t="shared" si="60"/>
        <v>DELETE</v>
      </c>
    </row>
    <row r="1226" spans="2:21" ht="9" customHeight="1" thickTop="1" x14ac:dyDescent="0.45">
      <c r="B1226" s="323"/>
      <c r="D1226" s="473"/>
      <c r="G1226" s="485"/>
      <c r="H1226" s="339"/>
      <c r="I1226" s="339"/>
      <c r="J1226" s="339"/>
      <c r="K1226" s="339"/>
      <c r="L1226" s="339"/>
      <c r="M1226" s="339"/>
      <c r="N1226" s="339"/>
      <c r="O1226" s="339"/>
      <c r="P1226" s="377"/>
      <c r="Q1226" s="442"/>
      <c r="R1226" s="403" t="str">
        <f t="shared" si="60"/>
        <v>DELETE</v>
      </c>
    </row>
    <row r="1227" spans="2:21" ht="9" customHeight="1" x14ac:dyDescent="0.45">
      <c r="B1227" s="323"/>
      <c r="D1227" s="473"/>
      <c r="G1227" s="485"/>
      <c r="H1227" s="332"/>
      <c r="I1227" s="333"/>
      <c r="J1227" s="333"/>
      <c r="K1227" s="333"/>
      <c r="L1227" s="333"/>
      <c r="M1227" s="333"/>
      <c r="N1227" s="333"/>
      <c r="O1227" s="334"/>
      <c r="P1227" s="377"/>
      <c r="Q1227" s="442"/>
      <c r="R1227" s="403" t="str">
        <f t="shared" si="60"/>
        <v>DELETE</v>
      </c>
    </row>
    <row r="1228" spans="2:21" ht="31.5" customHeight="1" x14ac:dyDescent="0.45">
      <c r="B1228" s="323"/>
      <c r="D1228" s="473" t="s">
        <v>383</v>
      </c>
      <c r="G1228" s="425"/>
      <c r="H1228" s="335">
        <f>H1206+H1210-H1217</f>
        <v>0</v>
      </c>
      <c r="I1228" s="339"/>
      <c r="J1228" s="339">
        <f>J1206+J1210-J1217</f>
        <v>0</v>
      </c>
      <c r="K1228" s="339">
        <f>K1206+K1210-K1217</f>
        <v>0</v>
      </c>
      <c r="L1228" s="339"/>
      <c r="M1228" s="339">
        <f>M1206+M1210-M1217</f>
        <v>0</v>
      </c>
      <c r="N1228" s="339"/>
      <c r="O1228" s="336">
        <f>O1206+O1210-O1217</f>
        <v>0</v>
      </c>
      <c r="P1228" s="377"/>
      <c r="Q1228" s="442"/>
      <c r="R1228" s="403" t="str">
        <f t="shared" si="60"/>
        <v>DELETE</v>
      </c>
      <c r="U1228" s="378" t="b">
        <f>O1228=SUM(H1228:N1228)</f>
        <v>1</v>
      </c>
    </row>
    <row r="1229" spans="2:21" ht="31.5" customHeight="1" x14ac:dyDescent="0.45">
      <c r="B1229" s="323"/>
      <c r="D1229" s="473" t="s">
        <v>556</v>
      </c>
      <c r="G1229" s="425"/>
      <c r="H1229" s="335">
        <f>H1207-H1218-H1221</f>
        <v>0</v>
      </c>
      <c r="I1229" s="339"/>
      <c r="J1229" s="339">
        <f>J1207-J1218-J1221</f>
        <v>0</v>
      </c>
      <c r="K1229" s="339">
        <f>K1207-K1218-K1221</f>
        <v>0</v>
      </c>
      <c r="L1229" s="339"/>
      <c r="M1229" s="339">
        <f>M1207-M1218-M1221</f>
        <v>0</v>
      </c>
      <c r="N1229" s="339"/>
      <c r="O1229" s="336">
        <f>O1207-O1218-O1221</f>
        <v>0</v>
      </c>
      <c r="P1229" s="377"/>
      <c r="Q1229" s="442"/>
      <c r="R1229" s="403" t="str">
        <f t="shared" si="60"/>
        <v>DELETE</v>
      </c>
      <c r="U1229" s="378" t="b">
        <f>O1229=SUM(H1229:N1229)</f>
        <v>1</v>
      </c>
    </row>
    <row r="1230" spans="2:21" ht="9" customHeight="1" x14ac:dyDescent="0.45">
      <c r="B1230" s="323"/>
      <c r="G1230" s="425"/>
      <c r="H1230" s="337"/>
      <c r="I1230" s="328"/>
      <c r="J1230" s="328"/>
      <c r="K1230" s="328"/>
      <c r="L1230" s="328"/>
      <c r="M1230" s="328"/>
      <c r="N1230" s="328"/>
      <c r="O1230" s="338"/>
      <c r="P1230" s="377"/>
      <c r="Q1230" s="442"/>
      <c r="R1230" s="403" t="str">
        <f t="shared" si="60"/>
        <v>DELETE</v>
      </c>
    </row>
    <row r="1231" spans="2:21" ht="9" customHeight="1" x14ac:dyDescent="0.45">
      <c r="B1231" s="323"/>
      <c r="G1231" s="425"/>
      <c r="H1231" s="314"/>
      <c r="I1231" s="314"/>
      <c r="J1231" s="314"/>
      <c r="K1231" s="314"/>
      <c r="L1231" s="314"/>
      <c r="M1231" s="363"/>
      <c r="N1231" s="314"/>
      <c r="O1231" s="363"/>
      <c r="P1231" s="377"/>
      <c r="Q1231" s="442"/>
      <c r="R1231" s="403" t="str">
        <f t="shared" si="60"/>
        <v>DELETE</v>
      </c>
    </row>
    <row r="1232" spans="2:21" ht="31.5" customHeight="1" x14ac:dyDescent="0.45">
      <c r="B1232" s="323"/>
      <c r="H1232" s="472"/>
      <c r="I1232" s="472"/>
      <c r="J1232" s="472"/>
      <c r="K1232" s="472"/>
      <c r="L1232" s="472"/>
      <c r="M1232" s="436"/>
      <c r="N1232" s="460"/>
      <c r="O1232" s="436"/>
      <c r="P1232" s="425"/>
      <c r="Q1232" s="442"/>
      <c r="R1232" s="403" t="str">
        <f t="shared" si="60"/>
        <v>DELETE</v>
      </c>
      <c r="U1232" s="378" t="b">
        <f>O1224=O1228-O1229</f>
        <v>1</v>
      </c>
    </row>
    <row r="1233" spans="2:18" ht="31.5" customHeight="1" x14ac:dyDescent="0.45">
      <c r="B1233" s="323"/>
      <c r="H1233" s="472"/>
      <c r="I1233" s="472"/>
      <c r="J1233" s="472"/>
      <c r="K1233" s="472"/>
      <c r="L1233" s="472"/>
      <c r="M1233" s="436"/>
      <c r="N1233" s="460"/>
      <c r="O1233" s="436"/>
      <c r="P1233" s="425"/>
      <c r="Q1233" s="442"/>
      <c r="R1233" s="403" t="str">
        <f t="shared" ref="R1233:R1235" si="61">R$1198</f>
        <v>DELETE</v>
      </c>
    </row>
    <row r="1234" spans="2:18" ht="31.5" customHeight="1" x14ac:dyDescent="0.45">
      <c r="B1234" s="324"/>
      <c r="C1234" s="429"/>
      <c r="D1234" s="429"/>
      <c r="E1234" s="429"/>
      <c r="F1234" s="429"/>
      <c r="G1234" s="429"/>
      <c r="H1234" s="476"/>
      <c r="I1234" s="476"/>
      <c r="J1234" s="476"/>
      <c r="K1234" s="476"/>
      <c r="L1234" s="476"/>
      <c r="M1234" s="437"/>
      <c r="N1234" s="461"/>
      <c r="O1234" s="437"/>
      <c r="P1234" s="433"/>
      <c r="Q1234" s="446"/>
      <c r="R1234" s="403" t="str">
        <f t="shared" si="61"/>
        <v>DELETE</v>
      </c>
    </row>
    <row r="1235" spans="2:18" ht="31.5" customHeight="1" x14ac:dyDescent="0.45">
      <c r="B1235" s="325"/>
      <c r="H1235" s="472"/>
      <c r="I1235" s="472"/>
      <c r="J1235" s="472"/>
      <c r="K1235" s="472"/>
      <c r="L1235" s="472"/>
      <c r="M1235" s="426"/>
      <c r="N1235" s="406"/>
      <c r="O1235" s="426"/>
      <c r="R1235" s="403" t="str">
        <f t="shared" si="61"/>
        <v>DELETE</v>
      </c>
    </row>
    <row r="1236" spans="2:18" ht="31.5" customHeight="1" x14ac:dyDescent="0.45">
      <c r="B1236" s="422"/>
      <c r="D1236" s="417"/>
      <c r="R1236" s="403" t="str">
        <f>R$1244</f>
        <v>DELETE</v>
      </c>
    </row>
    <row r="1237" spans="2:18" ht="31.5" customHeight="1" x14ac:dyDescent="0.45">
      <c r="B1237" s="422"/>
      <c r="D1237" s="417" t="str">
        <f>Criteria!E9</f>
        <v>HOLDING COMPANY 268 (PROPRIETARY) LIMITED</v>
      </c>
      <c r="O1237" s="346" t="s">
        <v>96</v>
      </c>
      <c r="Q1237" s="292">
        <f>MAX($Q$114:Q1236)+1</f>
        <v>29</v>
      </c>
      <c r="R1237" s="403" t="str">
        <f>R$1244</f>
        <v>DELETE</v>
      </c>
    </row>
    <row r="1238" spans="2:18" ht="31.5" customHeight="1" x14ac:dyDescent="0.45">
      <c r="B1238" s="422"/>
      <c r="D1238" s="417" t="str">
        <f>Criteria!E10</f>
        <v>CONSOLIDATED FINANCIAL STATEMENTS</v>
      </c>
      <c r="R1238" s="403" t="str">
        <f>IF(R$1244="DELETE","DELETE",IF(D1238=0,"DELETE"," "))</f>
        <v>DELETE</v>
      </c>
    </row>
    <row r="1239" spans="2:18" ht="31.5" customHeight="1" x14ac:dyDescent="0.45">
      <c r="B1239" s="422"/>
      <c r="R1239" s="403" t="str">
        <f>R$1244</f>
        <v>DELETE</v>
      </c>
    </row>
    <row r="1240" spans="2:18" ht="31.5" customHeight="1" x14ac:dyDescent="0.45">
      <c r="B1240" s="422"/>
      <c r="D1240" s="417" t="s">
        <v>377</v>
      </c>
      <c r="R1240" s="403" t="str">
        <f>R$1244</f>
        <v>DELETE</v>
      </c>
    </row>
    <row r="1241" spans="2:18" ht="31.5" customHeight="1" x14ac:dyDescent="0.45">
      <c r="B1241" s="422"/>
      <c r="D1241" s="417" t="str">
        <f>Criteria!E20</f>
        <v>29 FEBRUARY 2024</v>
      </c>
      <c r="J1241" s="400" t="s">
        <v>247</v>
      </c>
      <c r="R1241" s="403" t="str">
        <f>R$1244</f>
        <v>DELETE</v>
      </c>
    </row>
    <row r="1242" spans="2:18" ht="31.5" customHeight="1" x14ac:dyDescent="0.45">
      <c r="B1242" s="422"/>
      <c r="D1242" s="417"/>
      <c r="R1242" s="403" t="str">
        <f>R$1244</f>
        <v>DELETE</v>
      </c>
    </row>
    <row r="1243" spans="2:18" ht="31.5" customHeight="1" x14ac:dyDescent="0.45">
      <c r="B1243" s="326"/>
      <c r="C1243" s="439"/>
      <c r="D1243" s="439"/>
      <c r="E1243" s="439"/>
      <c r="F1243" s="439"/>
      <c r="G1243" s="439"/>
      <c r="H1243" s="478"/>
      <c r="I1243" s="478"/>
      <c r="J1243" s="478"/>
      <c r="K1243" s="478"/>
      <c r="L1243" s="478"/>
      <c r="M1243" s="469"/>
      <c r="N1243" s="470"/>
      <c r="O1243" s="469"/>
      <c r="P1243" s="448"/>
      <c r="Q1243" s="440"/>
      <c r="R1243" s="403" t="str">
        <f>R$1244</f>
        <v>DELETE</v>
      </c>
    </row>
    <row r="1244" spans="2:18" ht="31.5" customHeight="1" x14ac:dyDescent="0.45">
      <c r="B1244" s="323"/>
      <c r="C1244" s="400">
        <f>MAX(C1199:C1243)+0.1</f>
        <v>9.1999999999999993</v>
      </c>
      <c r="D1244" s="400" t="s">
        <v>1013</v>
      </c>
      <c r="M1244" s="424"/>
      <c r="N1244" s="425"/>
      <c r="O1244" s="424"/>
      <c r="P1244" s="425"/>
      <c r="Q1244" s="442"/>
      <c r="R1244" s="403" t="str">
        <f>IF(Criteria!J214+Criteria!J221=0,"DELETE"," ")</f>
        <v>DELETE</v>
      </c>
    </row>
    <row r="1245" spans="2:18" ht="31.5" customHeight="1" x14ac:dyDescent="0.45">
      <c r="B1245" s="323"/>
      <c r="H1245" s="389" t="str">
        <f>Criteria!G206</f>
        <v>Plant and</v>
      </c>
      <c r="J1245" s="389" t="str">
        <f>Criteria!H206</f>
        <v>Motor</v>
      </c>
      <c r="K1245" s="389" t="str">
        <f>Criteria!I206</f>
        <v>Electronic</v>
      </c>
      <c r="M1245" s="386" t="str">
        <f>Criteria!J206</f>
        <v>Furniture and</v>
      </c>
      <c r="N1245" s="425"/>
      <c r="O1245" s="386" t="s">
        <v>382</v>
      </c>
      <c r="P1245" s="425"/>
      <c r="Q1245" s="442"/>
      <c r="R1245" s="403" t="str">
        <f t="shared" ref="R1245:R1257" si="62">R$1244</f>
        <v>DELETE</v>
      </c>
    </row>
    <row r="1246" spans="2:18" ht="31.5" customHeight="1" x14ac:dyDescent="0.45">
      <c r="B1246" s="323"/>
      <c r="H1246" s="389" t="str">
        <f>Criteria!G207</f>
        <v>equipment</v>
      </c>
      <c r="J1246" s="389" t="str">
        <f>Criteria!H207</f>
        <v>vehicles</v>
      </c>
      <c r="K1246" s="389" t="str">
        <f>Criteria!I207</f>
        <v>equipment</v>
      </c>
      <c r="M1246" s="386" t="str">
        <f>Criteria!J207</f>
        <v>fittings</v>
      </c>
      <c r="N1246" s="425"/>
      <c r="O1246" s="424"/>
      <c r="P1246" s="425"/>
      <c r="Q1246" s="442"/>
      <c r="R1246" s="403" t="str">
        <f t="shared" si="62"/>
        <v>DELETE</v>
      </c>
    </row>
    <row r="1247" spans="2:18" ht="31.5" customHeight="1" x14ac:dyDescent="0.45">
      <c r="B1247" s="323"/>
      <c r="D1247" s="473" t="s">
        <v>201</v>
      </c>
      <c r="G1247" s="390">
        <f>Criteria!G20</f>
        <v>45351</v>
      </c>
      <c r="H1247" s="339">
        <f>H1250-H1251</f>
        <v>0</v>
      </c>
      <c r="I1247" s="339"/>
      <c r="J1247" s="339">
        <f>J1250-J1251</f>
        <v>0</v>
      </c>
      <c r="K1247" s="339">
        <f>K1250-K1251</f>
        <v>0</v>
      </c>
      <c r="L1247" s="339"/>
      <c r="M1247" s="339">
        <f>M1250-M1251</f>
        <v>0</v>
      </c>
      <c r="N1247" s="339"/>
      <c r="O1247" s="339">
        <f>O1250-O1251</f>
        <v>0</v>
      </c>
      <c r="P1247" s="486"/>
      <c r="Q1247" s="442"/>
      <c r="R1247" s="403" t="str">
        <f t="shared" si="62"/>
        <v>DELETE</v>
      </c>
    </row>
    <row r="1248" spans="2:18" ht="9" customHeight="1" x14ac:dyDescent="0.45">
      <c r="B1248" s="323"/>
      <c r="D1248" s="473"/>
      <c r="G1248" s="391"/>
      <c r="H1248" s="339"/>
      <c r="I1248" s="339"/>
      <c r="J1248" s="339"/>
      <c r="K1248" s="339"/>
      <c r="L1248" s="339"/>
      <c r="M1248" s="339"/>
      <c r="N1248" s="339"/>
      <c r="O1248" s="339"/>
      <c r="P1248" s="486"/>
      <c r="Q1248" s="442"/>
      <c r="R1248" s="403" t="str">
        <f t="shared" si="62"/>
        <v>DELETE</v>
      </c>
    </row>
    <row r="1249" spans="2:18" ht="9" customHeight="1" x14ac:dyDescent="0.45">
      <c r="B1249" s="323"/>
      <c r="D1249" s="473"/>
      <c r="G1249" s="391"/>
      <c r="H1249" s="332"/>
      <c r="I1249" s="333"/>
      <c r="J1249" s="333"/>
      <c r="K1249" s="333"/>
      <c r="L1249" s="333"/>
      <c r="M1249" s="333"/>
      <c r="N1249" s="333"/>
      <c r="O1249" s="334"/>
      <c r="P1249" s="486"/>
      <c r="Q1249" s="442"/>
      <c r="R1249" s="403" t="str">
        <f t="shared" si="62"/>
        <v>DELETE</v>
      </c>
    </row>
    <row r="1250" spans="2:18" ht="31.5" customHeight="1" x14ac:dyDescent="0.45">
      <c r="B1250" s="323"/>
      <c r="D1250" s="473" t="s">
        <v>383</v>
      </c>
      <c r="G1250" s="377"/>
      <c r="H1250" s="335">
        <f>Criteria!F224</f>
        <v>0</v>
      </c>
      <c r="I1250" s="339"/>
      <c r="J1250" s="339">
        <f>Criteria!G224</f>
        <v>0</v>
      </c>
      <c r="K1250" s="339">
        <f>Criteria!H224</f>
        <v>0</v>
      </c>
      <c r="L1250" s="339"/>
      <c r="M1250" s="339">
        <f>Criteria!I224</f>
        <v>0</v>
      </c>
      <c r="N1250" s="339"/>
      <c r="O1250" s="336">
        <f>SUM(H1250:M1250)</f>
        <v>0</v>
      </c>
      <c r="P1250" s="486"/>
      <c r="Q1250" s="442"/>
      <c r="R1250" s="403" t="str">
        <f t="shared" si="62"/>
        <v>DELETE</v>
      </c>
    </row>
    <row r="1251" spans="2:18" ht="31.5" customHeight="1" x14ac:dyDescent="0.45">
      <c r="B1251" s="323"/>
      <c r="D1251" s="473" t="s">
        <v>556</v>
      </c>
      <c r="G1251" s="377"/>
      <c r="H1251" s="335">
        <f>Criteria!F225</f>
        <v>0</v>
      </c>
      <c r="I1251" s="339"/>
      <c r="J1251" s="339">
        <f>Criteria!G225</f>
        <v>0</v>
      </c>
      <c r="K1251" s="339">
        <f>Criteria!H225</f>
        <v>0</v>
      </c>
      <c r="L1251" s="339"/>
      <c r="M1251" s="339">
        <f>Criteria!I225</f>
        <v>0</v>
      </c>
      <c r="N1251" s="339"/>
      <c r="O1251" s="336">
        <f>SUM(H1251:M1251)</f>
        <v>0</v>
      </c>
      <c r="P1251" s="486"/>
      <c r="Q1251" s="442"/>
      <c r="R1251" s="403" t="str">
        <f t="shared" si="62"/>
        <v>DELETE</v>
      </c>
    </row>
    <row r="1252" spans="2:18" ht="9" customHeight="1" x14ac:dyDescent="0.45">
      <c r="B1252" s="323"/>
      <c r="G1252" s="377"/>
      <c r="H1252" s="337"/>
      <c r="I1252" s="328"/>
      <c r="J1252" s="328"/>
      <c r="K1252" s="328"/>
      <c r="L1252" s="328"/>
      <c r="M1252" s="328"/>
      <c r="N1252" s="328"/>
      <c r="O1252" s="338"/>
      <c r="P1252" s="486"/>
      <c r="Q1252" s="442"/>
      <c r="R1252" s="403" t="str">
        <f t="shared" si="62"/>
        <v>DELETE</v>
      </c>
    </row>
    <row r="1253" spans="2:18" ht="9" customHeight="1" x14ac:dyDescent="0.45">
      <c r="B1253" s="323"/>
      <c r="H1253" s="466"/>
      <c r="I1253" s="466"/>
      <c r="J1253" s="466"/>
      <c r="K1253" s="466"/>
      <c r="L1253" s="466"/>
      <c r="M1253" s="487"/>
      <c r="N1253" s="487"/>
      <c r="O1253" s="487"/>
      <c r="P1253" s="487"/>
      <c r="Q1253" s="442"/>
      <c r="R1253" s="403" t="str">
        <f t="shared" si="62"/>
        <v>DELETE</v>
      </c>
    </row>
    <row r="1254" spans="2:18" ht="31.5" customHeight="1" x14ac:dyDescent="0.45">
      <c r="B1254" s="323"/>
      <c r="M1254" s="424"/>
      <c r="N1254" s="425"/>
      <c r="O1254" s="424"/>
      <c r="P1254" s="425"/>
      <c r="Q1254" s="442"/>
      <c r="R1254" s="403" t="str">
        <f t="shared" si="62"/>
        <v>DELETE</v>
      </c>
    </row>
    <row r="1255" spans="2:18" ht="31.5" customHeight="1" x14ac:dyDescent="0.45">
      <c r="B1255" s="323"/>
      <c r="M1255" s="424"/>
      <c r="N1255" s="425"/>
      <c r="O1255" s="424"/>
      <c r="P1255" s="425"/>
      <c r="Q1255" s="442"/>
      <c r="R1255" s="403" t="str">
        <f t="shared" si="62"/>
        <v>DELETE</v>
      </c>
    </row>
    <row r="1256" spans="2:18" ht="31.5" customHeight="1" x14ac:dyDescent="0.45">
      <c r="B1256" s="324"/>
      <c r="C1256" s="429"/>
      <c r="D1256" s="429"/>
      <c r="E1256" s="429"/>
      <c r="F1256" s="429"/>
      <c r="G1256" s="429"/>
      <c r="H1256" s="429"/>
      <c r="I1256" s="429"/>
      <c r="J1256" s="429"/>
      <c r="K1256" s="429"/>
      <c r="L1256" s="429"/>
      <c r="M1256" s="432"/>
      <c r="N1256" s="433"/>
      <c r="O1256" s="432"/>
      <c r="P1256" s="433"/>
      <c r="Q1256" s="446"/>
      <c r="R1256" s="403" t="str">
        <f t="shared" si="62"/>
        <v>DELETE</v>
      </c>
    </row>
    <row r="1257" spans="2:18" ht="31.5" customHeight="1" x14ac:dyDescent="0.45">
      <c r="B1257" s="422"/>
      <c r="R1257" s="403" t="str">
        <f t="shared" si="62"/>
        <v>DELETE</v>
      </c>
    </row>
    <row r="1258" spans="2:18" ht="31.5" customHeight="1" x14ac:dyDescent="0.45">
      <c r="B1258" s="422"/>
      <c r="R1258" s="403" t="str">
        <f>R$1268</f>
        <v>DELETE</v>
      </c>
    </row>
    <row r="1259" spans="2:18" ht="31.5" customHeight="1" x14ac:dyDescent="0.45">
      <c r="B1259" s="422"/>
      <c r="D1259" s="417" t="str">
        <f>Criteria!E9</f>
        <v>HOLDING COMPANY 268 (PROPRIETARY) LIMITED</v>
      </c>
      <c r="O1259" s="346" t="s">
        <v>96</v>
      </c>
      <c r="Q1259" s="292">
        <f>MAX($Q$114:Q1258)+1</f>
        <v>30</v>
      </c>
      <c r="R1259" s="403" t="str">
        <f t="shared" ref="R1259:R1311" si="63">R$1268</f>
        <v>DELETE</v>
      </c>
    </row>
    <row r="1260" spans="2:18" ht="31.5" customHeight="1" x14ac:dyDescent="0.45">
      <c r="B1260" s="422"/>
      <c r="D1260" s="417" t="str">
        <f>Criteria!E10</f>
        <v>CONSOLIDATED FINANCIAL STATEMENTS</v>
      </c>
      <c r="R1260" s="403" t="str">
        <f>IF(R$1268="DELETE","DELETE",IF(D1260=0,"DELETE"," "))</f>
        <v>DELETE</v>
      </c>
    </row>
    <row r="1261" spans="2:18" ht="31.5" customHeight="1" x14ac:dyDescent="0.45">
      <c r="B1261" s="422"/>
      <c r="R1261" s="403" t="str">
        <f t="shared" si="63"/>
        <v>DELETE</v>
      </c>
    </row>
    <row r="1262" spans="2:18" ht="31.5" customHeight="1" x14ac:dyDescent="0.45">
      <c r="B1262" s="422"/>
      <c r="D1262" s="417" t="s">
        <v>377</v>
      </c>
      <c r="R1262" s="403" t="str">
        <f t="shared" si="63"/>
        <v>DELETE</v>
      </c>
    </row>
    <row r="1263" spans="2:18" ht="31.5" customHeight="1" x14ac:dyDescent="0.45">
      <c r="B1263" s="422"/>
      <c r="D1263" s="417" t="str">
        <f>Criteria!E20</f>
        <v>29 FEBRUARY 2024</v>
      </c>
      <c r="J1263" s="400" t="s">
        <v>247</v>
      </c>
      <c r="R1263" s="403" t="str">
        <f t="shared" si="63"/>
        <v>DELETE</v>
      </c>
    </row>
    <row r="1264" spans="2:18" ht="31.5" customHeight="1" x14ac:dyDescent="0.45">
      <c r="B1264" s="422"/>
      <c r="R1264" s="403" t="str">
        <f t="shared" si="63"/>
        <v>DELETE</v>
      </c>
    </row>
    <row r="1265" spans="2:19" ht="31.5" customHeight="1" x14ac:dyDescent="0.45">
      <c r="B1265" s="457"/>
      <c r="C1265" s="439"/>
      <c r="D1265" s="439"/>
      <c r="E1265" s="439"/>
      <c r="F1265" s="439"/>
      <c r="G1265" s="439"/>
      <c r="H1265" s="439"/>
      <c r="I1265" s="439"/>
      <c r="J1265" s="439"/>
      <c r="K1265" s="439"/>
      <c r="L1265" s="439"/>
      <c r="M1265" s="447"/>
      <c r="N1265" s="448"/>
      <c r="O1265" s="447"/>
      <c r="P1265" s="448"/>
      <c r="Q1265" s="440"/>
      <c r="R1265" s="403" t="str">
        <f t="shared" si="63"/>
        <v>DELETE</v>
      </c>
    </row>
    <row r="1266" spans="2:19" ht="31.5" customHeight="1" x14ac:dyDescent="0.45">
      <c r="B1266" s="459"/>
      <c r="M1266" s="424"/>
      <c r="N1266" s="425"/>
      <c r="O1266" s="344">
        <f>Criteria!E22</f>
        <v>2024</v>
      </c>
      <c r="P1266" s="425"/>
      <c r="Q1266" s="442"/>
      <c r="R1266" s="403" t="str">
        <f t="shared" si="63"/>
        <v>DELETE</v>
      </c>
    </row>
    <row r="1267" spans="2:19" ht="31.5" customHeight="1" x14ac:dyDescent="0.45">
      <c r="B1267" s="459"/>
      <c r="M1267" s="424"/>
      <c r="N1267" s="425"/>
      <c r="O1267" s="424"/>
      <c r="P1267" s="425"/>
      <c r="Q1267" s="442"/>
      <c r="R1267" s="403" t="str">
        <f t="shared" si="63"/>
        <v>DELETE</v>
      </c>
    </row>
    <row r="1268" spans="2:19" ht="31.5" customHeight="1" x14ac:dyDescent="0.45">
      <c r="B1268" s="323">
        <f>MAX(B$559:B1267)+1</f>
        <v>10</v>
      </c>
      <c r="C1268" s="417" t="s">
        <v>961</v>
      </c>
      <c r="M1268" s="424"/>
      <c r="N1268" s="425"/>
      <c r="O1268" s="424"/>
      <c r="P1268" s="425"/>
      <c r="Q1268" s="442"/>
      <c r="R1268" s="403" t="str">
        <f>IF(TrialBalance!L240+TrialBalance!L241+TrialBalance!L243=0,"DELETE"," ")</f>
        <v>DELETE</v>
      </c>
    </row>
    <row r="1269" spans="2:19" ht="31.5" customHeight="1" x14ac:dyDescent="0.45">
      <c r="B1269" s="459"/>
      <c r="C1269" s="466"/>
      <c r="D1269" s="400" t="s">
        <v>1055</v>
      </c>
      <c r="H1269" s="405"/>
      <c r="J1269" s="405"/>
      <c r="K1269" s="471"/>
      <c r="M1269" s="363"/>
      <c r="N1269" s="314"/>
      <c r="O1269" s="347">
        <f>O1272+O1273</f>
        <v>0</v>
      </c>
      <c r="P1269" s="425"/>
      <c r="Q1269" s="442"/>
      <c r="R1269" s="403" t="str">
        <f t="shared" si="63"/>
        <v>DELETE</v>
      </c>
    </row>
    <row r="1270" spans="2:19" ht="9" customHeight="1" x14ac:dyDescent="0.45">
      <c r="B1270" s="459"/>
      <c r="C1270" s="466"/>
      <c r="M1270" s="363"/>
      <c r="N1270" s="314"/>
      <c r="O1270" s="347"/>
      <c r="P1270" s="425"/>
      <c r="Q1270" s="442"/>
      <c r="R1270" s="403" t="str">
        <f t="shared" si="63"/>
        <v>DELETE</v>
      </c>
    </row>
    <row r="1271" spans="2:19" ht="9" customHeight="1" x14ac:dyDescent="0.45">
      <c r="B1271" s="459"/>
      <c r="C1271" s="466"/>
      <c r="M1271" s="363"/>
      <c r="N1271" s="314"/>
      <c r="O1271" s="372"/>
      <c r="P1271" s="425"/>
      <c r="Q1271" s="442"/>
      <c r="R1271" s="403" t="str">
        <f t="shared" si="63"/>
        <v>DELETE</v>
      </c>
    </row>
    <row r="1272" spans="2:19" ht="31.5" customHeight="1" x14ac:dyDescent="0.45">
      <c r="B1272" s="459"/>
      <c r="C1272" s="466"/>
      <c r="D1272" s="400" t="s">
        <v>383</v>
      </c>
      <c r="M1272" s="363"/>
      <c r="N1272" s="314"/>
      <c r="O1272" s="373">
        <f>TrialBalance!L240</f>
        <v>0</v>
      </c>
      <c r="P1272" s="425"/>
      <c r="Q1272" s="442"/>
      <c r="R1272" s="403" t="str">
        <f t="shared" si="63"/>
        <v>DELETE</v>
      </c>
      <c r="S1272" s="380">
        <f>O1272</f>
        <v>0</v>
      </c>
    </row>
    <row r="1273" spans="2:19" ht="31.5" customHeight="1" x14ac:dyDescent="0.45">
      <c r="B1273" s="459"/>
      <c r="C1273" s="466"/>
      <c r="D1273" s="400" t="s">
        <v>1089</v>
      </c>
      <c r="M1273" s="363"/>
      <c r="N1273" s="314"/>
      <c r="O1273" s="373">
        <f>TrialBalance!L246</f>
        <v>0</v>
      </c>
      <c r="P1273" s="425"/>
      <c r="Q1273" s="442"/>
      <c r="R1273" s="403" t="str">
        <f t="shared" si="63"/>
        <v>DELETE</v>
      </c>
      <c r="S1273" s="380">
        <f>O1273</f>
        <v>0</v>
      </c>
    </row>
    <row r="1274" spans="2:19" ht="9" customHeight="1" x14ac:dyDescent="0.45">
      <c r="B1274" s="459"/>
      <c r="C1274" s="466"/>
      <c r="M1274" s="363"/>
      <c r="N1274" s="314"/>
      <c r="O1274" s="374"/>
      <c r="P1274" s="425"/>
      <c r="Q1274" s="442"/>
      <c r="R1274" s="403" t="str">
        <f t="shared" si="63"/>
        <v>DELETE</v>
      </c>
    </row>
    <row r="1275" spans="2:19" ht="9" customHeight="1" x14ac:dyDescent="0.45">
      <c r="B1275" s="459"/>
      <c r="C1275" s="466"/>
      <c r="M1275" s="363"/>
      <c r="N1275" s="314"/>
      <c r="O1275" s="347"/>
      <c r="P1275" s="425"/>
      <c r="Q1275" s="442"/>
      <c r="R1275" s="403" t="str">
        <f t="shared" si="63"/>
        <v>DELETE</v>
      </c>
    </row>
    <row r="1276" spans="2:19" ht="31.5" customHeight="1" x14ac:dyDescent="0.45">
      <c r="B1276" s="459"/>
      <c r="C1276" s="466"/>
      <c r="D1276" s="400" t="s">
        <v>384</v>
      </c>
      <c r="M1276" s="363"/>
      <c r="N1276" s="314"/>
      <c r="O1276" s="347">
        <f>TrialBalance!L241</f>
        <v>0</v>
      </c>
      <c r="P1276" s="425"/>
      <c r="Q1276" s="442"/>
      <c r="R1276" s="403" t="str">
        <f t="shared" si="63"/>
        <v>DELETE</v>
      </c>
      <c r="S1276" s="380">
        <f>O1276</f>
        <v>0</v>
      </c>
    </row>
    <row r="1277" spans="2:19" ht="9" customHeight="1" x14ac:dyDescent="0.45">
      <c r="B1277" s="459"/>
      <c r="C1277" s="466"/>
      <c r="M1277" s="363"/>
      <c r="N1277" s="314"/>
      <c r="O1277" s="349"/>
      <c r="P1277" s="425"/>
      <c r="Q1277" s="442"/>
      <c r="R1277" s="403" t="str">
        <f t="shared" si="63"/>
        <v>DELETE</v>
      </c>
    </row>
    <row r="1278" spans="2:19" ht="9" customHeight="1" x14ac:dyDescent="0.45">
      <c r="B1278" s="459"/>
      <c r="C1278" s="466"/>
      <c r="M1278" s="363"/>
      <c r="N1278" s="314"/>
      <c r="O1278" s="347"/>
      <c r="P1278" s="425"/>
      <c r="Q1278" s="442"/>
      <c r="R1278" s="403" t="str">
        <f t="shared" si="63"/>
        <v>DELETE</v>
      </c>
    </row>
    <row r="1279" spans="2:19" ht="31.5" customHeight="1" x14ac:dyDescent="0.45">
      <c r="B1279" s="459"/>
      <c r="C1279" s="466"/>
      <c r="M1279" s="363"/>
      <c r="N1279" s="314"/>
      <c r="O1279" s="347">
        <f>O1269+O1276</f>
        <v>0</v>
      </c>
      <c r="P1279" s="425"/>
      <c r="Q1279" s="442"/>
      <c r="R1279" s="403" t="str">
        <f t="shared" si="63"/>
        <v>DELETE</v>
      </c>
    </row>
    <row r="1280" spans="2:19" ht="31.5" customHeight="1" x14ac:dyDescent="0.45">
      <c r="B1280" s="459"/>
      <c r="C1280" s="466"/>
      <c r="D1280" s="400" t="s">
        <v>1090</v>
      </c>
      <c r="M1280" s="363"/>
      <c r="N1280" s="314"/>
      <c r="O1280" s="347">
        <f>TrialBalance!L243</f>
        <v>0</v>
      </c>
      <c r="P1280" s="425"/>
      <c r="Q1280" s="442"/>
      <c r="R1280" s="403" t="str">
        <f>IF(O1280=0,"DELETE"," ")</f>
        <v>DELETE</v>
      </c>
      <c r="S1280" s="380">
        <f>O1280</f>
        <v>0</v>
      </c>
    </row>
    <row r="1281" spans="2:19" ht="31.5" customHeight="1" x14ac:dyDescent="0.45">
      <c r="B1281" s="459"/>
      <c r="C1281" s="466"/>
      <c r="D1281" s="400" t="s">
        <v>1091</v>
      </c>
      <c r="M1281" s="363"/>
      <c r="N1281" s="314"/>
      <c r="O1281" s="347">
        <f>TrialBalance!L247</f>
        <v>0</v>
      </c>
      <c r="P1281" s="425"/>
      <c r="Q1281" s="442"/>
      <c r="R1281" s="403" t="str">
        <f>IF(O1281=0,"DELETE"," ")</f>
        <v>DELETE</v>
      </c>
      <c r="S1281" s="380">
        <f>O1281</f>
        <v>0</v>
      </c>
    </row>
    <row r="1282" spans="2:19" ht="31.5" customHeight="1" x14ac:dyDescent="0.45">
      <c r="B1282" s="459"/>
      <c r="C1282" s="466"/>
      <c r="D1282" s="400" t="s">
        <v>162</v>
      </c>
      <c r="M1282" s="363"/>
      <c r="N1282" s="314"/>
      <c r="O1282" s="347">
        <f>-SUM(S1284:S1287)</f>
        <v>0</v>
      </c>
      <c r="P1282" s="425"/>
      <c r="Q1282" s="442"/>
      <c r="R1282" s="403" t="str">
        <f>IF(O1282=0,"DELETE"," ")</f>
        <v>DELETE</v>
      </c>
    </row>
    <row r="1283" spans="2:19" ht="9" customHeight="1" x14ac:dyDescent="0.45">
      <c r="B1283" s="459"/>
      <c r="C1283" s="466"/>
      <c r="M1283" s="363"/>
      <c r="N1283" s="314"/>
      <c r="O1283" s="347"/>
      <c r="P1283" s="425"/>
      <c r="Q1283" s="442"/>
      <c r="R1283" s="403" t="str">
        <f>R$1282</f>
        <v>DELETE</v>
      </c>
    </row>
    <row r="1284" spans="2:19" ht="9" customHeight="1" x14ac:dyDescent="0.45">
      <c r="B1284" s="459"/>
      <c r="C1284" s="466"/>
      <c r="M1284" s="363"/>
      <c r="N1284" s="314"/>
      <c r="O1284" s="372"/>
      <c r="P1284" s="425"/>
      <c r="Q1284" s="442"/>
      <c r="R1284" s="403" t="str">
        <f>R$1282</f>
        <v>DELETE</v>
      </c>
    </row>
    <row r="1285" spans="2:19" ht="31.5" customHeight="1" x14ac:dyDescent="0.45">
      <c r="B1285" s="459"/>
      <c r="C1285" s="466"/>
      <c r="D1285" s="400" t="s">
        <v>383</v>
      </c>
      <c r="M1285" s="363"/>
      <c r="N1285" s="314"/>
      <c r="O1285" s="373">
        <f>-TrialBalance!L242</f>
        <v>0</v>
      </c>
      <c r="P1285" s="425"/>
      <c r="Q1285" s="442"/>
      <c r="R1285" s="403" t="str">
        <f t="shared" ref="R1285:R1286" si="64">IF(O1285=0,"DELETE"," ")</f>
        <v>DELETE</v>
      </c>
      <c r="S1285" s="380">
        <f>-O1285</f>
        <v>0</v>
      </c>
    </row>
    <row r="1286" spans="2:19" ht="31.5" customHeight="1" x14ac:dyDescent="0.45">
      <c r="B1286" s="459"/>
      <c r="C1286" s="466"/>
      <c r="D1286" s="400" t="s">
        <v>1089</v>
      </c>
      <c r="M1286" s="363"/>
      <c r="N1286" s="314"/>
      <c r="O1286" s="373">
        <f>-TrialBalance!L248</f>
        <v>0</v>
      </c>
      <c r="P1286" s="425"/>
      <c r="Q1286" s="442"/>
      <c r="R1286" s="403" t="str">
        <f t="shared" si="64"/>
        <v>DELETE</v>
      </c>
      <c r="S1286" s="380">
        <f>-O1286</f>
        <v>0</v>
      </c>
    </row>
    <row r="1287" spans="2:19" ht="9" customHeight="1" x14ac:dyDescent="0.45">
      <c r="B1287" s="459"/>
      <c r="C1287" s="466"/>
      <c r="M1287" s="363"/>
      <c r="N1287" s="314"/>
      <c r="O1287" s="374"/>
      <c r="P1287" s="425"/>
      <c r="Q1287" s="442"/>
      <c r="R1287" s="403" t="str">
        <f t="shared" ref="R1287:R1288" si="65">R$1282</f>
        <v>DELETE</v>
      </c>
    </row>
    <row r="1288" spans="2:19" ht="9" customHeight="1" x14ac:dyDescent="0.45">
      <c r="B1288" s="459"/>
      <c r="C1288" s="466"/>
      <c r="M1288" s="363"/>
      <c r="N1288" s="314"/>
      <c r="O1288" s="363"/>
      <c r="P1288" s="425"/>
      <c r="Q1288" s="442"/>
      <c r="R1288" s="403" t="str">
        <f t="shared" si="65"/>
        <v>DELETE</v>
      </c>
    </row>
    <row r="1289" spans="2:19" ht="31.5" customHeight="1" x14ac:dyDescent="0.45">
      <c r="B1289" s="459"/>
      <c r="C1289" s="466"/>
      <c r="D1289" s="400" t="s">
        <v>1092</v>
      </c>
      <c r="M1289" s="363"/>
      <c r="N1289" s="314"/>
      <c r="O1289" s="347">
        <f>-SUM(S1291:S1294)</f>
        <v>0</v>
      </c>
      <c r="P1289" s="425"/>
      <c r="Q1289" s="442"/>
      <c r="R1289" s="403" t="str">
        <f>IF(O1289=0,"DELETE"," ")</f>
        <v>DELETE</v>
      </c>
    </row>
    <row r="1290" spans="2:19" ht="9" customHeight="1" x14ac:dyDescent="0.45">
      <c r="B1290" s="459"/>
      <c r="C1290" s="466"/>
      <c r="M1290" s="363"/>
      <c r="N1290" s="314"/>
      <c r="O1290" s="347"/>
      <c r="P1290" s="425"/>
      <c r="Q1290" s="442"/>
      <c r="R1290" s="403" t="str">
        <f>R$1289</f>
        <v>DELETE</v>
      </c>
    </row>
    <row r="1291" spans="2:19" ht="9" customHeight="1" x14ac:dyDescent="0.45">
      <c r="B1291" s="459"/>
      <c r="C1291" s="466"/>
      <c r="M1291" s="363"/>
      <c r="N1291" s="314"/>
      <c r="O1291" s="372"/>
      <c r="P1291" s="425"/>
      <c r="Q1291" s="442"/>
      <c r="R1291" s="403" t="str">
        <f>R$1289</f>
        <v>DELETE</v>
      </c>
    </row>
    <row r="1292" spans="2:19" ht="31.5" customHeight="1" x14ac:dyDescent="0.45">
      <c r="B1292" s="459"/>
      <c r="C1292" s="466"/>
      <c r="D1292" s="400" t="s">
        <v>383</v>
      </c>
      <c r="M1292" s="363"/>
      <c r="N1292" s="314"/>
      <c r="O1292" s="373">
        <f>-TrialBalance!L244</f>
        <v>0</v>
      </c>
      <c r="P1292" s="425"/>
      <c r="Q1292" s="442"/>
      <c r="R1292" s="403" t="str">
        <f t="shared" ref="R1292:R1293" si="66">IF(O1292=0,"DELETE"," ")</f>
        <v>DELETE</v>
      </c>
      <c r="S1292" s="380">
        <f>-O1292</f>
        <v>0</v>
      </c>
    </row>
    <row r="1293" spans="2:19" ht="31.5" customHeight="1" x14ac:dyDescent="0.45">
      <c r="B1293" s="459"/>
      <c r="C1293" s="466"/>
      <c r="D1293" s="400" t="s">
        <v>1089</v>
      </c>
      <c r="M1293" s="363"/>
      <c r="N1293" s="314"/>
      <c r="O1293" s="373">
        <f>-TrialBalance!L249</f>
        <v>0</v>
      </c>
      <c r="P1293" s="425"/>
      <c r="Q1293" s="442"/>
      <c r="R1293" s="403" t="str">
        <f t="shared" si="66"/>
        <v>DELETE</v>
      </c>
      <c r="S1293" s="380">
        <f>-O1293</f>
        <v>0</v>
      </c>
    </row>
    <row r="1294" spans="2:19" ht="9" customHeight="1" x14ac:dyDescent="0.45">
      <c r="B1294" s="459"/>
      <c r="C1294" s="466"/>
      <c r="M1294" s="363"/>
      <c r="N1294" s="314"/>
      <c r="O1294" s="374"/>
      <c r="P1294" s="425"/>
      <c r="Q1294" s="442"/>
      <c r="R1294" s="403" t="str">
        <f t="shared" ref="R1294:R1295" si="67">R$1289</f>
        <v>DELETE</v>
      </c>
    </row>
    <row r="1295" spans="2:19" ht="9" customHeight="1" x14ac:dyDescent="0.45">
      <c r="B1295" s="459"/>
      <c r="C1295" s="466"/>
      <c r="M1295" s="363"/>
      <c r="N1295" s="314"/>
      <c r="O1295" s="363"/>
      <c r="P1295" s="425"/>
      <c r="Q1295" s="442"/>
      <c r="R1295" s="403" t="str">
        <f t="shared" si="67"/>
        <v>DELETE</v>
      </c>
    </row>
    <row r="1296" spans="2:19" ht="9" customHeight="1" x14ac:dyDescent="0.45">
      <c r="B1296" s="459"/>
      <c r="C1296" s="466"/>
      <c r="M1296" s="363"/>
      <c r="N1296" s="314"/>
      <c r="O1296" s="349"/>
      <c r="P1296" s="425"/>
      <c r="Q1296" s="442"/>
      <c r="R1296" s="403" t="str">
        <f t="shared" si="63"/>
        <v>DELETE</v>
      </c>
    </row>
    <row r="1297" spans="2:21" ht="9" customHeight="1" x14ac:dyDescent="0.45">
      <c r="B1297" s="459"/>
      <c r="C1297" s="466"/>
      <c r="M1297" s="363"/>
      <c r="N1297" s="314"/>
      <c r="O1297" s="363"/>
      <c r="P1297" s="425"/>
      <c r="Q1297" s="442"/>
      <c r="R1297" s="403" t="str">
        <f t="shared" si="63"/>
        <v>DELETE</v>
      </c>
    </row>
    <row r="1298" spans="2:21" ht="31.5" customHeight="1" x14ac:dyDescent="0.45">
      <c r="B1298" s="459"/>
      <c r="C1298" s="466"/>
      <c r="D1298" s="400" t="s">
        <v>1060</v>
      </c>
      <c r="K1298" s="472"/>
      <c r="M1298" s="363"/>
      <c r="N1298" s="314"/>
      <c r="O1298" s="347">
        <f>SUM(S1271:S1294)</f>
        <v>0</v>
      </c>
      <c r="P1298" s="425"/>
      <c r="Q1298" s="442"/>
      <c r="R1298" s="403" t="str">
        <f t="shared" si="63"/>
        <v>DELETE</v>
      </c>
      <c r="U1298" s="378" t="b">
        <f>O1298=O1302+O1303</f>
        <v>1</v>
      </c>
    </row>
    <row r="1299" spans="2:21" ht="9" customHeight="1" thickBot="1" x14ac:dyDescent="0.5">
      <c r="B1299" s="459"/>
      <c r="C1299" s="466"/>
      <c r="M1299" s="363"/>
      <c r="N1299" s="314"/>
      <c r="O1299" s="351"/>
      <c r="P1299" s="425"/>
      <c r="Q1299" s="442"/>
      <c r="R1299" s="403" t="str">
        <f t="shared" si="63"/>
        <v>DELETE</v>
      </c>
    </row>
    <row r="1300" spans="2:21" ht="9" customHeight="1" thickTop="1" x14ac:dyDescent="0.45">
      <c r="B1300" s="459"/>
      <c r="C1300" s="466"/>
      <c r="M1300" s="363"/>
      <c r="N1300" s="314"/>
      <c r="O1300" s="347"/>
      <c r="P1300" s="425"/>
      <c r="Q1300" s="442"/>
      <c r="R1300" s="403" t="str">
        <f t="shared" si="63"/>
        <v>DELETE</v>
      </c>
    </row>
    <row r="1301" spans="2:21" ht="9" customHeight="1" x14ac:dyDescent="0.45">
      <c r="B1301" s="459"/>
      <c r="C1301" s="466"/>
      <c r="M1301" s="363"/>
      <c r="N1301" s="314"/>
      <c r="O1301" s="372"/>
      <c r="P1301" s="425"/>
      <c r="Q1301" s="442"/>
      <c r="R1301" s="403" t="str">
        <f t="shared" si="63"/>
        <v>DELETE</v>
      </c>
    </row>
    <row r="1302" spans="2:21" ht="31.5" customHeight="1" x14ac:dyDescent="0.45">
      <c r="B1302" s="459"/>
      <c r="C1302" s="466"/>
      <c r="D1302" s="400" t="s">
        <v>383</v>
      </c>
      <c r="M1302" s="363"/>
      <c r="N1302" s="314"/>
      <c r="O1302" s="373">
        <f>SUM(TrialBalance!L240:L244)</f>
        <v>0</v>
      </c>
      <c r="P1302" s="425"/>
      <c r="Q1302" s="442"/>
      <c r="R1302" s="403" t="str">
        <f t="shared" si="63"/>
        <v>DELETE</v>
      </c>
    </row>
    <row r="1303" spans="2:21" ht="31.5" customHeight="1" x14ac:dyDescent="0.45">
      <c r="B1303" s="459"/>
      <c r="C1303" s="466"/>
      <c r="D1303" s="400" t="s">
        <v>1089</v>
      </c>
      <c r="M1303" s="363"/>
      <c r="N1303" s="314"/>
      <c r="O1303" s="373">
        <f>SUM(TrialBalance!L246:L249)</f>
        <v>0</v>
      </c>
      <c r="P1303" s="425"/>
      <c r="Q1303" s="442"/>
      <c r="R1303" s="403" t="str">
        <f t="shared" si="63"/>
        <v>DELETE</v>
      </c>
    </row>
    <row r="1304" spans="2:21" ht="9" customHeight="1" x14ac:dyDescent="0.45">
      <c r="B1304" s="459"/>
      <c r="C1304" s="466"/>
      <c r="M1304" s="363"/>
      <c r="N1304" s="314"/>
      <c r="O1304" s="374"/>
      <c r="P1304" s="425"/>
      <c r="Q1304" s="442"/>
      <c r="R1304" s="403" t="str">
        <f t="shared" si="63"/>
        <v>DELETE</v>
      </c>
    </row>
    <row r="1305" spans="2:21" ht="9" customHeight="1" x14ac:dyDescent="0.45">
      <c r="B1305" s="459"/>
      <c r="C1305" s="466"/>
      <c r="M1305" s="363"/>
      <c r="N1305" s="314"/>
      <c r="O1305" s="347"/>
      <c r="P1305" s="425"/>
      <c r="Q1305" s="442"/>
      <c r="R1305" s="403" t="str">
        <f t="shared" si="63"/>
        <v>DELETE</v>
      </c>
    </row>
    <row r="1306" spans="2:21" ht="31.5" customHeight="1" x14ac:dyDescent="0.45">
      <c r="B1306" s="459"/>
      <c r="M1306" s="424"/>
      <c r="N1306" s="425"/>
      <c r="O1306" s="424"/>
      <c r="P1306" s="425"/>
      <c r="Q1306" s="442"/>
      <c r="R1306" s="403" t="str">
        <f t="shared" si="63"/>
        <v>DELETE</v>
      </c>
    </row>
    <row r="1307" spans="2:21" ht="31.5" customHeight="1" x14ac:dyDescent="0.45">
      <c r="B1307" s="459"/>
      <c r="D1307" s="400" t="str">
        <f>IF(SUM(TrialBalance!L240:L244)=0," ",IF(Criteria!F119="Yes",CONCATENATE("Investment property is pledged as security - See Note ",'FS2'!B1768)," "))</f>
        <v xml:space="preserve"> </v>
      </c>
      <c r="M1307" s="424"/>
      <c r="N1307" s="425"/>
      <c r="O1307" s="424"/>
      <c r="P1307" s="425"/>
      <c r="Q1307" s="442"/>
      <c r="R1307" s="403" t="str">
        <f>IF(R$1268="DELETE","DELETE",IF(D1307=" ","DELETE"," "))</f>
        <v>DELETE</v>
      </c>
    </row>
    <row r="1308" spans="2:21" ht="31.5" customHeight="1" x14ac:dyDescent="0.45">
      <c r="B1308" s="459"/>
      <c r="M1308" s="424"/>
      <c r="N1308" s="425"/>
      <c r="O1308" s="424"/>
      <c r="P1308" s="425"/>
      <c r="Q1308" s="442"/>
      <c r="R1308" s="403" t="str">
        <f t="shared" si="63"/>
        <v>DELETE</v>
      </c>
    </row>
    <row r="1309" spans="2:21" ht="31.5" customHeight="1" x14ac:dyDescent="0.45">
      <c r="B1309" s="459"/>
      <c r="M1309" s="424"/>
      <c r="N1309" s="425"/>
      <c r="O1309" s="424"/>
      <c r="P1309" s="425"/>
      <c r="Q1309" s="442"/>
      <c r="R1309" s="403" t="str">
        <f t="shared" si="63"/>
        <v>DELETE</v>
      </c>
    </row>
    <row r="1310" spans="2:21" ht="31.5" customHeight="1" x14ac:dyDescent="0.45">
      <c r="B1310" s="455"/>
      <c r="C1310" s="429"/>
      <c r="D1310" s="429"/>
      <c r="E1310" s="429"/>
      <c r="F1310" s="429"/>
      <c r="G1310" s="429"/>
      <c r="H1310" s="429"/>
      <c r="I1310" s="429"/>
      <c r="J1310" s="429"/>
      <c r="K1310" s="429"/>
      <c r="L1310" s="429"/>
      <c r="M1310" s="432"/>
      <c r="N1310" s="433"/>
      <c r="O1310" s="432"/>
      <c r="P1310" s="433"/>
      <c r="Q1310" s="446"/>
      <c r="R1310" s="403" t="str">
        <f t="shared" si="63"/>
        <v>DELETE</v>
      </c>
    </row>
    <row r="1311" spans="2:21" ht="31.5" customHeight="1" x14ac:dyDescent="0.45">
      <c r="B1311" s="422"/>
      <c r="R1311" s="403" t="str">
        <f t="shared" si="63"/>
        <v>DELETE</v>
      </c>
    </row>
    <row r="1312" spans="2:21" ht="31.5" customHeight="1" x14ac:dyDescent="0.45">
      <c r="B1312" s="422"/>
      <c r="R1312" s="403" t="str">
        <f t="shared" ref="R1312:R1323" si="68">R$1364</f>
        <v>DELETE</v>
      </c>
    </row>
    <row r="1313" spans="2:18" ht="31.5" customHeight="1" x14ac:dyDescent="0.45">
      <c r="B1313" s="422"/>
      <c r="D1313" s="417" t="str">
        <f>Criteria!E9</f>
        <v>HOLDING COMPANY 268 (PROPRIETARY) LIMITED</v>
      </c>
      <c r="O1313" s="346" t="s">
        <v>96</v>
      </c>
      <c r="Q1313" s="292">
        <f>MAX($Q$114:Q1312)+1</f>
        <v>31</v>
      </c>
      <c r="R1313" s="403" t="str">
        <f t="shared" si="68"/>
        <v>DELETE</v>
      </c>
    </row>
    <row r="1314" spans="2:18" ht="31.5" customHeight="1" x14ac:dyDescent="0.45">
      <c r="B1314" s="422"/>
      <c r="D1314" s="417" t="str">
        <f>Criteria!E10</f>
        <v>CONSOLIDATED FINANCIAL STATEMENTS</v>
      </c>
      <c r="R1314" s="403" t="str">
        <f>IF(R$1364="DELETE","DELETE",IF(D1314=0,"DELETE"," "))</f>
        <v>DELETE</v>
      </c>
    </row>
    <row r="1315" spans="2:18" ht="31.5" customHeight="1" x14ac:dyDescent="0.45">
      <c r="B1315" s="422"/>
      <c r="R1315" s="403" t="str">
        <f t="shared" si="68"/>
        <v>DELETE</v>
      </c>
    </row>
    <row r="1316" spans="2:18" ht="31.5" customHeight="1" x14ac:dyDescent="0.45">
      <c r="B1316" s="422"/>
      <c r="D1316" s="417" t="s">
        <v>377</v>
      </c>
      <c r="R1316" s="403" t="str">
        <f t="shared" si="68"/>
        <v>DELETE</v>
      </c>
    </row>
    <row r="1317" spans="2:18" ht="31.5" customHeight="1" x14ac:dyDescent="0.45">
      <c r="B1317" s="422"/>
      <c r="D1317" s="417" t="str">
        <f>Criteria!E20</f>
        <v>29 FEBRUARY 2024</v>
      </c>
      <c r="J1317" s="400" t="s">
        <v>247</v>
      </c>
      <c r="R1317" s="403" t="str">
        <f t="shared" si="68"/>
        <v>DELETE</v>
      </c>
    </row>
    <row r="1318" spans="2:18" ht="31.5" customHeight="1" x14ac:dyDescent="0.45">
      <c r="B1318" s="422"/>
      <c r="R1318" s="403" t="str">
        <f t="shared" si="68"/>
        <v>DELETE</v>
      </c>
    </row>
    <row r="1319" spans="2:18" ht="31.5" customHeight="1" x14ac:dyDescent="0.45">
      <c r="B1319" s="457"/>
      <c r="C1319" s="439"/>
      <c r="D1319" s="439"/>
      <c r="E1319" s="439"/>
      <c r="F1319" s="439"/>
      <c r="G1319" s="439"/>
      <c r="H1319" s="439"/>
      <c r="I1319" s="439"/>
      <c r="J1319" s="439"/>
      <c r="K1319" s="439"/>
      <c r="L1319" s="439"/>
      <c r="M1319" s="447"/>
      <c r="N1319" s="448"/>
      <c r="O1319" s="447"/>
      <c r="P1319" s="448"/>
      <c r="Q1319" s="440"/>
      <c r="R1319" s="403" t="str">
        <f t="shared" si="68"/>
        <v>DELETE</v>
      </c>
    </row>
    <row r="1320" spans="2:18" ht="31.5" customHeight="1" x14ac:dyDescent="0.45">
      <c r="B1320" s="459"/>
      <c r="M1320" s="424"/>
      <c r="N1320" s="425"/>
      <c r="O1320" s="344">
        <f>Criteria!E22</f>
        <v>2024</v>
      </c>
      <c r="P1320" s="425"/>
      <c r="Q1320" s="442"/>
      <c r="R1320" s="403" t="str">
        <f t="shared" si="68"/>
        <v>DELETE</v>
      </c>
    </row>
    <row r="1321" spans="2:18" ht="31.5" customHeight="1" x14ac:dyDescent="0.45">
      <c r="B1321" s="459"/>
      <c r="M1321" s="424"/>
      <c r="N1321" s="425"/>
      <c r="O1321" s="424"/>
      <c r="P1321" s="425"/>
      <c r="Q1321" s="442"/>
      <c r="R1321" s="403" t="str">
        <f t="shared" si="68"/>
        <v>DELETE</v>
      </c>
    </row>
    <row r="1322" spans="2:18" ht="31.5" customHeight="1" x14ac:dyDescent="0.45">
      <c r="B1322" s="459"/>
      <c r="C1322" s="400" t="s">
        <v>1203</v>
      </c>
      <c r="M1322" s="424"/>
      <c r="N1322" s="425"/>
      <c r="O1322" s="424"/>
      <c r="P1322" s="425"/>
      <c r="Q1322" s="442"/>
      <c r="R1322" s="403" t="str">
        <f t="shared" si="68"/>
        <v>DELETE</v>
      </c>
    </row>
    <row r="1323" spans="2:18" ht="31.5" customHeight="1" x14ac:dyDescent="0.45">
      <c r="B1323" s="459"/>
      <c r="M1323" s="424"/>
      <c r="N1323" s="425"/>
      <c r="O1323" s="424"/>
      <c r="P1323" s="425"/>
      <c r="Q1323" s="442"/>
      <c r="R1323" s="403" t="str">
        <f t="shared" si="68"/>
        <v>DELETE</v>
      </c>
    </row>
    <row r="1324" spans="2:18" ht="31.5" customHeight="1" x14ac:dyDescent="0.45">
      <c r="B1324" s="459"/>
      <c r="D1324" s="400">
        <f>Criteria!C166</f>
        <v>0</v>
      </c>
      <c r="M1324" s="424"/>
      <c r="N1324" s="425"/>
      <c r="O1324" s="436">
        <f>Criteria!F166</f>
        <v>0</v>
      </c>
      <c r="P1324" s="425"/>
      <c r="Q1324" s="442"/>
      <c r="R1324" s="403" t="str">
        <f>IF(O1324=0,"DELETE"," ")</f>
        <v>DELETE</v>
      </c>
    </row>
    <row r="1325" spans="2:18" ht="31.5" customHeight="1" x14ac:dyDescent="0.45">
      <c r="B1325" s="459"/>
      <c r="D1325" s="400">
        <f>Criteria!C167</f>
        <v>0</v>
      </c>
      <c r="M1325" s="424"/>
      <c r="N1325" s="425"/>
      <c r="O1325" s="436">
        <f>Criteria!F167</f>
        <v>0</v>
      </c>
      <c r="P1325" s="425"/>
      <c r="Q1325" s="442"/>
      <c r="R1325" s="403" t="str">
        <f t="shared" ref="R1325:R1361" si="69">IF(O1325=0,"DELETE"," ")</f>
        <v>DELETE</v>
      </c>
    </row>
    <row r="1326" spans="2:18" ht="31.5" customHeight="1" x14ac:dyDescent="0.45">
      <c r="B1326" s="459"/>
      <c r="D1326" s="400">
        <f>Criteria!C168</f>
        <v>0</v>
      </c>
      <c r="M1326" s="424"/>
      <c r="N1326" s="425"/>
      <c r="O1326" s="436">
        <f>Criteria!F168</f>
        <v>0</v>
      </c>
      <c r="P1326" s="425"/>
      <c r="Q1326" s="442"/>
      <c r="R1326" s="403" t="str">
        <f t="shared" si="69"/>
        <v>DELETE</v>
      </c>
    </row>
    <row r="1327" spans="2:18" ht="31.5" customHeight="1" x14ac:dyDescent="0.45">
      <c r="B1327" s="459"/>
      <c r="D1327" s="400">
        <f>Criteria!C169</f>
        <v>0</v>
      </c>
      <c r="M1327" s="424"/>
      <c r="N1327" s="425"/>
      <c r="O1327" s="436">
        <f>Criteria!F169</f>
        <v>0</v>
      </c>
      <c r="P1327" s="425"/>
      <c r="Q1327" s="442"/>
      <c r="R1327" s="403" t="str">
        <f t="shared" si="69"/>
        <v>DELETE</v>
      </c>
    </row>
    <row r="1328" spans="2:18" ht="31.5" customHeight="1" x14ac:dyDescent="0.45">
      <c r="B1328" s="459"/>
      <c r="D1328" s="400">
        <f>Criteria!C170</f>
        <v>0</v>
      </c>
      <c r="M1328" s="424"/>
      <c r="N1328" s="425"/>
      <c r="O1328" s="436">
        <f>Criteria!F170</f>
        <v>0</v>
      </c>
      <c r="P1328" s="425"/>
      <c r="Q1328" s="442"/>
      <c r="R1328" s="403" t="str">
        <f t="shared" si="69"/>
        <v>DELETE</v>
      </c>
    </row>
    <row r="1329" spans="2:18" ht="31.5" customHeight="1" x14ac:dyDescent="0.45">
      <c r="B1329" s="459"/>
      <c r="D1329" s="400">
        <f>Criteria!C171</f>
        <v>0</v>
      </c>
      <c r="M1329" s="424"/>
      <c r="N1329" s="425"/>
      <c r="O1329" s="436">
        <f>Criteria!F171</f>
        <v>0</v>
      </c>
      <c r="P1329" s="425"/>
      <c r="Q1329" s="442"/>
      <c r="R1329" s="403" t="str">
        <f t="shared" si="69"/>
        <v>DELETE</v>
      </c>
    </row>
    <row r="1330" spans="2:18" ht="31.5" customHeight="1" x14ac:dyDescent="0.45">
      <c r="B1330" s="459"/>
      <c r="D1330" s="400">
        <f>Criteria!C172</f>
        <v>0</v>
      </c>
      <c r="M1330" s="424"/>
      <c r="N1330" s="425"/>
      <c r="O1330" s="436">
        <f>Criteria!F172</f>
        <v>0</v>
      </c>
      <c r="P1330" s="425"/>
      <c r="Q1330" s="442"/>
      <c r="R1330" s="403" t="str">
        <f t="shared" si="69"/>
        <v>DELETE</v>
      </c>
    </row>
    <row r="1331" spans="2:18" ht="31.5" customHeight="1" x14ac:dyDescent="0.45">
      <c r="B1331" s="459"/>
      <c r="D1331" s="400">
        <f>Criteria!C173</f>
        <v>0</v>
      </c>
      <c r="M1331" s="424"/>
      <c r="N1331" s="425"/>
      <c r="O1331" s="436">
        <f>Criteria!F173</f>
        <v>0</v>
      </c>
      <c r="P1331" s="425"/>
      <c r="Q1331" s="442"/>
      <c r="R1331" s="403" t="str">
        <f t="shared" si="69"/>
        <v>DELETE</v>
      </c>
    </row>
    <row r="1332" spans="2:18" ht="31.5" customHeight="1" x14ac:dyDescent="0.45">
      <c r="B1332" s="459"/>
      <c r="D1332" s="400">
        <f>Criteria!C174</f>
        <v>0</v>
      </c>
      <c r="M1332" s="424"/>
      <c r="N1332" s="425"/>
      <c r="O1332" s="436">
        <f>Criteria!F174</f>
        <v>0</v>
      </c>
      <c r="P1332" s="425"/>
      <c r="Q1332" s="442"/>
      <c r="R1332" s="403" t="str">
        <f t="shared" si="69"/>
        <v>DELETE</v>
      </c>
    </row>
    <row r="1333" spans="2:18" ht="31.5" customHeight="1" x14ac:dyDescent="0.45">
      <c r="B1333" s="459"/>
      <c r="D1333" s="400">
        <f>Criteria!C175</f>
        <v>0</v>
      </c>
      <c r="M1333" s="424"/>
      <c r="N1333" s="425"/>
      <c r="O1333" s="436">
        <f>Criteria!F175</f>
        <v>0</v>
      </c>
      <c r="P1333" s="425"/>
      <c r="Q1333" s="442"/>
      <c r="R1333" s="403" t="str">
        <f t="shared" si="69"/>
        <v>DELETE</v>
      </c>
    </row>
    <row r="1334" spans="2:18" ht="31.5" customHeight="1" x14ac:dyDescent="0.45">
      <c r="B1334" s="459"/>
      <c r="D1334" s="400">
        <f>Criteria!C176</f>
        <v>0</v>
      </c>
      <c r="M1334" s="424"/>
      <c r="N1334" s="425"/>
      <c r="O1334" s="436">
        <f>Criteria!F176</f>
        <v>0</v>
      </c>
      <c r="P1334" s="425"/>
      <c r="Q1334" s="442"/>
      <c r="R1334" s="403" t="str">
        <f t="shared" si="69"/>
        <v>DELETE</v>
      </c>
    </row>
    <row r="1335" spans="2:18" ht="31.5" customHeight="1" x14ac:dyDescent="0.45">
      <c r="B1335" s="459"/>
      <c r="D1335" s="400">
        <f>Criteria!C177</f>
        <v>0</v>
      </c>
      <c r="M1335" s="424"/>
      <c r="N1335" s="425"/>
      <c r="O1335" s="436">
        <f>Criteria!F177</f>
        <v>0</v>
      </c>
      <c r="P1335" s="425"/>
      <c r="Q1335" s="442"/>
      <c r="R1335" s="403" t="str">
        <f t="shared" si="69"/>
        <v>DELETE</v>
      </c>
    </row>
    <row r="1336" spans="2:18" ht="31.5" customHeight="1" x14ac:dyDescent="0.45">
      <c r="B1336" s="459"/>
      <c r="D1336" s="400">
        <f>Criteria!C178</f>
        <v>0</v>
      </c>
      <c r="M1336" s="424"/>
      <c r="N1336" s="425"/>
      <c r="O1336" s="436">
        <f>Criteria!F178</f>
        <v>0</v>
      </c>
      <c r="P1336" s="425"/>
      <c r="Q1336" s="442"/>
      <c r="R1336" s="403" t="str">
        <f t="shared" si="69"/>
        <v>DELETE</v>
      </c>
    </row>
    <row r="1337" spans="2:18" ht="31.5" customHeight="1" x14ac:dyDescent="0.45">
      <c r="B1337" s="459"/>
      <c r="D1337" s="400">
        <f>Criteria!C179</f>
        <v>0</v>
      </c>
      <c r="M1337" s="424"/>
      <c r="N1337" s="425"/>
      <c r="O1337" s="436">
        <f>Criteria!F179</f>
        <v>0</v>
      </c>
      <c r="P1337" s="425"/>
      <c r="Q1337" s="442"/>
      <c r="R1337" s="403" t="str">
        <f t="shared" si="69"/>
        <v>DELETE</v>
      </c>
    </row>
    <row r="1338" spans="2:18" ht="31.5" customHeight="1" x14ac:dyDescent="0.45">
      <c r="B1338" s="459"/>
      <c r="D1338" s="400">
        <f>Criteria!C180</f>
        <v>0</v>
      </c>
      <c r="M1338" s="424"/>
      <c r="N1338" s="425"/>
      <c r="O1338" s="436">
        <f>Criteria!F180</f>
        <v>0</v>
      </c>
      <c r="P1338" s="425"/>
      <c r="Q1338" s="442"/>
      <c r="R1338" s="403" t="str">
        <f t="shared" si="69"/>
        <v>DELETE</v>
      </c>
    </row>
    <row r="1339" spans="2:18" ht="31.5" customHeight="1" x14ac:dyDescent="0.45">
      <c r="B1339" s="459"/>
      <c r="D1339" s="400">
        <f>Criteria!C181</f>
        <v>0</v>
      </c>
      <c r="M1339" s="424"/>
      <c r="N1339" s="425"/>
      <c r="O1339" s="436">
        <f>Criteria!F181</f>
        <v>0</v>
      </c>
      <c r="P1339" s="425"/>
      <c r="Q1339" s="442"/>
      <c r="R1339" s="403" t="str">
        <f t="shared" si="69"/>
        <v>DELETE</v>
      </c>
    </row>
    <row r="1340" spans="2:18" ht="31.5" customHeight="1" x14ac:dyDescent="0.45">
      <c r="B1340" s="459"/>
      <c r="D1340" s="400">
        <f>Criteria!C182</f>
        <v>0</v>
      </c>
      <c r="M1340" s="424"/>
      <c r="N1340" s="425"/>
      <c r="O1340" s="436">
        <f>Criteria!F182</f>
        <v>0</v>
      </c>
      <c r="P1340" s="425"/>
      <c r="Q1340" s="442"/>
      <c r="R1340" s="403" t="str">
        <f t="shared" si="69"/>
        <v>DELETE</v>
      </c>
    </row>
    <row r="1341" spans="2:18" ht="31.5" customHeight="1" x14ac:dyDescent="0.45">
      <c r="B1341" s="459"/>
      <c r="D1341" s="400">
        <f>Criteria!C183</f>
        <v>0</v>
      </c>
      <c r="M1341" s="424"/>
      <c r="N1341" s="425"/>
      <c r="O1341" s="436">
        <f>Criteria!F183</f>
        <v>0</v>
      </c>
      <c r="P1341" s="425"/>
      <c r="Q1341" s="442"/>
      <c r="R1341" s="403" t="str">
        <f t="shared" si="69"/>
        <v>DELETE</v>
      </c>
    </row>
    <row r="1342" spans="2:18" ht="31.5" customHeight="1" x14ac:dyDescent="0.45">
      <c r="B1342" s="459"/>
      <c r="D1342" s="400">
        <f>Criteria!C184</f>
        <v>0</v>
      </c>
      <c r="M1342" s="424"/>
      <c r="N1342" s="425"/>
      <c r="O1342" s="436">
        <f>Criteria!F184</f>
        <v>0</v>
      </c>
      <c r="P1342" s="425"/>
      <c r="Q1342" s="442"/>
      <c r="R1342" s="403" t="str">
        <f t="shared" si="69"/>
        <v>DELETE</v>
      </c>
    </row>
    <row r="1343" spans="2:18" ht="31.5" customHeight="1" x14ac:dyDescent="0.45">
      <c r="B1343" s="459"/>
      <c r="D1343" s="400">
        <f>Criteria!C185</f>
        <v>0</v>
      </c>
      <c r="M1343" s="424"/>
      <c r="N1343" s="425"/>
      <c r="O1343" s="436">
        <f>Criteria!F185</f>
        <v>0</v>
      </c>
      <c r="P1343" s="425"/>
      <c r="Q1343" s="442"/>
      <c r="R1343" s="403" t="str">
        <f t="shared" si="69"/>
        <v>DELETE</v>
      </c>
    </row>
    <row r="1344" spans="2:18" ht="31.5" customHeight="1" x14ac:dyDescent="0.45">
      <c r="B1344" s="459"/>
      <c r="D1344" s="400">
        <f>Criteria!C186</f>
        <v>0</v>
      </c>
      <c r="M1344" s="424"/>
      <c r="N1344" s="425"/>
      <c r="O1344" s="436">
        <f>Criteria!F186</f>
        <v>0</v>
      </c>
      <c r="P1344" s="425"/>
      <c r="Q1344" s="442"/>
      <c r="R1344" s="403" t="str">
        <f t="shared" si="69"/>
        <v>DELETE</v>
      </c>
    </row>
    <row r="1345" spans="2:18" ht="31.5" customHeight="1" x14ac:dyDescent="0.45">
      <c r="B1345" s="459"/>
      <c r="D1345" s="400">
        <f>Criteria!C187</f>
        <v>0</v>
      </c>
      <c r="M1345" s="424"/>
      <c r="N1345" s="425"/>
      <c r="O1345" s="436">
        <f>Criteria!F187</f>
        <v>0</v>
      </c>
      <c r="P1345" s="425"/>
      <c r="Q1345" s="442"/>
      <c r="R1345" s="403" t="str">
        <f t="shared" si="69"/>
        <v>DELETE</v>
      </c>
    </row>
    <row r="1346" spans="2:18" ht="31.5" customHeight="1" x14ac:dyDescent="0.45">
      <c r="B1346" s="459"/>
      <c r="D1346" s="400">
        <f>Criteria!C188</f>
        <v>0</v>
      </c>
      <c r="M1346" s="424"/>
      <c r="N1346" s="425"/>
      <c r="O1346" s="436">
        <f>Criteria!F188</f>
        <v>0</v>
      </c>
      <c r="P1346" s="425"/>
      <c r="Q1346" s="442"/>
      <c r="R1346" s="403" t="str">
        <f t="shared" si="69"/>
        <v>DELETE</v>
      </c>
    </row>
    <row r="1347" spans="2:18" ht="31.5" customHeight="1" x14ac:dyDescent="0.45">
      <c r="B1347" s="459"/>
      <c r="D1347" s="400">
        <f>Criteria!C189</f>
        <v>0</v>
      </c>
      <c r="M1347" s="424"/>
      <c r="N1347" s="425"/>
      <c r="O1347" s="436">
        <f>Criteria!F189</f>
        <v>0</v>
      </c>
      <c r="P1347" s="425"/>
      <c r="Q1347" s="442"/>
      <c r="R1347" s="403" t="str">
        <f t="shared" si="69"/>
        <v>DELETE</v>
      </c>
    </row>
    <row r="1348" spans="2:18" ht="31.5" customHeight="1" x14ac:dyDescent="0.45">
      <c r="B1348" s="459"/>
      <c r="D1348" s="400">
        <f>Criteria!C190</f>
        <v>0</v>
      </c>
      <c r="M1348" s="424"/>
      <c r="N1348" s="425"/>
      <c r="O1348" s="436">
        <f>Criteria!F190</f>
        <v>0</v>
      </c>
      <c r="P1348" s="425"/>
      <c r="Q1348" s="442"/>
      <c r="R1348" s="403" t="str">
        <f t="shared" si="69"/>
        <v>DELETE</v>
      </c>
    </row>
    <row r="1349" spans="2:18" ht="31.5" customHeight="1" x14ac:dyDescent="0.45">
      <c r="B1349" s="459"/>
      <c r="D1349" s="400">
        <f>Criteria!C191</f>
        <v>0</v>
      </c>
      <c r="M1349" s="424"/>
      <c r="N1349" s="425"/>
      <c r="O1349" s="436">
        <f>Criteria!F191</f>
        <v>0</v>
      </c>
      <c r="P1349" s="425"/>
      <c r="Q1349" s="442"/>
      <c r="R1349" s="403" t="str">
        <f t="shared" si="69"/>
        <v>DELETE</v>
      </c>
    </row>
    <row r="1350" spans="2:18" ht="31.5" customHeight="1" x14ac:dyDescent="0.45">
      <c r="B1350" s="459"/>
      <c r="D1350" s="400">
        <f>Criteria!C192</f>
        <v>0</v>
      </c>
      <c r="M1350" s="424"/>
      <c r="N1350" s="425"/>
      <c r="O1350" s="436">
        <f>Criteria!F192</f>
        <v>0</v>
      </c>
      <c r="P1350" s="425"/>
      <c r="Q1350" s="442"/>
      <c r="R1350" s="403" t="str">
        <f t="shared" si="69"/>
        <v>DELETE</v>
      </c>
    </row>
    <row r="1351" spans="2:18" ht="31.5" customHeight="1" x14ac:dyDescent="0.45">
      <c r="B1351" s="459"/>
      <c r="D1351" s="400">
        <f>Criteria!C193</f>
        <v>0</v>
      </c>
      <c r="M1351" s="424"/>
      <c r="N1351" s="425"/>
      <c r="O1351" s="436">
        <f>Criteria!F193</f>
        <v>0</v>
      </c>
      <c r="P1351" s="425"/>
      <c r="Q1351" s="442"/>
      <c r="R1351" s="403" t="str">
        <f t="shared" si="69"/>
        <v>DELETE</v>
      </c>
    </row>
    <row r="1352" spans="2:18" ht="31.5" customHeight="1" x14ac:dyDescent="0.45">
      <c r="B1352" s="459"/>
      <c r="D1352" s="400">
        <f>Criteria!C194</f>
        <v>0</v>
      </c>
      <c r="M1352" s="424"/>
      <c r="N1352" s="425"/>
      <c r="O1352" s="436">
        <f>Criteria!F194</f>
        <v>0</v>
      </c>
      <c r="P1352" s="425"/>
      <c r="Q1352" s="442"/>
      <c r="R1352" s="403" t="str">
        <f t="shared" si="69"/>
        <v>DELETE</v>
      </c>
    </row>
    <row r="1353" spans="2:18" ht="31.5" customHeight="1" x14ac:dyDescent="0.45">
      <c r="B1353" s="459"/>
      <c r="D1353" s="400">
        <f>Criteria!C195</f>
        <v>0</v>
      </c>
      <c r="M1353" s="424"/>
      <c r="N1353" s="425"/>
      <c r="O1353" s="436">
        <f>Criteria!F195</f>
        <v>0</v>
      </c>
      <c r="P1353" s="425"/>
      <c r="Q1353" s="442"/>
      <c r="R1353" s="403" t="str">
        <f t="shared" si="69"/>
        <v>DELETE</v>
      </c>
    </row>
    <row r="1354" spans="2:18" ht="31.5" customHeight="1" x14ac:dyDescent="0.45">
      <c r="B1354" s="459"/>
      <c r="D1354" s="400">
        <f>Criteria!C196</f>
        <v>0</v>
      </c>
      <c r="M1354" s="424"/>
      <c r="N1354" s="425"/>
      <c r="O1354" s="436">
        <f>Criteria!F196</f>
        <v>0</v>
      </c>
      <c r="P1354" s="425"/>
      <c r="Q1354" s="442"/>
      <c r="R1354" s="403" t="str">
        <f t="shared" si="69"/>
        <v>DELETE</v>
      </c>
    </row>
    <row r="1355" spans="2:18" ht="31.5" customHeight="1" x14ac:dyDescent="0.45">
      <c r="B1355" s="459"/>
      <c r="D1355" s="400">
        <f>Criteria!C197</f>
        <v>0</v>
      </c>
      <c r="M1355" s="424"/>
      <c r="N1355" s="425"/>
      <c r="O1355" s="436">
        <f>Criteria!F197</f>
        <v>0</v>
      </c>
      <c r="P1355" s="425"/>
      <c r="Q1355" s="442"/>
      <c r="R1355" s="403" t="str">
        <f t="shared" si="69"/>
        <v>DELETE</v>
      </c>
    </row>
    <row r="1356" spans="2:18" ht="31.5" customHeight="1" x14ac:dyDescent="0.45">
      <c r="B1356" s="459"/>
      <c r="D1356" s="400">
        <f>Criteria!C198</f>
        <v>0</v>
      </c>
      <c r="M1356" s="424"/>
      <c r="N1356" s="425"/>
      <c r="O1356" s="436">
        <f>Criteria!F198</f>
        <v>0</v>
      </c>
      <c r="P1356" s="425"/>
      <c r="Q1356" s="442"/>
      <c r="R1356" s="403" t="str">
        <f t="shared" si="69"/>
        <v>DELETE</v>
      </c>
    </row>
    <row r="1357" spans="2:18" ht="31.5" customHeight="1" x14ac:dyDescent="0.45">
      <c r="B1357" s="459"/>
      <c r="D1357" s="400">
        <f>Criteria!C199</f>
        <v>0</v>
      </c>
      <c r="M1357" s="424"/>
      <c r="N1357" s="425"/>
      <c r="O1357" s="436">
        <f>Criteria!F199</f>
        <v>0</v>
      </c>
      <c r="P1357" s="425"/>
      <c r="Q1357" s="442"/>
      <c r="R1357" s="403" t="str">
        <f t="shared" si="69"/>
        <v>DELETE</v>
      </c>
    </row>
    <row r="1358" spans="2:18" ht="31.5" customHeight="1" x14ac:dyDescent="0.45">
      <c r="B1358" s="459"/>
      <c r="D1358" s="400">
        <f>Criteria!C200</f>
        <v>0</v>
      </c>
      <c r="M1358" s="424"/>
      <c r="N1358" s="425"/>
      <c r="O1358" s="436">
        <f>Criteria!F200</f>
        <v>0</v>
      </c>
      <c r="P1358" s="425"/>
      <c r="Q1358" s="442"/>
      <c r="R1358" s="403" t="str">
        <f t="shared" si="69"/>
        <v>DELETE</v>
      </c>
    </row>
    <row r="1359" spans="2:18" ht="31.5" customHeight="1" x14ac:dyDescent="0.45">
      <c r="B1359" s="459"/>
      <c r="D1359" s="400">
        <f>Criteria!C201</f>
        <v>0</v>
      </c>
      <c r="M1359" s="424"/>
      <c r="N1359" s="425"/>
      <c r="O1359" s="436">
        <f>Criteria!F201</f>
        <v>0</v>
      </c>
      <c r="P1359" s="425"/>
      <c r="Q1359" s="442"/>
      <c r="R1359" s="403" t="str">
        <f t="shared" si="69"/>
        <v>DELETE</v>
      </c>
    </row>
    <row r="1360" spans="2:18" ht="31.5" customHeight="1" x14ac:dyDescent="0.45">
      <c r="B1360" s="459"/>
      <c r="D1360" s="400">
        <f>Criteria!C202</f>
        <v>0</v>
      </c>
      <c r="M1360" s="424"/>
      <c r="N1360" s="425"/>
      <c r="O1360" s="436">
        <f>Criteria!F202</f>
        <v>0</v>
      </c>
      <c r="P1360" s="425"/>
      <c r="Q1360" s="442"/>
      <c r="R1360" s="403" t="str">
        <f t="shared" si="69"/>
        <v>DELETE</v>
      </c>
    </row>
    <row r="1361" spans="2:21" ht="31.5" customHeight="1" x14ac:dyDescent="0.45">
      <c r="B1361" s="459"/>
      <c r="D1361" s="400">
        <f>Criteria!C203</f>
        <v>0</v>
      </c>
      <c r="M1361" s="424"/>
      <c r="N1361" s="425"/>
      <c r="O1361" s="436">
        <f>Criteria!F203</f>
        <v>0</v>
      </c>
      <c r="P1361" s="425"/>
      <c r="Q1361" s="442"/>
      <c r="R1361" s="403" t="str">
        <f t="shared" si="69"/>
        <v>DELETE</v>
      </c>
    </row>
    <row r="1362" spans="2:21" ht="9" customHeight="1" x14ac:dyDescent="0.45">
      <c r="B1362" s="459"/>
      <c r="M1362" s="424"/>
      <c r="N1362" s="425"/>
      <c r="O1362" s="432"/>
      <c r="P1362" s="425"/>
      <c r="Q1362" s="442"/>
      <c r="R1362" s="403" t="str">
        <f>R$1364</f>
        <v>DELETE</v>
      </c>
    </row>
    <row r="1363" spans="2:21" ht="9" customHeight="1" x14ac:dyDescent="0.45">
      <c r="B1363" s="459"/>
      <c r="M1363" s="424"/>
      <c r="N1363" s="425"/>
      <c r="O1363" s="424"/>
      <c r="P1363" s="425"/>
      <c r="Q1363" s="442"/>
      <c r="R1363" s="403" t="str">
        <f>R$1364</f>
        <v>DELETE</v>
      </c>
    </row>
    <row r="1364" spans="2:21" ht="31.5" customHeight="1" x14ac:dyDescent="0.45">
      <c r="B1364" s="459"/>
      <c r="M1364" s="424"/>
      <c r="N1364" s="425"/>
      <c r="O1364" s="436">
        <f>SUM(O1324:O1362)</f>
        <v>0</v>
      </c>
      <c r="P1364" s="425"/>
      <c r="Q1364" s="442"/>
      <c r="R1364" s="403" t="str">
        <f t="shared" ref="R1364" si="70">IF(O1364=0,"DELETE"," ")</f>
        <v>DELETE</v>
      </c>
      <c r="U1364" s="378" t="b">
        <f>O1364=O1298</f>
        <v>1</v>
      </c>
    </row>
    <row r="1365" spans="2:21" ht="9" customHeight="1" thickBot="1" x14ac:dyDescent="0.5">
      <c r="B1365" s="459"/>
      <c r="M1365" s="424"/>
      <c r="N1365" s="425"/>
      <c r="O1365" s="502"/>
      <c r="P1365" s="425"/>
      <c r="Q1365" s="442"/>
      <c r="R1365" s="403" t="str">
        <f t="shared" ref="R1365:R1369" si="71">R$1364</f>
        <v>DELETE</v>
      </c>
    </row>
    <row r="1366" spans="2:21" ht="9" customHeight="1" thickTop="1" x14ac:dyDescent="0.45">
      <c r="B1366" s="459"/>
      <c r="M1366" s="424"/>
      <c r="N1366" s="425"/>
      <c r="O1366" s="424"/>
      <c r="P1366" s="425"/>
      <c r="Q1366" s="442"/>
      <c r="R1366" s="403" t="str">
        <f t="shared" si="71"/>
        <v>DELETE</v>
      </c>
    </row>
    <row r="1367" spans="2:21" ht="31.5" customHeight="1" x14ac:dyDescent="0.45">
      <c r="B1367" s="459"/>
      <c r="M1367" s="424"/>
      <c r="N1367" s="425"/>
      <c r="O1367" s="424"/>
      <c r="P1367" s="425"/>
      <c r="Q1367" s="442"/>
      <c r="R1367" s="403" t="str">
        <f t="shared" si="71"/>
        <v>DELETE</v>
      </c>
    </row>
    <row r="1368" spans="2:21" ht="31.5" customHeight="1" x14ac:dyDescent="0.45">
      <c r="B1368" s="455"/>
      <c r="C1368" s="429"/>
      <c r="D1368" s="429"/>
      <c r="E1368" s="429"/>
      <c r="F1368" s="429"/>
      <c r="G1368" s="429"/>
      <c r="H1368" s="429"/>
      <c r="I1368" s="429"/>
      <c r="J1368" s="429"/>
      <c r="K1368" s="429"/>
      <c r="L1368" s="429"/>
      <c r="M1368" s="432"/>
      <c r="N1368" s="433"/>
      <c r="O1368" s="432"/>
      <c r="P1368" s="433"/>
      <c r="Q1368" s="446"/>
      <c r="R1368" s="403" t="str">
        <f t="shared" si="71"/>
        <v>DELETE</v>
      </c>
    </row>
    <row r="1369" spans="2:21" ht="31.5" customHeight="1" x14ac:dyDescent="0.45">
      <c r="B1369" s="422"/>
      <c r="R1369" s="403" t="str">
        <f t="shared" si="71"/>
        <v>DELETE</v>
      </c>
    </row>
    <row r="1370" spans="2:21" ht="31.5" customHeight="1" x14ac:dyDescent="0.45">
      <c r="B1370" s="422"/>
      <c r="R1370" s="403" t="str">
        <f t="shared" ref="R1370:R1378" si="72">R$1380</f>
        <v>DELETE</v>
      </c>
    </row>
    <row r="1371" spans="2:21" ht="31.5" customHeight="1" x14ac:dyDescent="0.45">
      <c r="B1371" s="422"/>
      <c r="D1371" s="417" t="str">
        <f>Criteria!E9</f>
        <v>HOLDING COMPANY 268 (PROPRIETARY) LIMITED</v>
      </c>
      <c r="O1371" s="346" t="s">
        <v>96</v>
      </c>
      <c r="Q1371" s="292">
        <f>MAX($Q$114:Q1370)+1</f>
        <v>32</v>
      </c>
      <c r="R1371" s="403" t="str">
        <f t="shared" si="72"/>
        <v>DELETE</v>
      </c>
    </row>
    <row r="1372" spans="2:21" ht="31.5" customHeight="1" x14ac:dyDescent="0.45">
      <c r="B1372" s="422"/>
      <c r="D1372" s="417" t="str">
        <f>Criteria!E10</f>
        <v>CONSOLIDATED FINANCIAL STATEMENTS</v>
      </c>
      <c r="R1372" s="403" t="str">
        <f>IF(R$1380="DELETE","DELETE",IF(D1372=0,"DELETE"," "))</f>
        <v>DELETE</v>
      </c>
    </row>
    <row r="1373" spans="2:21" ht="31.5" customHeight="1" x14ac:dyDescent="0.45">
      <c r="B1373" s="422"/>
      <c r="R1373" s="403" t="str">
        <f t="shared" si="72"/>
        <v>DELETE</v>
      </c>
    </row>
    <row r="1374" spans="2:21" ht="31.5" customHeight="1" x14ac:dyDescent="0.45">
      <c r="B1374" s="422"/>
      <c r="D1374" s="417" t="s">
        <v>377</v>
      </c>
      <c r="R1374" s="403" t="str">
        <f t="shared" si="72"/>
        <v>DELETE</v>
      </c>
    </row>
    <row r="1375" spans="2:21" ht="31.5" customHeight="1" x14ac:dyDescent="0.45">
      <c r="B1375" s="422"/>
      <c r="D1375" s="417" t="str">
        <f>Criteria!E20</f>
        <v>29 FEBRUARY 2024</v>
      </c>
      <c r="J1375" s="400" t="s">
        <v>247</v>
      </c>
      <c r="R1375" s="403" t="str">
        <f t="shared" si="72"/>
        <v>DELETE</v>
      </c>
    </row>
    <row r="1376" spans="2:21" ht="31.5" customHeight="1" x14ac:dyDescent="0.45">
      <c r="B1376" s="422"/>
      <c r="R1376" s="403" t="str">
        <f t="shared" si="72"/>
        <v>DELETE</v>
      </c>
    </row>
    <row r="1377" spans="2:19" ht="31.5" customHeight="1" x14ac:dyDescent="0.45">
      <c r="B1377" s="457"/>
      <c r="C1377" s="439"/>
      <c r="D1377" s="439"/>
      <c r="E1377" s="439"/>
      <c r="F1377" s="439"/>
      <c r="G1377" s="439"/>
      <c r="H1377" s="439"/>
      <c r="I1377" s="439"/>
      <c r="J1377" s="439"/>
      <c r="K1377" s="439"/>
      <c r="L1377" s="439"/>
      <c r="M1377" s="447"/>
      <c r="N1377" s="448"/>
      <c r="O1377" s="447"/>
      <c r="P1377" s="448"/>
      <c r="Q1377" s="440"/>
      <c r="R1377" s="403" t="str">
        <f t="shared" si="72"/>
        <v>DELETE</v>
      </c>
    </row>
    <row r="1378" spans="2:19" ht="31.5" customHeight="1" x14ac:dyDescent="0.45">
      <c r="B1378" s="323"/>
      <c r="C1378" s="417"/>
      <c r="L1378" s="405"/>
      <c r="M1378" s="421"/>
      <c r="N1378" s="400"/>
      <c r="O1378" s="504">
        <f>Criteria!E22</f>
        <v>2024</v>
      </c>
      <c r="P1378" s="425"/>
      <c r="Q1378" s="442"/>
      <c r="R1378" s="403" t="str">
        <f t="shared" si="72"/>
        <v>DELETE</v>
      </c>
    </row>
    <row r="1379" spans="2:19" ht="31.5" customHeight="1" x14ac:dyDescent="0.45">
      <c r="B1379" s="323"/>
      <c r="C1379" s="417"/>
      <c r="L1379" s="405"/>
      <c r="M1379" s="421"/>
      <c r="N1379" s="400"/>
      <c r="O1379" s="504"/>
      <c r="P1379" s="425"/>
      <c r="Q1379" s="442"/>
      <c r="R1379" s="403" t="str">
        <f>R$1380</f>
        <v>DELETE</v>
      </c>
    </row>
    <row r="1380" spans="2:19" ht="31.5" customHeight="1" x14ac:dyDescent="0.45">
      <c r="B1380" s="323">
        <f>MAX(B$559:B1379)+1</f>
        <v>11</v>
      </c>
      <c r="C1380" s="417" t="s">
        <v>45</v>
      </c>
      <c r="L1380" s="405"/>
      <c r="M1380" s="405"/>
      <c r="N1380" s="400"/>
      <c r="O1380" s="424"/>
      <c r="P1380" s="425"/>
      <c r="Q1380" s="442"/>
      <c r="R1380" s="403" t="str">
        <f>IF(O1445=0,"DELETE"," ")</f>
        <v>DELETE</v>
      </c>
    </row>
    <row r="1381" spans="2:19" ht="31.5" hidden="1" customHeight="1" x14ac:dyDescent="0.45">
      <c r="B1381" s="323"/>
      <c r="C1381" s="400">
        <f>B1380</f>
        <v>11</v>
      </c>
      <c r="L1381" s="405"/>
      <c r="M1381" s="405"/>
      <c r="N1381" s="400"/>
      <c r="O1381" s="424"/>
      <c r="P1381" s="425"/>
      <c r="Q1381" s="442"/>
      <c r="R1381" s="403" t="str">
        <f>IF(O1445=0,"DELETE"," ")</f>
        <v>DELETE</v>
      </c>
    </row>
    <row r="1382" spans="2:19" ht="31.5" customHeight="1" x14ac:dyDescent="0.45">
      <c r="B1382" s="323"/>
      <c r="C1382" s="466">
        <f>MAX(C1380:C1381)+0.1</f>
        <v>11.1</v>
      </c>
      <c r="D1382" s="400" t="s">
        <v>1054</v>
      </c>
      <c r="L1382" s="405"/>
      <c r="M1382" s="405"/>
      <c r="N1382" s="400"/>
      <c r="O1382" s="424"/>
      <c r="P1382" s="425"/>
      <c r="Q1382" s="442"/>
      <c r="R1382" s="403" t="str">
        <f>IF(O1396=0,"DELETE"," ")</f>
        <v>DELETE</v>
      </c>
    </row>
    <row r="1383" spans="2:19" ht="31.5" customHeight="1" x14ac:dyDescent="0.45">
      <c r="B1383" s="323"/>
      <c r="C1383" s="463"/>
      <c r="D1383" s="400" t="s">
        <v>1055</v>
      </c>
      <c r="H1383" s="405"/>
      <c r="L1383" s="405"/>
      <c r="M1383" s="405"/>
      <c r="N1383" s="400"/>
      <c r="O1383" s="436">
        <f>SUM(S1386:S1388)</f>
        <v>0</v>
      </c>
      <c r="P1383" s="425"/>
      <c r="Q1383" s="442"/>
      <c r="R1383" s="403" t="str">
        <f>R$1382</f>
        <v>DELETE</v>
      </c>
    </row>
    <row r="1384" spans="2:19" ht="9" customHeight="1" x14ac:dyDescent="0.45">
      <c r="B1384" s="323"/>
      <c r="C1384" s="463"/>
      <c r="L1384" s="405"/>
      <c r="M1384" s="405"/>
      <c r="N1384" s="400"/>
      <c r="O1384" s="436"/>
      <c r="P1384" s="425"/>
      <c r="Q1384" s="442"/>
      <c r="R1384" s="403" t="str">
        <f t="shared" ref="R1384:R1404" si="73">R$1382</f>
        <v>DELETE</v>
      </c>
    </row>
    <row r="1385" spans="2:19" ht="9" customHeight="1" x14ac:dyDescent="0.45">
      <c r="B1385" s="323"/>
      <c r="C1385" s="463"/>
      <c r="L1385" s="405"/>
      <c r="M1385" s="405"/>
      <c r="N1385" s="400"/>
      <c r="O1385" s="488"/>
      <c r="P1385" s="425"/>
      <c r="Q1385" s="442"/>
      <c r="R1385" s="403" t="str">
        <f t="shared" si="73"/>
        <v>DELETE</v>
      </c>
    </row>
    <row r="1386" spans="2:19" ht="31.5" customHeight="1" x14ac:dyDescent="0.45">
      <c r="B1386" s="323"/>
      <c r="C1386" s="463"/>
      <c r="D1386" s="400" t="s">
        <v>383</v>
      </c>
      <c r="L1386" s="405"/>
      <c r="M1386" s="405"/>
      <c r="N1386" s="400"/>
      <c r="O1386" s="489">
        <f>TrialBalance!L284</f>
        <v>0</v>
      </c>
      <c r="P1386" s="425"/>
      <c r="Q1386" s="442"/>
      <c r="R1386" s="403" t="str">
        <f t="shared" si="73"/>
        <v>DELETE</v>
      </c>
      <c r="S1386" s="380">
        <f>O1386</f>
        <v>0</v>
      </c>
    </row>
    <row r="1387" spans="2:19" ht="31.5" customHeight="1" x14ac:dyDescent="0.45">
      <c r="B1387" s="323"/>
      <c r="C1387" s="463"/>
      <c r="D1387" s="400" t="s">
        <v>1056</v>
      </c>
      <c r="L1387" s="405"/>
      <c r="M1387" s="405"/>
      <c r="N1387" s="400"/>
      <c r="O1387" s="489">
        <f>-TrialBalance!L287</f>
        <v>0</v>
      </c>
      <c r="P1387" s="425"/>
      <c r="Q1387" s="442"/>
      <c r="R1387" s="403" t="str">
        <f t="shared" si="73"/>
        <v>DELETE</v>
      </c>
      <c r="S1387" s="380">
        <f>-O1387</f>
        <v>0</v>
      </c>
    </row>
    <row r="1388" spans="2:19" ht="31.5" customHeight="1" x14ac:dyDescent="0.45">
      <c r="B1388" s="323"/>
      <c r="C1388" s="463"/>
      <c r="D1388" s="400" t="s">
        <v>1057</v>
      </c>
      <c r="L1388" s="405"/>
      <c r="M1388" s="405"/>
      <c r="N1388" s="400"/>
      <c r="O1388" s="489">
        <f>-TrialBalance!L290</f>
        <v>0</v>
      </c>
      <c r="P1388" s="425"/>
      <c r="Q1388" s="442"/>
      <c r="R1388" s="403" t="str">
        <f>IF(O1388=0,"DELETE"," ")</f>
        <v>DELETE</v>
      </c>
      <c r="S1388" s="380">
        <f>-O1388</f>
        <v>0</v>
      </c>
    </row>
    <row r="1389" spans="2:19" ht="9" customHeight="1" x14ac:dyDescent="0.45">
      <c r="B1389" s="323"/>
      <c r="C1389" s="463"/>
      <c r="L1389" s="405"/>
      <c r="M1389" s="405"/>
      <c r="N1389" s="400"/>
      <c r="O1389" s="490"/>
      <c r="P1389" s="425"/>
      <c r="Q1389" s="442"/>
      <c r="R1389" s="403" t="str">
        <f t="shared" si="73"/>
        <v>DELETE</v>
      </c>
      <c r="S1389" s="380"/>
    </row>
    <row r="1390" spans="2:19" ht="9" customHeight="1" x14ac:dyDescent="0.45">
      <c r="B1390" s="323"/>
      <c r="C1390" s="463"/>
      <c r="L1390" s="405"/>
      <c r="M1390" s="405"/>
      <c r="N1390" s="400"/>
      <c r="O1390" s="436"/>
      <c r="P1390" s="425"/>
      <c r="Q1390" s="442"/>
      <c r="R1390" s="403" t="str">
        <f t="shared" si="73"/>
        <v>DELETE</v>
      </c>
      <c r="S1390" s="380"/>
    </row>
    <row r="1391" spans="2:19" ht="31.5" customHeight="1" x14ac:dyDescent="0.45">
      <c r="B1391" s="323"/>
      <c r="C1391" s="463"/>
      <c r="D1391" s="400" t="s">
        <v>379</v>
      </c>
      <c r="L1391" s="405"/>
      <c r="M1391" s="405"/>
      <c r="N1391" s="400"/>
      <c r="O1391" s="436">
        <f>TrialBalance!L285</f>
        <v>0</v>
      </c>
      <c r="P1391" s="425"/>
      <c r="Q1391" s="442"/>
      <c r="R1391" s="403" t="str">
        <f>IF(O1391=0,"DELETE"," ")</f>
        <v>DELETE</v>
      </c>
      <c r="S1391" s="380"/>
    </row>
    <row r="1392" spans="2:19" ht="31.5" customHeight="1" x14ac:dyDescent="0.45">
      <c r="B1392" s="323"/>
      <c r="C1392" s="463"/>
      <c r="D1392" s="400" t="s">
        <v>1058</v>
      </c>
      <c r="L1392" s="405"/>
      <c r="M1392" s="405"/>
      <c r="N1392" s="400"/>
      <c r="O1392" s="436">
        <f>TrialBalance!L288</f>
        <v>0</v>
      </c>
      <c r="P1392" s="425"/>
      <c r="Q1392" s="442"/>
      <c r="R1392" s="403" t="str">
        <f t="shared" si="73"/>
        <v>DELETE</v>
      </c>
      <c r="S1392" s="380"/>
    </row>
    <row r="1393" spans="2:21" ht="31.5" customHeight="1" x14ac:dyDescent="0.45">
      <c r="B1393" s="323"/>
      <c r="C1393" s="463"/>
      <c r="D1393" s="400" t="s">
        <v>1059</v>
      </c>
      <c r="L1393" s="405"/>
      <c r="M1393" s="405"/>
      <c r="N1393" s="400"/>
      <c r="O1393" s="436">
        <f>TrialBalance!L291</f>
        <v>0</v>
      </c>
      <c r="P1393" s="425"/>
      <c r="Q1393" s="442"/>
      <c r="R1393" s="403" t="str">
        <f>IF(O1393=0,"DELETE"," ")</f>
        <v>DELETE</v>
      </c>
      <c r="S1393" s="380"/>
    </row>
    <row r="1394" spans="2:21" ht="9" customHeight="1" x14ac:dyDescent="0.45">
      <c r="B1394" s="323"/>
      <c r="C1394" s="463"/>
      <c r="L1394" s="405"/>
      <c r="M1394" s="405"/>
      <c r="N1394" s="400"/>
      <c r="O1394" s="437"/>
      <c r="P1394" s="425"/>
      <c r="Q1394" s="442"/>
      <c r="R1394" s="403" t="str">
        <f t="shared" si="73"/>
        <v>DELETE</v>
      </c>
      <c r="S1394" s="380"/>
    </row>
    <row r="1395" spans="2:21" ht="9" customHeight="1" x14ac:dyDescent="0.45">
      <c r="B1395" s="323"/>
      <c r="C1395" s="463"/>
      <c r="L1395" s="405"/>
      <c r="M1395" s="405"/>
      <c r="N1395" s="400"/>
      <c r="O1395" s="436"/>
      <c r="P1395" s="425"/>
      <c r="Q1395" s="442"/>
      <c r="R1395" s="403" t="str">
        <f t="shared" si="73"/>
        <v>DELETE</v>
      </c>
      <c r="S1395" s="380"/>
    </row>
    <row r="1396" spans="2:21" ht="31.5" customHeight="1" x14ac:dyDescent="0.45">
      <c r="B1396" s="323"/>
      <c r="C1396" s="463"/>
      <c r="D1396" s="400" t="s">
        <v>1060</v>
      </c>
      <c r="L1396" s="405"/>
      <c r="M1396" s="405"/>
      <c r="N1396" s="400"/>
      <c r="O1396" s="436">
        <f>SUM(S1400:S1402)</f>
        <v>0</v>
      </c>
      <c r="P1396" s="425"/>
      <c r="Q1396" s="442"/>
      <c r="R1396" s="403" t="str">
        <f t="shared" si="73"/>
        <v>DELETE</v>
      </c>
      <c r="S1396" s="380"/>
      <c r="U1396" s="378" t="b">
        <f>O1396=O1383+SUM(O1391:O1393)</f>
        <v>1</v>
      </c>
    </row>
    <row r="1397" spans="2:21" ht="9" customHeight="1" thickBot="1" x14ac:dyDescent="0.5">
      <c r="B1397" s="323"/>
      <c r="C1397" s="463"/>
      <c r="L1397" s="405"/>
      <c r="M1397" s="405"/>
      <c r="N1397" s="400"/>
      <c r="O1397" s="435"/>
      <c r="P1397" s="425"/>
      <c r="Q1397" s="442"/>
      <c r="R1397" s="403" t="str">
        <f t="shared" si="73"/>
        <v>DELETE</v>
      </c>
      <c r="S1397" s="380"/>
    </row>
    <row r="1398" spans="2:21" ht="9" customHeight="1" thickTop="1" x14ac:dyDescent="0.45">
      <c r="B1398" s="323"/>
      <c r="C1398" s="463"/>
      <c r="L1398" s="405"/>
      <c r="M1398" s="405"/>
      <c r="N1398" s="400"/>
      <c r="O1398" s="436"/>
      <c r="P1398" s="425"/>
      <c r="Q1398" s="442"/>
      <c r="R1398" s="403" t="str">
        <f t="shared" si="73"/>
        <v>DELETE</v>
      </c>
      <c r="S1398" s="380"/>
    </row>
    <row r="1399" spans="2:21" ht="9" customHeight="1" x14ac:dyDescent="0.45">
      <c r="B1399" s="323"/>
      <c r="C1399" s="463"/>
      <c r="L1399" s="405"/>
      <c r="M1399" s="405"/>
      <c r="N1399" s="400"/>
      <c r="O1399" s="488"/>
      <c r="P1399" s="425"/>
      <c r="Q1399" s="442"/>
      <c r="R1399" s="403" t="str">
        <f t="shared" si="73"/>
        <v>DELETE</v>
      </c>
      <c r="S1399" s="380"/>
    </row>
    <row r="1400" spans="2:21" ht="31.5" customHeight="1" x14ac:dyDescent="0.45">
      <c r="B1400" s="323"/>
      <c r="C1400" s="463"/>
      <c r="D1400" s="400" t="s">
        <v>383</v>
      </c>
      <c r="L1400" s="405"/>
      <c r="M1400" s="405"/>
      <c r="N1400" s="400"/>
      <c r="O1400" s="489">
        <f>TrialBalance!L284+TrialBalance!L285</f>
        <v>0</v>
      </c>
      <c r="P1400" s="425"/>
      <c r="Q1400" s="442"/>
      <c r="R1400" s="403" t="str">
        <f t="shared" si="73"/>
        <v>DELETE</v>
      </c>
      <c r="S1400" s="380">
        <f>O1400</f>
        <v>0</v>
      </c>
    </row>
    <row r="1401" spans="2:21" ht="31.5" customHeight="1" x14ac:dyDescent="0.45">
      <c r="B1401" s="323"/>
      <c r="C1401" s="463"/>
      <c r="D1401" s="400" t="s">
        <v>1056</v>
      </c>
      <c r="L1401" s="405"/>
      <c r="M1401" s="405"/>
      <c r="N1401" s="400"/>
      <c r="O1401" s="489">
        <f>-TrialBalance!L287-TrialBalance!L288</f>
        <v>0</v>
      </c>
      <c r="P1401" s="425"/>
      <c r="Q1401" s="442"/>
      <c r="R1401" s="403" t="str">
        <f t="shared" si="73"/>
        <v>DELETE</v>
      </c>
      <c r="S1401" s="380">
        <f>-O1401</f>
        <v>0</v>
      </c>
    </row>
    <row r="1402" spans="2:21" ht="31.5" customHeight="1" x14ac:dyDescent="0.45">
      <c r="B1402" s="323"/>
      <c r="C1402" s="463"/>
      <c r="D1402" s="400" t="s">
        <v>1057</v>
      </c>
      <c r="L1402" s="405"/>
      <c r="M1402" s="405"/>
      <c r="N1402" s="400"/>
      <c r="O1402" s="489">
        <f>-TrialBalance!L290-TrialBalance!L291</f>
        <v>0</v>
      </c>
      <c r="P1402" s="425"/>
      <c r="Q1402" s="442"/>
      <c r="R1402" s="403" t="str">
        <f>IF(O1402=0,"DELETE"," ")</f>
        <v>DELETE</v>
      </c>
      <c r="S1402" s="380">
        <f>-O1402</f>
        <v>0</v>
      </c>
    </row>
    <row r="1403" spans="2:21" ht="9" customHeight="1" x14ac:dyDescent="0.45">
      <c r="B1403" s="323"/>
      <c r="C1403" s="463"/>
      <c r="L1403" s="405"/>
      <c r="M1403" s="405"/>
      <c r="N1403" s="400"/>
      <c r="O1403" s="490"/>
      <c r="P1403" s="425"/>
      <c r="Q1403" s="442"/>
      <c r="R1403" s="403" t="str">
        <f t="shared" si="73"/>
        <v>DELETE</v>
      </c>
      <c r="S1403" s="380"/>
    </row>
    <row r="1404" spans="2:21" ht="9" customHeight="1" x14ac:dyDescent="0.45">
      <c r="B1404" s="323"/>
      <c r="C1404" s="463"/>
      <c r="L1404" s="405"/>
      <c r="M1404" s="405"/>
      <c r="N1404" s="400"/>
      <c r="O1404" s="436"/>
      <c r="P1404" s="425"/>
      <c r="Q1404" s="442"/>
      <c r="R1404" s="403" t="str">
        <f t="shared" si="73"/>
        <v>DELETE</v>
      </c>
      <c r="S1404" s="380"/>
    </row>
    <row r="1405" spans="2:21" ht="31.5" customHeight="1" x14ac:dyDescent="0.45">
      <c r="B1405" s="323"/>
      <c r="C1405" s="463"/>
      <c r="L1405" s="405"/>
      <c r="M1405" s="405"/>
      <c r="N1405" s="400"/>
      <c r="O1405" s="436"/>
      <c r="P1405" s="425"/>
      <c r="Q1405" s="442"/>
      <c r="R1405" s="403" t="str">
        <f>IF(R1382="DELETE","DELETE",IF(R1419="DELETE","DELETE"," "))</f>
        <v>DELETE</v>
      </c>
      <c r="S1405" s="380"/>
    </row>
    <row r="1406" spans="2:21" ht="31.5" customHeight="1" x14ac:dyDescent="0.45">
      <c r="B1406" s="323"/>
      <c r="C1406" s="463"/>
      <c r="L1406" s="405"/>
      <c r="M1406" s="405"/>
      <c r="N1406" s="400"/>
      <c r="O1406" s="436"/>
      <c r="P1406" s="425"/>
      <c r="Q1406" s="442"/>
      <c r="R1406" s="403" t="str">
        <f>R$1405</f>
        <v>DELETE</v>
      </c>
      <c r="S1406" s="380"/>
    </row>
    <row r="1407" spans="2:21" ht="31.5" customHeight="1" x14ac:dyDescent="0.45">
      <c r="B1407" s="324"/>
      <c r="C1407" s="468"/>
      <c r="D1407" s="429"/>
      <c r="E1407" s="429"/>
      <c r="F1407" s="429"/>
      <c r="G1407" s="429"/>
      <c r="H1407" s="429"/>
      <c r="I1407" s="429"/>
      <c r="J1407" s="429"/>
      <c r="K1407" s="429"/>
      <c r="L1407" s="506"/>
      <c r="M1407" s="506"/>
      <c r="N1407" s="429"/>
      <c r="O1407" s="437"/>
      <c r="P1407" s="433"/>
      <c r="Q1407" s="446"/>
      <c r="R1407" s="403" t="str">
        <f t="shared" ref="R1407:R1408" si="74">R$1405</f>
        <v>DELETE</v>
      </c>
      <c r="S1407" s="380"/>
    </row>
    <row r="1408" spans="2:21" ht="31.5" customHeight="1" x14ac:dyDescent="0.45">
      <c r="B1408" s="325"/>
      <c r="C1408" s="463"/>
      <c r="L1408" s="405"/>
      <c r="M1408" s="405"/>
      <c r="N1408" s="400"/>
      <c r="O1408" s="436"/>
      <c r="P1408" s="425"/>
      <c r="R1408" s="403" t="str">
        <f t="shared" si="74"/>
        <v>DELETE</v>
      </c>
      <c r="S1408" s="380"/>
    </row>
    <row r="1409" spans="2:19" ht="31.5" customHeight="1" x14ac:dyDescent="0.45">
      <c r="B1409" s="325"/>
      <c r="C1409" s="463"/>
      <c r="L1409" s="405"/>
      <c r="M1409" s="405"/>
      <c r="N1409" s="400"/>
      <c r="O1409" s="436"/>
      <c r="P1409" s="425"/>
      <c r="R1409" s="403" t="str">
        <f>IF(R1419="DELETE","DELETE",IF(R1382="DELETE","DELETE"," "))</f>
        <v>DELETE</v>
      </c>
      <c r="S1409" s="380"/>
    </row>
    <row r="1410" spans="2:19" ht="31.5" customHeight="1" x14ac:dyDescent="0.45">
      <c r="B1410" s="325"/>
      <c r="C1410" s="463"/>
      <c r="D1410" s="417" t="str">
        <f>Criteria!E9</f>
        <v>HOLDING COMPANY 268 (PROPRIETARY) LIMITED</v>
      </c>
      <c r="O1410" s="346" t="s">
        <v>96</v>
      </c>
      <c r="Q1410" s="292">
        <f>MAX($Q$114:Q1409)+1</f>
        <v>33</v>
      </c>
      <c r="R1410" s="403" t="str">
        <f>R$1409</f>
        <v>DELETE</v>
      </c>
      <c r="S1410" s="380"/>
    </row>
    <row r="1411" spans="2:19" ht="31.5" customHeight="1" x14ac:dyDescent="0.45">
      <c r="B1411" s="325"/>
      <c r="C1411" s="463"/>
      <c r="D1411" s="417" t="str">
        <f>Criteria!E10</f>
        <v>CONSOLIDATED FINANCIAL STATEMENTS</v>
      </c>
      <c r="R1411" s="403" t="str">
        <f>IF(R$1409="DELETE","DELETE",IF(D1411=0,"DELETE"," "))</f>
        <v>DELETE</v>
      </c>
      <c r="S1411" s="380"/>
    </row>
    <row r="1412" spans="2:19" ht="31.5" customHeight="1" x14ac:dyDescent="0.45">
      <c r="B1412" s="325"/>
      <c r="C1412" s="463"/>
      <c r="R1412" s="403" t="str">
        <f t="shared" ref="R1412:R1418" si="75">R$1409</f>
        <v>DELETE</v>
      </c>
      <c r="S1412" s="380"/>
    </row>
    <row r="1413" spans="2:19" ht="31.5" customHeight="1" x14ac:dyDescent="0.45">
      <c r="B1413" s="325"/>
      <c r="C1413" s="463"/>
      <c r="D1413" s="417" t="s">
        <v>377</v>
      </c>
      <c r="R1413" s="403" t="str">
        <f t="shared" si="75"/>
        <v>DELETE</v>
      </c>
      <c r="S1413" s="380"/>
    </row>
    <row r="1414" spans="2:19" ht="31.5" customHeight="1" x14ac:dyDescent="0.45">
      <c r="B1414" s="325"/>
      <c r="C1414" s="463"/>
      <c r="D1414" s="417" t="str">
        <f>Criteria!E20</f>
        <v>29 FEBRUARY 2024</v>
      </c>
      <c r="J1414" s="400" t="s">
        <v>247</v>
      </c>
      <c r="R1414" s="403" t="str">
        <f t="shared" si="75"/>
        <v>DELETE</v>
      </c>
      <c r="S1414" s="380"/>
    </row>
    <row r="1415" spans="2:19" ht="31.5" customHeight="1" x14ac:dyDescent="0.45">
      <c r="B1415" s="325"/>
      <c r="C1415" s="463"/>
      <c r="L1415" s="405"/>
      <c r="M1415" s="405"/>
      <c r="N1415" s="400"/>
      <c r="O1415" s="436"/>
      <c r="P1415" s="425"/>
      <c r="R1415" s="403" t="str">
        <f t="shared" si="75"/>
        <v>DELETE</v>
      </c>
      <c r="S1415" s="380"/>
    </row>
    <row r="1416" spans="2:19" ht="31.5" customHeight="1" x14ac:dyDescent="0.45">
      <c r="B1416" s="326"/>
      <c r="C1416" s="467"/>
      <c r="D1416" s="439"/>
      <c r="E1416" s="439"/>
      <c r="F1416" s="439"/>
      <c r="G1416" s="439"/>
      <c r="H1416" s="439"/>
      <c r="I1416" s="439"/>
      <c r="J1416" s="439"/>
      <c r="K1416" s="439"/>
      <c r="L1416" s="507"/>
      <c r="M1416" s="507"/>
      <c r="N1416" s="439"/>
      <c r="O1416" s="469"/>
      <c r="P1416" s="448"/>
      <c r="Q1416" s="440"/>
      <c r="R1416" s="403" t="str">
        <f t="shared" si="75"/>
        <v>DELETE</v>
      </c>
      <c r="S1416" s="380"/>
    </row>
    <row r="1417" spans="2:19" ht="31.5" customHeight="1" x14ac:dyDescent="0.45">
      <c r="B1417" s="323"/>
      <c r="C1417" s="463"/>
      <c r="L1417" s="405"/>
      <c r="M1417" s="405"/>
      <c r="N1417" s="400"/>
      <c r="O1417" s="504">
        <f>Criteria!E22</f>
        <v>2024</v>
      </c>
      <c r="P1417" s="425"/>
      <c r="Q1417" s="442"/>
      <c r="R1417" s="403" t="str">
        <f t="shared" si="75"/>
        <v>DELETE</v>
      </c>
      <c r="S1417" s="380"/>
    </row>
    <row r="1418" spans="2:19" ht="31.5" customHeight="1" x14ac:dyDescent="0.45">
      <c r="B1418" s="323"/>
      <c r="C1418" s="463"/>
      <c r="L1418" s="405"/>
      <c r="M1418" s="405"/>
      <c r="N1418" s="400"/>
      <c r="O1418" s="436"/>
      <c r="P1418" s="425"/>
      <c r="Q1418" s="442"/>
      <c r="R1418" s="403" t="str">
        <f t="shared" si="75"/>
        <v>DELETE</v>
      </c>
      <c r="S1418" s="380"/>
    </row>
    <row r="1419" spans="2:19" ht="31.5" customHeight="1" x14ac:dyDescent="0.45">
      <c r="B1419" s="323"/>
      <c r="C1419" s="466">
        <f>MAX(C1380:C1418)+0.1</f>
        <v>11.2</v>
      </c>
      <c r="D1419" s="400" t="s">
        <v>1061</v>
      </c>
      <c r="L1419" s="405"/>
      <c r="M1419" s="405"/>
      <c r="N1419" s="400"/>
      <c r="O1419" s="436"/>
      <c r="P1419" s="425"/>
      <c r="Q1419" s="442"/>
      <c r="R1419" s="403" t="str">
        <f>IF(O1433=0,"DELETE"," ")</f>
        <v>DELETE</v>
      </c>
      <c r="S1419" s="380"/>
    </row>
    <row r="1420" spans="2:19" ht="31.5" customHeight="1" x14ac:dyDescent="0.45">
      <c r="B1420" s="323"/>
      <c r="C1420" s="466"/>
      <c r="D1420" s="400" t="s">
        <v>1055</v>
      </c>
      <c r="H1420" s="405"/>
      <c r="L1420" s="405"/>
      <c r="M1420" s="405"/>
      <c r="N1420" s="400"/>
      <c r="O1420" s="436">
        <f>SUM(S1423:S1425)</f>
        <v>0</v>
      </c>
      <c r="P1420" s="425"/>
      <c r="Q1420" s="442"/>
      <c r="R1420" s="403" t="str">
        <f>R$1419</f>
        <v>DELETE</v>
      </c>
      <c r="S1420" s="380"/>
    </row>
    <row r="1421" spans="2:19" ht="9" customHeight="1" x14ac:dyDescent="0.45">
      <c r="B1421" s="323"/>
      <c r="C1421" s="466"/>
      <c r="L1421" s="405"/>
      <c r="M1421" s="405"/>
      <c r="N1421" s="400"/>
      <c r="O1421" s="436"/>
      <c r="P1421" s="425"/>
      <c r="Q1421" s="442"/>
      <c r="R1421" s="403" t="str">
        <f t="shared" ref="R1421:R1442" si="76">R$1419</f>
        <v>DELETE</v>
      </c>
      <c r="S1421" s="380"/>
    </row>
    <row r="1422" spans="2:19" ht="9" customHeight="1" x14ac:dyDescent="0.45">
      <c r="B1422" s="323"/>
      <c r="C1422" s="466"/>
      <c r="L1422" s="405"/>
      <c r="M1422" s="405"/>
      <c r="N1422" s="400"/>
      <c r="O1422" s="488"/>
      <c r="P1422" s="425"/>
      <c r="Q1422" s="442"/>
      <c r="R1422" s="403" t="str">
        <f t="shared" si="76"/>
        <v>DELETE</v>
      </c>
      <c r="S1422" s="380"/>
    </row>
    <row r="1423" spans="2:19" ht="31.5" customHeight="1" x14ac:dyDescent="0.45">
      <c r="B1423" s="323"/>
      <c r="C1423" s="466"/>
      <c r="D1423" s="400" t="s">
        <v>383</v>
      </c>
      <c r="L1423" s="405"/>
      <c r="M1423" s="405"/>
      <c r="N1423" s="400"/>
      <c r="O1423" s="489">
        <f>TrialBalance!L293</f>
        <v>0</v>
      </c>
      <c r="P1423" s="425"/>
      <c r="Q1423" s="442"/>
      <c r="R1423" s="403" t="str">
        <f t="shared" si="76"/>
        <v>DELETE</v>
      </c>
      <c r="S1423" s="380">
        <f>O1423</f>
        <v>0</v>
      </c>
    </row>
    <row r="1424" spans="2:19" ht="31.5" customHeight="1" x14ac:dyDescent="0.45">
      <c r="B1424" s="323"/>
      <c r="C1424" s="466"/>
      <c r="D1424" s="400" t="s">
        <v>1056</v>
      </c>
      <c r="L1424" s="405"/>
      <c r="M1424" s="405"/>
      <c r="N1424" s="400"/>
      <c r="O1424" s="489">
        <f>-TrialBalance!L296</f>
        <v>0</v>
      </c>
      <c r="P1424" s="425"/>
      <c r="Q1424" s="442"/>
      <c r="R1424" s="403" t="str">
        <f t="shared" si="76"/>
        <v>DELETE</v>
      </c>
      <c r="S1424" s="380">
        <f>-O1424</f>
        <v>0</v>
      </c>
    </row>
    <row r="1425" spans="2:21" ht="31.5" customHeight="1" x14ac:dyDescent="0.45">
      <c r="B1425" s="323"/>
      <c r="C1425" s="466"/>
      <c r="D1425" s="400" t="s">
        <v>1057</v>
      </c>
      <c r="L1425" s="405"/>
      <c r="M1425" s="405"/>
      <c r="N1425" s="400"/>
      <c r="O1425" s="489">
        <f>-TrialBalance!L299</f>
        <v>0</v>
      </c>
      <c r="P1425" s="425"/>
      <c r="Q1425" s="442"/>
      <c r="R1425" s="403" t="str">
        <f>IF(O1425=0,"DELETE"," ")</f>
        <v>DELETE</v>
      </c>
      <c r="S1425" s="380">
        <f>-O1425</f>
        <v>0</v>
      </c>
    </row>
    <row r="1426" spans="2:21" ht="9" customHeight="1" x14ac:dyDescent="0.45">
      <c r="B1426" s="323"/>
      <c r="C1426" s="466"/>
      <c r="L1426" s="405"/>
      <c r="M1426" s="405"/>
      <c r="N1426" s="400"/>
      <c r="O1426" s="490"/>
      <c r="P1426" s="425"/>
      <c r="Q1426" s="442"/>
      <c r="R1426" s="403" t="str">
        <f t="shared" si="76"/>
        <v>DELETE</v>
      </c>
      <c r="S1426" s="380"/>
    </row>
    <row r="1427" spans="2:21" ht="9" customHeight="1" x14ac:dyDescent="0.45">
      <c r="B1427" s="323"/>
      <c r="C1427" s="466"/>
      <c r="L1427" s="405"/>
      <c r="M1427" s="405"/>
      <c r="N1427" s="400"/>
      <c r="O1427" s="436"/>
      <c r="P1427" s="425"/>
      <c r="Q1427" s="442"/>
      <c r="R1427" s="403" t="str">
        <f t="shared" si="76"/>
        <v>DELETE</v>
      </c>
      <c r="S1427" s="380"/>
    </row>
    <row r="1428" spans="2:21" ht="31.5" customHeight="1" x14ac:dyDescent="0.45">
      <c r="B1428" s="323"/>
      <c r="C1428" s="466"/>
      <c r="D1428" s="400" t="s">
        <v>379</v>
      </c>
      <c r="L1428" s="405"/>
      <c r="M1428" s="405"/>
      <c r="N1428" s="400"/>
      <c r="O1428" s="436">
        <f>TrialBalance!L294</f>
        <v>0</v>
      </c>
      <c r="P1428" s="425"/>
      <c r="Q1428" s="442"/>
      <c r="R1428" s="403" t="str">
        <f>IF(O1428=0,"DELETE"," ")</f>
        <v>DELETE</v>
      </c>
      <c r="S1428" s="380"/>
    </row>
    <row r="1429" spans="2:21" ht="31.5" customHeight="1" x14ac:dyDescent="0.45">
      <c r="B1429" s="323"/>
      <c r="C1429" s="466"/>
      <c r="D1429" s="400" t="s">
        <v>1058</v>
      </c>
      <c r="L1429" s="405"/>
      <c r="M1429" s="405"/>
      <c r="N1429" s="400"/>
      <c r="O1429" s="436">
        <f>TrialBalance!L297</f>
        <v>0</v>
      </c>
      <c r="P1429" s="425"/>
      <c r="Q1429" s="442"/>
      <c r="R1429" s="403" t="str">
        <f t="shared" si="76"/>
        <v>DELETE</v>
      </c>
      <c r="S1429" s="380"/>
    </row>
    <row r="1430" spans="2:21" ht="31.5" customHeight="1" x14ac:dyDescent="0.45">
      <c r="B1430" s="323"/>
      <c r="C1430" s="466"/>
      <c r="D1430" s="400" t="s">
        <v>1059</v>
      </c>
      <c r="L1430" s="405"/>
      <c r="M1430" s="405"/>
      <c r="N1430" s="400"/>
      <c r="O1430" s="436">
        <f>TrialBalance!L300</f>
        <v>0</v>
      </c>
      <c r="P1430" s="425"/>
      <c r="Q1430" s="442"/>
      <c r="R1430" s="403" t="str">
        <f>IF(O1430=0,"DELETE"," ")</f>
        <v>DELETE</v>
      </c>
      <c r="S1430" s="380"/>
    </row>
    <row r="1431" spans="2:21" ht="9" customHeight="1" x14ac:dyDescent="0.45">
      <c r="B1431" s="323"/>
      <c r="C1431" s="466"/>
      <c r="L1431" s="405"/>
      <c r="M1431" s="405"/>
      <c r="N1431" s="400"/>
      <c r="O1431" s="437"/>
      <c r="P1431" s="425"/>
      <c r="Q1431" s="442"/>
      <c r="R1431" s="403" t="str">
        <f t="shared" si="76"/>
        <v>DELETE</v>
      </c>
      <c r="S1431" s="380"/>
    </row>
    <row r="1432" spans="2:21" ht="9" customHeight="1" x14ac:dyDescent="0.45">
      <c r="B1432" s="323"/>
      <c r="C1432" s="466"/>
      <c r="L1432" s="405"/>
      <c r="M1432" s="405"/>
      <c r="N1432" s="400"/>
      <c r="O1432" s="436"/>
      <c r="P1432" s="425"/>
      <c r="Q1432" s="442"/>
      <c r="R1432" s="403" t="str">
        <f t="shared" si="76"/>
        <v>DELETE</v>
      </c>
      <c r="S1432" s="380"/>
    </row>
    <row r="1433" spans="2:21" ht="31.5" customHeight="1" x14ac:dyDescent="0.45">
      <c r="B1433" s="323"/>
      <c r="C1433" s="466"/>
      <c r="D1433" s="400" t="s">
        <v>1060</v>
      </c>
      <c r="L1433" s="405"/>
      <c r="M1433" s="405"/>
      <c r="N1433" s="400"/>
      <c r="O1433" s="436">
        <f>SUM(S1437:S1439)</f>
        <v>0</v>
      </c>
      <c r="P1433" s="425"/>
      <c r="Q1433" s="442"/>
      <c r="R1433" s="403" t="str">
        <f t="shared" si="76"/>
        <v>DELETE</v>
      </c>
      <c r="S1433" s="380"/>
      <c r="U1433" s="378" t="b">
        <f>O1433=O1420+SUM(O1428:O1430)</f>
        <v>1</v>
      </c>
    </row>
    <row r="1434" spans="2:21" ht="9" customHeight="1" thickBot="1" x14ac:dyDescent="0.5">
      <c r="B1434" s="323"/>
      <c r="C1434" s="466"/>
      <c r="L1434" s="405"/>
      <c r="M1434" s="405"/>
      <c r="N1434" s="400"/>
      <c r="O1434" s="435"/>
      <c r="P1434" s="425"/>
      <c r="Q1434" s="442"/>
      <c r="R1434" s="403" t="str">
        <f t="shared" si="76"/>
        <v>DELETE</v>
      </c>
      <c r="S1434" s="380"/>
    </row>
    <row r="1435" spans="2:21" ht="9" customHeight="1" thickTop="1" x14ac:dyDescent="0.45">
      <c r="B1435" s="323"/>
      <c r="C1435" s="466"/>
      <c r="L1435" s="405"/>
      <c r="M1435" s="405"/>
      <c r="N1435" s="400"/>
      <c r="O1435" s="436"/>
      <c r="P1435" s="425"/>
      <c r="Q1435" s="442"/>
      <c r="R1435" s="403" t="str">
        <f t="shared" si="76"/>
        <v>DELETE</v>
      </c>
      <c r="S1435" s="380"/>
    </row>
    <row r="1436" spans="2:21" ht="9" customHeight="1" x14ac:dyDescent="0.45">
      <c r="B1436" s="323"/>
      <c r="C1436" s="466"/>
      <c r="L1436" s="405"/>
      <c r="M1436" s="405"/>
      <c r="N1436" s="400"/>
      <c r="O1436" s="488"/>
      <c r="P1436" s="425"/>
      <c r="Q1436" s="442"/>
      <c r="R1436" s="403" t="str">
        <f t="shared" si="76"/>
        <v>DELETE</v>
      </c>
      <c r="S1436" s="380"/>
    </row>
    <row r="1437" spans="2:21" ht="31.5" customHeight="1" x14ac:dyDescent="0.45">
      <c r="B1437" s="323"/>
      <c r="C1437" s="466"/>
      <c r="D1437" s="400" t="s">
        <v>383</v>
      </c>
      <c r="L1437" s="405"/>
      <c r="M1437" s="405"/>
      <c r="N1437" s="400"/>
      <c r="O1437" s="489">
        <f>TrialBalance!L293+TrialBalance!L294</f>
        <v>0</v>
      </c>
      <c r="P1437" s="425"/>
      <c r="Q1437" s="442"/>
      <c r="R1437" s="403" t="str">
        <f t="shared" si="76"/>
        <v>DELETE</v>
      </c>
      <c r="S1437" s="380">
        <f>O1437</f>
        <v>0</v>
      </c>
    </row>
    <row r="1438" spans="2:21" ht="31.5" customHeight="1" x14ac:dyDescent="0.45">
      <c r="B1438" s="323"/>
      <c r="C1438" s="466"/>
      <c r="D1438" s="400" t="s">
        <v>1056</v>
      </c>
      <c r="L1438" s="405"/>
      <c r="M1438" s="405"/>
      <c r="N1438" s="400"/>
      <c r="O1438" s="489">
        <f>-TrialBalance!L296-TrialBalance!L297</f>
        <v>0</v>
      </c>
      <c r="P1438" s="425"/>
      <c r="Q1438" s="442"/>
      <c r="R1438" s="403" t="str">
        <f t="shared" si="76"/>
        <v>DELETE</v>
      </c>
      <c r="S1438" s="380">
        <f>-O1438</f>
        <v>0</v>
      </c>
    </row>
    <row r="1439" spans="2:21" ht="31.5" customHeight="1" x14ac:dyDescent="0.45">
      <c r="B1439" s="323"/>
      <c r="C1439" s="466"/>
      <c r="D1439" s="400" t="s">
        <v>1057</v>
      </c>
      <c r="L1439" s="405"/>
      <c r="M1439" s="405"/>
      <c r="N1439" s="400"/>
      <c r="O1439" s="489">
        <f>-TrialBalance!L299-TrialBalance!L300</f>
        <v>0</v>
      </c>
      <c r="P1439" s="425"/>
      <c r="Q1439" s="442"/>
      <c r="R1439" s="403" t="str">
        <f>IF(O1439=0,"DELETE"," ")</f>
        <v>DELETE</v>
      </c>
      <c r="S1439" s="380">
        <f>-O1439</f>
        <v>0</v>
      </c>
    </row>
    <row r="1440" spans="2:21" ht="9" customHeight="1" x14ac:dyDescent="0.45">
      <c r="B1440" s="323"/>
      <c r="C1440" s="466"/>
      <c r="L1440" s="405"/>
      <c r="M1440" s="405"/>
      <c r="N1440" s="400"/>
      <c r="O1440" s="490"/>
      <c r="P1440" s="425"/>
      <c r="Q1440" s="442"/>
      <c r="R1440" s="403" t="str">
        <f t="shared" si="76"/>
        <v>DELETE</v>
      </c>
      <c r="S1440" s="380"/>
    </row>
    <row r="1441" spans="2:18" ht="9" customHeight="1" x14ac:dyDescent="0.45">
      <c r="B1441" s="323"/>
      <c r="C1441" s="466"/>
      <c r="L1441" s="405"/>
      <c r="M1441" s="405"/>
      <c r="N1441" s="400"/>
      <c r="O1441" s="436"/>
      <c r="P1441" s="425"/>
      <c r="Q1441" s="442"/>
      <c r="R1441" s="403" t="str">
        <f t="shared" si="76"/>
        <v>DELETE</v>
      </c>
    </row>
    <row r="1442" spans="2:18" ht="31.5" customHeight="1" x14ac:dyDescent="0.45">
      <c r="B1442" s="323"/>
      <c r="C1442" s="466"/>
      <c r="L1442" s="405"/>
      <c r="M1442" s="405"/>
      <c r="N1442" s="400"/>
      <c r="O1442" s="436"/>
      <c r="P1442" s="425"/>
      <c r="Q1442" s="442"/>
      <c r="R1442" s="403" t="str">
        <f t="shared" si="76"/>
        <v>DELETE</v>
      </c>
    </row>
    <row r="1443" spans="2:18" ht="9" customHeight="1" x14ac:dyDescent="0.45">
      <c r="B1443" s="323"/>
      <c r="C1443" s="466"/>
      <c r="L1443" s="405"/>
      <c r="M1443" s="405"/>
      <c r="N1443" s="400"/>
      <c r="O1443" s="437"/>
      <c r="P1443" s="425"/>
      <c r="Q1443" s="442"/>
      <c r="R1443" s="403" t="str">
        <f t="shared" ref="R1443:R1451" si="77">R$1380</f>
        <v>DELETE</v>
      </c>
    </row>
    <row r="1444" spans="2:18" ht="9" customHeight="1" x14ac:dyDescent="0.45">
      <c r="B1444" s="323"/>
      <c r="C1444" s="466"/>
      <c r="L1444" s="405"/>
      <c r="M1444" s="405"/>
      <c r="N1444" s="400"/>
      <c r="O1444" s="436"/>
      <c r="P1444" s="425"/>
      <c r="Q1444" s="442"/>
      <c r="R1444" s="403" t="str">
        <f t="shared" si="77"/>
        <v>DELETE</v>
      </c>
    </row>
    <row r="1445" spans="2:18" ht="31.5" customHeight="1" x14ac:dyDescent="0.45">
      <c r="B1445" s="323"/>
      <c r="C1445" s="466"/>
      <c r="D1445" s="400" t="s">
        <v>382</v>
      </c>
      <c r="L1445" s="405"/>
      <c r="M1445" s="405"/>
      <c r="N1445" s="400"/>
      <c r="O1445" s="436">
        <f>SUM(TrialBalance!L284:L300)</f>
        <v>0</v>
      </c>
      <c r="P1445" s="425"/>
      <c r="Q1445" s="442"/>
      <c r="R1445" s="403" t="str">
        <f t="shared" si="77"/>
        <v>DELETE</v>
      </c>
    </row>
    <row r="1446" spans="2:18" ht="9" customHeight="1" thickBot="1" x14ac:dyDescent="0.5">
      <c r="B1446" s="323"/>
      <c r="C1446" s="466"/>
      <c r="L1446" s="405"/>
      <c r="M1446" s="405"/>
      <c r="N1446" s="400"/>
      <c r="O1446" s="435"/>
      <c r="P1446" s="425"/>
      <c r="Q1446" s="442"/>
      <c r="R1446" s="403" t="str">
        <f t="shared" si="77"/>
        <v>DELETE</v>
      </c>
    </row>
    <row r="1447" spans="2:18" ht="9" customHeight="1" thickTop="1" x14ac:dyDescent="0.45">
      <c r="B1447" s="323"/>
      <c r="C1447" s="466"/>
      <c r="L1447" s="405"/>
      <c r="M1447" s="405"/>
      <c r="N1447" s="400"/>
      <c r="O1447" s="436"/>
      <c r="P1447" s="425"/>
      <c r="Q1447" s="442"/>
      <c r="R1447" s="403" t="str">
        <f t="shared" si="77"/>
        <v>DELETE</v>
      </c>
    </row>
    <row r="1448" spans="2:18" ht="31.5" customHeight="1" x14ac:dyDescent="0.45">
      <c r="B1448" s="323"/>
      <c r="C1448" s="417"/>
      <c r="L1448" s="405"/>
      <c r="M1448" s="421"/>
      <c r="N1448" s="400"/>
      <c r="O1448" s="363"/>
      <c r="P1448" s="425"/>
      <c r="Q1448" s="442"/>
      <c r="R1448" s="403" t="str">
        <f t="shared" si="77"/>
        <v>DELETE</v>
      </c>
    </row>
    <row r="1449" spans="2:18" ht="31.5" customHeight="1" x14ac:dyDescent="0.45">
      <c r="B1449" s="323"/>
      <c r="C1449" s="417"/>
      <c r="M1449" s="363"/>
      <c r="N1449" s="314"/>
      <c r="O1449" s="363"/>
      <c r="P1449" s="425"/>
      <c r="Q1449" s="442"/>
      <c r="R1449" s="403" t="str">
        <f t="shared" si="77"/>
        <v>DELETE</v>
      </c>
    </row>
    <row r="1450" spans="2:18" ht="31.5" customHeight="1" x14ac:dyDescent="0.45">
      <c r="B1450" s="324"/>
      <c r="C1450" s="465"/>
      <c r="D1450" s="429"/>
      <c r="E1450" s="429"/>
      <c r="F1450" s="429"/>
      <c r="G1450" s="429"/>
      <c r="H1450" s="429"/>
      <c r="I1450" s="429"/>
      <c r="J1450" s="429"/>
      <c r="K1450" s="429"/>
      <c r="L1450" s="429"/>
      <c r="M1450" s="349"/>
      <c r="N1450" s="300"/>
      <c r="O1450" s="349"/>
      <c r="P1450" s="433"/>
      <c r="Q1450" s="446"/>
      <c r="R1450" s="403" t="str">
        <f t="shared" si="77"/>
        <v>DELETE</v>
      </c>
    </row>
    <row r="1451" spans="2:18" ht="31.5" customHeight="1" x14ac:dyDescent="0.45">
      <c r="B1451" s="422"/>
      <c r="R1451" s="403" t="str">
        <f t="shared" si="77"/>
        <v>DELETE</v>
      </c>
    </row>
    <row r="1452" spans="2:18" ht="31.5" customHeight="1" x14ac:dyDescent="0.45">
      <c r="B1452" s="422"/>
      <c r="R1452" s="403" t="str">
        <f>R$1468</f>
        <v>DELETE</v>
      </c>
    </row>
    <row r="1453" spans="2:18" ht="31.5" customHeight="1" x14ac:dyDescent="0.45">
      <c r="B1453" s="422"/>
      <c r="D1453" s="417" t="str">
        <f>Criteria!E9</f>
        <v>HOLDING COMPANY 268 (PROPRIETARY) LIMITED</v>
      </c>
      <c r="O1453" s="346" t="s">
        <v>96</v>
      </c>
      <c r="Q1453" s="292">
        <f>MAX($Q$114:Q1452)+1</f>
        <v>34</v>
      </c>
      <c r="R1453" s="403" t="str">
        <f t="shared" ref="R1453:R1462" si="78">R$1468</f>
        <v>DELETE</v>
      </c>
    </row>
    <row r="1454" spans="2:18" ht="31.5" customHeight="1" x14ac:dyDescent="0.45">
      <c r="B1454" s="422"/>
      <c r="D1454" s="417" t="str">
        <f>Criteria!E10</f>
        <v>CONSOLIDATED FINANCIAL STATEMENTS</v>
      </c>
      <c r="R1454" s="403" t="str">
        <f>IF(R$1468="DELETE","DELETE",IF(D1454=0,"DELETE"," "))</f>
        <v>DELETE</v>
      </c>
    </row>
    <row r="1455" spans="2:18" ht="31.5" customHeight="1" x14ac:dyDescent="0.45">
      <c r="B1455" s="422"/>
      <c r="R1455" s="403" t="str">
        <f t="shared" si="78"/>
        <v>DELETE</v>
      </c>
    </row>
    <row r="1456" spans="2:18" ht="31.5" customHeight="1" x14ac:dyDescent="0.45">
      <c r="B1456" s="422"/>
      <c r="D1456" s="417" t="s">
        <v>377</v>
      </c>
      <c r="R1456" s="403" t="str">
        <f t="shared" si="78"/>
        <v>DELETE</v>
      </c>
    </row>
    <row r="1457" spans="2:18" ht="31.5" customHeight="1" x14ac:dyDescent="0.45">
      <c r="B1457" s="422"/>
      <c r="D1457" s="417" t="str">
        <f>Criteria!E20</f>
        <v>29 FEBRUARY 2024</v>
      </c>
      <c r="J1457" s="400" t="s">
        <v>247</v>
      </c>
      <c r="R1457" s="403" t="str">
        <f t="shared" si="78"/>
        <v>DELETE</v>
      </c>
    </row>
    <row r="1458" spans="2:18" ht="31.5" customHeight="1" x14ac:dyDescent="0.45">
      <c r="B1458" s="422"/>
      <c r="R1458" s="403" t="str">
        <f t="shared" si="78"/>
        <v>DELETE</v>
      </c>
    </row>
    <row r="1459" spans="2:18" ht="31.5" customHeight="1" x14ac:dyDescent="0.45">
      <c r="B1459" s="457"/>
      <c r="C1459" s="439"/>
      <c r="D1459" s="439"/>
      <c r="E1459" s="439"/>
      <c r="F1459" s="439"/>
      <c r="G1459" s="439"/>
      <c r="H1459" s="439"/>
      <c r="I1459" s="439"/>
      <c r="J1459" s="439"/>
      <c r="K1459" s="439"/>
      <c r="L1459" s="439"/>
      <c r="M1459" s="447"/>
      <c r="N1459" s="448"/>
      <c r="O1459" s="447"/>
      <c r="P1459" s="448"/>
      <c r="Q1459" s="440"/>
      <c r="R1459" s="403" t="str">
        <f t="shared" si="78"/>
        <v>DELETE</v>
      </c>
    </row>
    <row r="1460" spans="2:18" ht="31.5" customHeight="1" x14ac:dyDescent="0.45">
      <c r="B1460" s="459"/>
      <c r="M1460" s="424"/>
      <c r="N1460" s="425"/>
      <c r="O1460" s="344">
        <f>Criteria!E22</f>
        <v>2024</v>
      </c>
      <c r="P1460" s="425"/>
      <c r="Q1460" s="442"/>
      <c r="R1460" s="403" t="str">
        <f t="shared" si="78"/>
        <v>DELETE</v>
      </c>
    </row>
    <row r="1461" spans="2:18" ht="31.5" customHeight="1" x14ac:dyDescent="0.45">
      <c r="B1461" s="459"/>
      <c r="M1461" s="424"/>
      <c r="N1461" s="425"/>
      <c r="O1461" s="424"/>
      <c r="P1461" s="425"/>
      <c r="Q1461" s="442"/>
      <c r="R1461" s="403" t="str">
        <f t="shared" si="78"/>
        <v>DELETE</v>
      </c>
    </row>
    <row r="1462" spans="2:18" ht="31.5" customHeight="1" x14ac:dyDescent="0.45">
      <c r="B1462" s="323">
        <f>MAX(B$559:B1461)+1</f>
        <v>12</v>
      </c>
      <c r="C1462" s="417" t="str">
        <f>IF(COUNTIF(TrialBalance!L303:L305,"&gt;0")&gt;1,"INVESTMENTS IN ASSOCIATES","INVESTMENT IN ASSOCIATE")</f>
        <v>INVESTMENT IN ASSOCIATE</v>
      </c>
      <c r="M1462" s="424"/>
      <c r="N1462" s="425"/>
      <c r="O1462" s="424"/>
      <c r="P1462" s="425"/>
      <c r="Q1462" s="442"/>
      <c r="R1462" s="403" t="str">
        <f t="shared" si="78"/>
        <v>DELETE</v>
      </c>
    </row>
    <row r="1463" spans="2:18" ht="31.5" customHeight="1" x14ac:dyDescent="0.45">
      <c r="B1463" s="459"/>
      <c r="D1463" s="400" t="str">
        <f>TrialBalance!C303</f>
        <v>100 Shares in ABC Company (Pty) Ltd - 100% interest</v>
      </c>
      <c r="M1463" s="424"/>
      <c r="N1463" s="425"/>
      <c r="O1463" s="436">
        <f>TrialBalance!L303</f>
        <v>0</v>
      </c>
      <c r="P1463" s="425"/>
      <c r="Q1463" s="442"/>
      <c r="R1463" s="403" t="str">
        <f t="shared" ref="R1463:R1465" si="79">IF(O1463=0,"DELETE"," ")</f>
        <v>DELETE</v>
      </c>
    </row>
    <row r="1464" spans="2:18" ht="31.5" customHeight="1" x14ac:dyDescent="0.45">
      <c r="B1464" s="459"/>
      <c r="D1464" s="400">
        <f>TrialBalance!C304</f>
        <v>0</v>
      </c>
      <c r="M1464" s="424"/>
      <c r="N1464" s="425"/>
      <c r="O1464" s="436">
        <f>TrialBalance!L304</f>
        <v>0</v>
      </c>
      <c r="P1464" s="425"/>
      <c r="Q1464" s="442"/>
      <c r="R1464" s="403" t="str">
        <f t="shared" si="79"/>
        <v>DELETE</v>
      </c>
    </row>
    <row r="1465" spans="2:18" ht="31.5" customHeight="1" x14ac:dyDescent="0.45">
      <c r="B1465" s="459"/>
      <c r="D1465" s="400">
        <f>TrialBalance!C305</f>
        <v>0</v>
      </c>
      <c r="M1465" s="424"/>
      <c r="N1465" s="425"/>
      <c r="O1465" s="436">
        <f>TrialBalance!L305</f>
        <v>0</v>
      </c>
      <c r="P1465" s="425"/>
      <c r="Q1465" s="442"/>
      <c r="R1465" s="403" t="str">
        <f t="shared" si="79"/>
        <v>DELETE</v>
      </c>
    </row>
    <row r="1466" spans="2:18" ht="9" customHeight="1" x14ac:dyDescent="0.45">
      <c r="B1466" s="459"/>
      <c r="M1466" s="424"/>
      <c r="N1466" s="425"/>
      <c r="O1466" s="437"/>
      <c r="P1466" s="425"/>
      <c r="Q1466" s="442"/>
      <c r="R1466" s="403" t="str">
        <f t="shared" ref="R1466:R1471" si="80">R$1468</f>
        <v>DELETE</v>
      </c>
    </row>
    <row r="1467" spans="2:18" ht="9" customHeight="1" x14ac:dyDescent="0.45">
      <c r="B1467" s="459"/>
      <c r="M1467" s="424"/>
      <c r="N1467" s="425"/>
      <c r="O1467" s="436"/>
      <c r="P1467" s="425"/>
      <c r="Q1467" s="442"/>
      <c r="R1467" s="403" t="str">
        <f t="shared" si="80"/>
        <v>DELETE</v>
      </c>
    </row>
    <row r="1468" spans="2:18" ht="31.5" customHeight="1" x14ac:dyDescent="0.45">
      <c r="B1468" s="459"/>
      <c r="M1468" s="424"/>
      <c r="N1468" s="425"/>
      <c r="O1468" s="436">
        <f>SUM(O1463:O1467)</f>
        <v>0</v>
      </c>
      <c r="P1468" s="425"/>
      <c r="Q1468" s="442"/>
      <c r="R1468" s="403" t="str">
        <f t="shared" ref="R1468" si="81">IF(O1468=0,"DELETE"," ")</f>
        <v>DELETE</v>
      </c>
    </row>
    <row r="1469" spans="2:18" ht="9" customHeight="1" thickBot="1" x14ac:dyDescent="0.5">
      <c r="B1469" s="459"/>
      <c r="M1469" s="424"/>
      <c r="N1469" s="425"/>
      <c r="O1469" s="435"/>
      <c r="P1469" s="425"/>
      <c r="Q1469" s="442"/>
      <c r="R1469" s="403" t="str">
        <f t="shared" si="80"/>
        <v>DELETE</v>
      </c>
    </row>
    <row r="1470" spans="2:18" ht="9" customHeight="1" thickTop="1" x14ac:dyDescent="0.45">
      <c r="B1470" s="459"/>
      <c r="M1470" s="424"/>
      <c r="N1470" s="425"/>
      <c r="O1470" s="436"/>
      <c r="P1470" s="425"/>
      <c r="Q1470" s="442"/>
      <c r="R1470" s="403" t="str">
        <f t="shared" si="80"/>
        <v>DELETE</v>
      </c>
    </row>
    <row r="1471" spans="2:18" ht="31.5" customHeight="1" x14ac:dyDescent="0.45">
      <c r="B1471" s="459"/>
      <c r="C1471" s="400" t="str">
        <f>IF(COUNTIF(TrialBalance!L303:L305,"&gt;0")&gt;1,"The shares of the associates are not publicly traded.","The shares of the associate are not publicly traded.")</f>
        <v>The shares of the associate are not publicly traded.</v>
      </c>
      <c r="M1471" s="424"/>
      <c r="N1471" s="425"/>
      <c r="O1471" s="436"/>
      <c r="P1471" s="425"/>
      <c r="Q1471" s="442"/>
      <c r="R1471" s="403" t="str">
        <f t="shared" si="80"/>
        <v>DELETE</v>
      </c>
    </row>
    <row r="1472" spans="2:18" ht="31.5" customHeight="1" x14ac:dyDescent="0.45">
      <c r="B1472" s="459"/>
      <c r="M1472" s="424"/>
      <c r="N1472" s="425"/>
      <c r="O1472" s="424"/>
      <c r="P1472" s="425"/>
      <c r="Q1472" s="442"/>
      <c r="R1472" s="403" t="str">
        <f>R$1468</f>
        <v>DELETE</v>
      </c>
    </row>
    <row r="1473" spans="2:18" ht="31.5" customHeight="1" x14ac:dyDescent="0.45">
      <c r="B1473" s="459"/>
      <c r="M1473" s="424"/>
      <c r="N1473" s="425"/>
      <c r="O1473" s="424"/>
      <c r="P1473" s="425"/>
      <c r="Q1473" s="442"/>
      <c r="R1473" s="403" t="str">
        <f>R$1468</f>
        <v>DELETE</v>
      </c>
    </row>
    <row r="1474" spans="2:18" ht="31.5" customHeight="1" x14ac:dyDescent="0.45">
      <c r="B1474" s="455"/>
      <c r="C1474" s="429"/>
      <c r="D1474" s="429"/>
      <c r="E1474" s="429"/>
      <c r="F1474" s="429"/>
      <c r="G1474" s="429"/>
      <c r="H1474" s="429"/>
      <c r="I1474" s="429"/>
      <c r="J1474" s="429"/>
      <c r="K1474" s="429"/>
      <c r="L1474" s="429"/>
      <c r="M1474" s="432"/>
      <c r="N1474" s="433"/>
      <c r="O1474" s="432"/>
      <c r="P1474" s="433"/>
      <c r="Q1474" s="446"/>
      <c r="R1474" s="403" t="str">
        <f>R$1468</f>
        <v>DELETE</v>
      </c>
    </row>
    <row r="1475" spans="2:18" ht="31.5" customHeight="1" x14ac:dyDescent="0.45">
      <c r="B1475" s="422"/>
      <c r="R1475" s="403" t="str">
        <f>R$1468</f>
        <v>DELETE</v>
      </c>
    </row>
    <row r="1476" spans="2:18" ht="31.5" customHeight="1" x14ac:dyDescent="0.45">
      <c r="B1476" s="422"/>
      <c r="R1476" s="403" t="str">
        <f>R$1494</f>
        <v>DELETE</v>
      </c>
    </row>
    <row r="1477" spans="2:18" ht="31.5" customHeight="1" x14ac:dyDescent="0.45">
      <c r="B1477" s="422"/>
      <c r="D1477" s="417" t="str">
        <f>Criteria!E9</f>
        <v>HOLDING COMPANY 268 (PROPRIETARY) LIMITED</v>
      </c>
      <c r="O1477" s="346" t="s">
        <v>96</v>
      </c>
      <c r="Q1477" s="292">
        <f>MAX($Q$114:Q1476)+1</f>
        <v>35</v>
      </c>
      <c r="R1477" s="403" t="str">
        <f t="shared" ref="R1477:R1486" si="82">R$1494</f>
        <v>DELETE</v>
      </c>
    </row>
    <row r="1478" spans="2:18" ht="31.5" customHeight="1" x14ac:dyDescent="0.45">
      <c r="B1478" s="422"/>
      <c r="D1478" s="417" t="str">
        <f>Criteria!E10</f>
        <v>CONSOLIDATED FINANCIAL STATEMENTS</v>
      </c>
      <c r="R1478" s="403" t="str">
        <f>IF(R$1494="DELETE","DELETE",IF(D1478=0,"DELETE"," "))</f>
        <v>DELETE</v>
      </c>
    </row>
    <row r="1479" spans="2:18" ht="31.5" customHeight="1" x14ac:dyDescent="0.45">
      <c r="B1479" s="422"/>
      <c r="R1479" s="403" t="str">
        <f t="shared" si="82"/>
        <v>DELETE</v>
      </c>
    </row>
    <row r="1480" spans="2:18" ht="31.5" customHeight="1" x14ac:dyDescent="0.45">
      <c r="B1480" s="422"/>
      <c r="D1480" s="417" t="s">
        <v>377</v>
      </c>
      <c r="R1480" s="403" t="str">
        <f t="shared" si="82"/>
        <v>DELETE</v>
      </c>
    </row>
    <row r="1481" spans="2:18" ht="31.5" customHeight="1" x14ac:dyDescent="0.45">
      <c r="B1481" s="422"/>
      <c r="D1481" s="417" t="str">
        <f>Criteria!E20</f>
        <v>29 FEBRUARY 2024</v>
      </c>
      <c r="J1481" s="400" t="s">
        <v>247</v>
      </c>
      <c r="R1481" s="403" t="str">
        <f t="shared" si="82"/>
        <v>DELETE</v>
      </c>
    </row>
    <row r="1482" spans="2:18" ht="31.5" customHeight="1" x14ac:dyDescent="0.45">
      <c r="B1482" s="422"/>
      <c r="R1482" s="403" t="str">
        <f t="shared" si="82"/>
        <v>DELETE</v>
      </c>
    </row>
    <row r="1483" spans="2:18" ht="31.5" customHeight="1" x14ac:dyDescent="0.45">
      <c r="B1483" s="457"/>
      <c r="C1483" s="439"/>
      <c r="D1483" s="439"/>
      <c r="E1483" s="439"/>
      <c r="F1483" s="439"/>
      <c r="G1483" s="439"/>
      <c r="H1483" s="439"/>
      <c r="I1483" s="439"/>
      <c r="J1483" s="439"/>
      <c r="K1483" s="439"/>
      <c r="L1483" s="439"/>
      <c r="M1483" s="447"/>
      <c r="N1483" s="448"/>
      <c r="O1483" s="447"/>
      <c r="P1483" s="448"/>
      <c r="Q1483" s="440"/>
      <c r="R1483" s="403" t="str">
        <f t="shared" si="82"/>
        <v>DELETE</v>
      </c>
    </row>
    <row r="1484" spans="2:18" ht="31.5" customHeight="1" x14ac:dyDescent="0.45">
      <c r="B1484" s="459"/>
      <c r="L1484" s="405"/>
      <c r="M1484" s="421"/>
      <c r="N1484" s="400"/>
      <c r="O1484" s="344">
        <f>Criteria!E22</f>
        <v>2024</v>
      </c>
      <c r="Q1484" s="442"/>
      <c r="R1484" s="403" t="str">
        <f t="shared" si="82"/>
        <v>DELETE</v>
      </c>
    </row>
    <row r="1485" spans="2:18" ht="31.5" customHeight="1" x14ac:dyDescent="0.45">
      <c r="B1485" s="459"/>
      <c r="L1485" s="405"/>
      <c r="M1485" s="421"/>
      <c r="N1485" s="400"/>
      <c r="Q1485" s="442"/>
      <c r="R1485" s="403" t="str">
        <f t="shared" si="82"/>
        <v>DELETE</v>
      </c>
    </row>
    <row r="1486" spans="2:18" ht="31.5" customHeight="1" x14ac:dyDescent="0.45">
      <c r="B1486" s="323">
        <f>MAX(B$559:B1485)+1</f>
        <v>13</v>
      </c>
      <c r="C1486" s="417" t="str">
        <f>IF(COUNTIF(TrialBalance!L307:L311,"&gt;0")&gt;1,"LISTED INVESTMENTS","LISTED INVESTMENT")</f>
        <v>LISTED INVESTMENT</v>
      </c>
      <c r="L1486" s="405"/>
      <c r="M1486" s="421"/>
      <c r="N1486" s="400"/>
      <c r="O1486" s="426"/>
      <c r="Q1486" s="442"/>
      <c r="R1486" s="403" t="str">
        <f t="shared" si="82"/>
        <v>DELETE</v>
      </c>
    </row>
    <row r="1487" spans="2:18" ht="31.5" customHeight="1" x14ac:dyDescent="0.45">
      <c r="B1487" s="323"/>
      <c r="C1487" s="417"/>
      <c r="D1487" s="400">
        <f>TrialBalance!C307</f>
        <v>0</v>
      </c>
      <c r="L1487" s="405"/>
      <c r="M1487" s="421"/>
      <c r="N1487" s="400"/>
      <c r="O1487" s="347">
        <f>TrialBalance!L307</f>
        <v>0</v>
      </c>
      <c r="Q1487" s="442"/>
      <c r="R1487" s="403" t="str">
        <f t="shared" ref="R1487:R1491" si="83">IF(O1487=0,"DELETE"," ")</f>
        <v>DELETE</v>
      </c>
    </row>
    <row r="1488" spans="2:18" ht="31.5" customHeight="1" x14ac:dyDescent="0.45">
      <c r="B1488" s="323"/>
      <c r="C1488" s="417"/>
      <c r="D1488" s="400">
        <f>TrialBalance!C308</f>
        <v>0</v>
      </c>
      <c r="L1488" s="405"/>
      <c r="M1488" s="421"/>
      <c r="N1488" s="400"/>
      <c r="O1488" s="347">
        <f>TrialBalance!L308</f>
        <v>0</v>
      </c>
      <c r="Q1488" s="442"/>
      <c r="R1488" s="403" t="str">
        <f t="shared" si="83"/>
        <v>DELETE</v>
      </c>
    </row>
    <row r="1489" spans="2:18" ht="31.5" customHeight="1" x14ac:dyDescent="0.45">
      <c r="B1489" s="323"/>
      <c r="C1489" s="417"/>
      <c r="D1489" s="400">
        <f>TrialBalance!C309</f>
        <v>0</v>
      </c>
      <c r="L1489" s="405"/>
      <c r="M1489" s="421"/>
      <c r="N1489" s="400"/>
      <c r="O1489" s="347">
        <f>TrialBalance!L309</f>
        <v>0</v>
      </c>
      <c r="Q1489" s="442"/>
      <c r="R1489" s="403" t="str">
        <f t="shared" si="83"/>
        <v>DELETE</v>
      </c>
    </row>
    <row r="1490" spans="2:18" ht="31.5" customHeight="1" x14ac:dyDescent="0.45">
      <c r="B1490" s="323"/>
      <c r="C1490" s="417"/>
      <c r="D1490" s="400">
        <f>TrialBalance!C310</f>
        <v>0</v>
      </c>
      <c r="L1490" s="405"/>
      <c r="M1490" s="421"/>
      <c r="N1490" s="400"/>
      <c r="O1490" s="347">
        <f>TrialBalance!L310</f>
        <v>0</v>
      </c>
      <c r="Q1490" s="442"/>
      <c r="R1490" s="403" t="str">
        <f t="shared" si="83"/>
        <v>DELETE</v>
      </c>
    </row>
    <row r="1491" spans="2:18" ht="31.5" customHeight="1" x14ac:dyDescent="0.45">
      <c r="B1491" s="323"/>
      <c r="C1491" s="417"/>
      <c r="D1491" s="400">
        <f>TrialBalance!C311</f>
        <v>0</v>
      </c>
      <c r="L1491" s="405"/>
      <c r="M1491" s="421"/>
      <c r="N1491" s="400"/>
      <c r="O1491" s="347">
        <f>TrialBalance!L311</f>
        <v>0</v>
      </c>
      <c r="Q1491" s="442"/>
      <c r="R1491" s="403" t="str">
        <f t="shared" si="83"/>
        <v>DELETE</v>
      </c>
    </row>
    <row r="1492" spans="2:18" ht="9" customHeight="1" x14ac:dyDescent="0.45">
      <c r="B1492" s="323"/>
      <c r="C1492" s="417"/>
      <c r="L1492" s="405"/>
      <c r="M1492" s="421"/>
      <c r="N1492" s="400"/>
      <c r="O1492" s="349"/>
      <c r="Q1492" s="442"/>
      <c r="R1492" s="403" t="str">
        <f>R1494</f>
        <v>DELETE</v>
      </c>
    </row>
    <row r="1493" spans="2:18" ht="9" customHeight="1" x14ac:dyDescent="0.45">
      <c r="B1493" s="323"/>
      <c r="C1493" s="417"/>
      <c r="L1493" s="405"/>
      <c r="M1493" s="421"/>
      <c r="N1493" s="400"/>
      <c r="O1493" s="347"/>
      <c r="Q1493" s="442"/>
      <c r="R1493" s="403" t="str">
        <f>R1494</f>
        <v>DELETE</v>
      </c>
    </row>
    <row r="1494" spans="2:18" ht="31.5" customHeight="1" x14ac:dyDescent="0.45">
      <c r="B1494" s="323"/>
      <c r="C1494" s="417"/>
      <c r="L1494" s="405"/>
      <c r="M1494" s="421"/>
      <c r="N1494" s="400"/>
      <c r="O1494" s="347">
        <f>SUM(O1487:O1493)</f>
        <v>0</v>
      </c>
      <c r="Q1494" s="442"/>
      <c r="R1494" s="403" t="str">
        <f t="shared" ref="R1494" si="84">IF(O1494=0,"DELETE"," ")</f>
        <v>DELETE</v>
      </c>
    </row>
    <row r="1495" spans="2:18" ht="9" customHeight="1" thickBot="1" x14ac:dyDescent="0.5">
      <c r="B1495" s="323"/>
      <c r="C1495" s="417"/>
      <c r="L1495" s="405"/>
      <c r="M1495" s="421"/>
      <c r="N1495" s="400"/>
      <c r="O1495" s="351"/>
      <c r="Q1495" s="442"/>
      <c r="R1495" s="403" t="str">
        <f>R1494</f>
        <v>DELETE</v>
      </c>
    </row>
    <row r="1496" spans="2:18" ht="9" customHeight="1" thickTop="1" x14ac:dyDescent="0.45">
      <c r="B1496" s="323"/>
      <c r="C1496" s="417"/>
      <c r="L1496" s="405"/>
      <c r="M1496" s="421"/>
      <c r="N1496" s="400"/>
      <c r="O1496" s="363"/>
      <c r="Q1496" s="442"/>
      <c r="R1496" s="403" t="str">
        <f>R1495</f>
        <v>DELETE</v>
      </c>
    </row>
    <row r="1497" spans="2:18" ht="31.5" customHeight="1" x14ac:dyDescent="0.45">
      <c r="B1497" s="323"/>
      <c r="C1497" s="417"/>
      <c r="L1497" s="405"/>
      <c r="M1497" s="421"/>
      <c r="N1497" s="400"/>
      <c r="O1497" s="363"/>
      <c r="Q1497" s="442"/>
      <c r="R1497" s="403" t="str">
        <f t="shared" ref="R1497:R1504" si="85">R$1494</f>
        <v>DELETE</v>
      </c>
    </row>
    <row r="1498" spans="2:18" ht="9" customHeight="1" x14ac:dyDescent="0.45">
      <c r="B1498" s="323"/>
      <c r="C1498" s="417"/>
      <c r="L1498" s="405"/>
      <c r="M1498" s="421"/>
      <c r="N1498" s="400"/>
      <c r="O1498" s="349"/>
      <c r="Q1498" s="442"/>
      <c r="R1498" s="403" t="str">
        <f>R1499</f>
        <v>DELETE</v>
      </c>
    </row>
    <row r="1499" spans="2:18" ht="9" customHeight="1" x14ac:dyDescent="0.45">
      <c r="B1499" s="323"/>
      <c r="C1499" s="417"/>
      <c r="L1499" s="405"/>
      <c r="M1499" s="421"/>
      <c r="N1499" s="400"/>
      <c r="O1499" s="363"/>
      <c r="Q1499" s="442"/>
      <c r="R1499" s="403" t="str">
        <f>R1500</f>
        <v>DELETE</v>
      </c>
    </row>
    <row r="1500" spans="2:18" ht="31.5" customHeight="1" x14ac:dyDescent="0.45">
      <c r="B1500" s="323"/>
      <c r="C1500" s="417"/>
      <c r="D1500" s="400" t="s">
        <v>743</v>
      </c>
      <c r="L1500" s="405"/>
      <c r="M1500" s="421"/>
      <c r="N1500" s="400"/>
      <c r="O1500" s="363">
        <f>Criteria!G235</f>
        <v>0</v>
      </c>
      <c r="Q1500" s="442"/>
      <c r="R1500" s="403" t="str">
        <f t="shared" ref="R1500" si="86">IF(O1500=0,"DELETE"," ")</f>
        <v>DELETE</v>
      </c>
    </row>
    <row r="1501" spans="2:18" ht="9" customHeight="1" thickBot="1" x14ac:dyDescent="0.5">
      <c r="B1501" s="323"/>
      <c r="C1501" s="417"/>
      <c r="L1501" s="405"/>
      <c r="M1501" s="421"/>
      <c r="N1501" s="400"/>
      <c r="O1501" s="351"/>
      <c r="Q1501" s="442"/>
      <c r="R1501" s="403" t="str">
        <f>R1500</f>
        <v>DELETE</v>
      </c>
    </row>
    <row r="1502" spans="2:18" ht="9" customHeight="1" thickTop="1" x14ac:dyDescent="0.45">
      <c r="B1502" s="323"/>
      <c r="C1502" s="417"/>
      <c r="L1502" s="405"/>
      <c r="M1502" s="421"/>
      <c r="N1502" s="400"/>
      <c r="O1502" s="363"/>
      <c r="Q1502" s="442"/>
      <c r="R1502" s="403" t="str">
        <f>R1501</f>
        <v>DELETE</v>
      </c>
    </row>
    <row r="1503" spans="2:18" ht="31.5" customHeight="1" x14ac:dyDescent="0.45">
      <c r="B1503" s="323"/>
      <c r="C1503" s="417"/>
      <c r="L1503" s="405"/>
      <c r="M1503" s="421"/>
      <c r="N1503" s="400"/>
      <c r="O1503" s="363"/>
      <c r="Q1503" s="442"/>
      <c r="R1503" s="403" t="str">
        <f t="shared" si="85"/>
        <v>DELETE</v>
      </c>
    </row>
    <row r="1504" spans="2:18" ht="31.5" customHeight="1" x14ac:dyDescent="0.45">
      <c r="B1504" s="323"/>
      <c r="C1504" s="417"/>
      <c r="M1504" s="363"/>
      <c r="N1504" s="314"/>
      <c r="O1504" s="363"/>
      <c r="Q1504" s="442"/>
      <c r="R1504" s="403" t="str">
        <f t="shared" si="85"/>
        <v>DELETE</v>
      </c>
    </row>
    <row r="1505" spans="2:22" ht="31.5" customHeight="1" x14ac:dyDescent="0.45">
      <c r="B1505" s="324"/>
      <c r="C1505" s="465"/>
      <c r="D1505" s="429"/>
      <c r="E1505" s="429"/>
      <c r="F1505" s="429"/>
      <c r="G1505" s="429"/>
      <c r="H1505" s="429"/>
      <c r="I1505" s="429"/>
      <c r="J1505" s="429"/>
      <c r="K1505" s="429"/>
      <c r="L1505" s="429"/>
      <c r="M1505" s="349"/>
      <c r="N1505" s="300"/>
      <c r="O1505" s="349"/>
      <c r="P1505" s="433"/>
      <c r="Q1505" s="446"/>
      <c r="R1505" s="403" t="str">
        <f>R$1494</f>
        <v>DELETE</v>
      </c>
    </row>
    <row r="1506" spans="2:22" ht="31.5" customHeight="1" x14ac:dyDescent="0.45">
      <c r="B1506" s="325"/>
      <c r="C1506" s="417"/>
      <c r="M1506" s="347"/>
      <c r="N1506" s="298"/>
      <c r="O1506" s="347"/>
      <c r="R1506" s="403" t="str">
        <f>R$1494</f>
        <v>DELETE</v>
      </c>
    </row>
    <row r="1507" spans="2:22" ht="31.5" customHeight="1" x14ac:dyDescent="0.45">
      <c r="B1507" s="325"/>
      <c r="C1507" s="417"/>
      <c r="M1507" s="347"/>
      <c r="N1507" s="298"/>
      <c r="O1507" s="347"/>
      <c r="R1507" s="403" t="str">
        <f>R$1525</f>
        <v>DELETE</v>
      </c>
    </row>
    <row r="1508" spans="2:22" ht="31.5" customHeight="1" x14ac:dyDescent="0.45">
      <c r="B1508" s="422"/>
      <c r="D1508" s="417" t="str">
        <f>Criteria!E9</f>
        <v>HOLDING COMPANY 268 (PROPRIETARY) LIMITED</v>
      </c>
      <c r="O1508" s="346" t="s">
        <v>96</v>
      </c>
      <c r="Q1508" s="292">
        <f>MAX($Q$114:Q1507)+1</f>
        <v>36</v>
      </c>
      <c r="R1508" s="403" t="str">
        <f>R$1525</f>
        <v>DELETE</v>
      </c>
    </row>
    <row r="1509" spans="2:22" ht="31.5" customHeight="1" x14ac:dyDescent="0.45">
      <c r="B1509" s="422"/>
      <c r="D1509" s="417" t="str">
        <f>Criteria!E10</f>
        <v>CONSOLIDATED FINANCIAL STATEMENTS</v>
      </c>
      <c r="R1509" s="403" t="str">
        <f>IF(R$1525="DELETE","DELETE",IF(D1509=0,"DELETE"," "))</f>
        <v>DELETE</v>
      </c>
    </row>
    <row r="1510" spans="2:22" ht="31.5" customHeight="1" x14ac:dyDescent="0.45">
      <c r="B1510" s="422"/>
      <c r="R1510" s="403" t="str">
        <f t="shared" ref="R1510:R1517" si="87">R$1525</f>
        <v>DELETE</v>
      </c>
    </row>
    <row r="1511" spans="2:22" ht="31.5" customHeight="1" x14ac:dyDescent="0.45">
      <c r="B1511" s="422"/>
      <c r="D1511" s="417" t="s">
        <v>377</v>
      </c>
      <c r="R1511" s="403" t="str">
        <f t="shared" si="87"/>
        <v>DELETE</v>
      </c>
    </row>
    <row r="1512" spans="2:22" ht="31.5" customHeight="1" x14ac:dyDescent="0.45">
      <c r="B1512" s="422"/>
      <c r="D1512" s="417" t="str">
        <f>Criteria!E20</f>
        <v>29 FEBRUARY 2024</v>
      </c>
      <c r="J1512" s="400" t="s">
        <v>247</v>
      </c>
      <c r="R1512" s="403" t="str">
        <f t="shared" si="87"/>
        <v>DELETE</v>
      </c>
    </row>
    <row r="1513" spans="2:22" ht="31.5" customHeight="1" x14ac:dyDescent="0.45">
      <c r="B1513" s="422"/>
      <c r="R1513" s="403" t="str">
        <f t="shared" si="87"/>
        <v>DELETE</v>
      </c>
    </row>
    <row r="1514" spans="2:22" ht="31.5" customHeight="1" x14ac:dyDescent="0.45">
      <c r="B1514" s="457"/>
      <c r="C1514" s="439"/>
      <c r="D1514" s="439"/>
      <c r="E1514" s="439"/>
      <c r="F1514" s="439"/>
      <c r="G1514" s="439"/>
      <c r="H1514" s="439"/>
      <c r="I1514" s="439"/>
      <c r="J1514" s="439"/>
      <c r="K1514" s="439"/>
      <c r="L1514" s="439"/>
      <c r="M1514" s="447"/>
      <c r="N1514" s="448"/>
      <c r="O1514" s="447"/>
      <c r="P1514" s="448"/>
      <c r="Q1514" s="440"/>
      <c r="R1514" s="403" t="str">
        <f t="shared" si="87"/>
        <v>DELETE</v>
      </c>
    </row>
    <row r="1515" spans="2:22" ht="31.5" customHeight="1" x14ac:dyDescent="0.45">
      <c r="B1515" s="459"/>
      <c r="L1515" s="405"/>
      <c r="M1515" s="421"/>
      <c r="N1515" s="400"/>
      <c r="O1515" s="344">
        <f>Criteria!E22</f>
        <v>2024</v>
      </c>
      <c r="Q1515" s="442"/>
      <c r="R1515" s="403" t="str">
        <f t="shared" si="87"/>
        <v>DELETE</v>
      </c>
    </row>
    <row r="1516" spans="2:22" ht="31.5" customHeight="1" x14ac:dyDescent="0.45">
      <c r="B1516" s="323"/>
      <c r="C1516" s="417"/>
      <c r="L1516" s="405"/>
      <c r="M1516" s="421"/>
      <c r="N1516" s="400"/>
      <c r="O1516" s="347"/>
      <c r="Q1516" s="442"/>
      <c r="R1516" s="403" t="str">
        <f t="shared" si="87"/>
        <v>DELETE</v>
      </c>
    </row>
    <row r="1517" spans="2:22" ht="31.5" customHeight="1" x14ac:dyDescent="0.45">
      <c r="B1517" s="323">
        <f>MAX(B$559:B1516)+1</f>
        <v>14</v>
      </c>
      <c r="C1517" s="417" t="str">
        <f>IF(COUNTIF(TrialBalance!L313:L317,"&gt;0")&gt;1,"OTHER INVESTMENTS","OTHER INVESTMENT")</f>
        <v>OTHER INVESTMENT</v>
      </c>
      <c r="D1517" s="405"/>
      <c r="L1517" s="405"/>
      <c r="M1517" s="421"/>
      <c r="N1517" s="400"/>
      <c r="O1517" s="347"/>
      <c r="Q1517" s="442"/>
      <c r="R1517" s="403" t="str">
        <f t="shared" si="87"/>
        <v>DELETE</v>
      </c>
      <c r="S1517" s="383"/>
      <c r="T1517" s="383"/>
      <c r="U1517" s="383"/>
      <c r="V1517" s="383"/>
    </row>
    <row r="1518" spans="2:22" ht="31.5" customHeight="1" x14ac:dyDescent="0.45">
      <c r="B1518" s="323"/>
      <c r="C1518" s="417"/>
      <c r="D1518" s="400">
        <f>TrialBalance!C313</f>
        <v>0</v>
      </c>
      <c r="L1518" s="405"/>
      <c r="M1518" s="421"/>
      <c r="N1518" s="400"/>
      <c r="O1518" s="347">
        <f>TrialBalance!L313</f>
        <v>0</v>
      </c>
      <c r="Q1518" s="442"/>
      <c r="R1518" s="403" t="str">
        <f t="shared" ref="R1518:R1522" si="88">IF(O1518=0,"DELETE"," ")</f>
        <v>DELETE</v>
      </c>
    </row>
    <row r="1519" spans="2:22" ht="31.5" customHeight="1" x14ac:dyDescent="0.45">
      <c r="B1519" s="323"/>
      <c r="C1519" s="417"/>
      <c r="D1519" s="400">
        <f>TrialBalance!C314</f>
        <v>0</v>
      </c>
      <c r="L1519" s="405"/>
      <c r="M1519" s="421"/>
      <c r="N1519" s="400"/>
      <c r="O1519" s="347">
        <f>TrialBalance!L314</f>
        <v>0</v>
      </c>
      <c r="Q1519" s="442"/>
      <c r="R1519" s="403" t="str">
        <f t="shared" si="88"/>
        <v>DELETE</v>
      </c>
    </row>
    <row r="1520" spans="2:22" ht="31.5" customHeight="1" x14ac:dyDescent="0.45">
      <c r="B1520" s="323"/>
      <c r="C1520" s="417"/>
      <c r="D1520" s="400">
        <f>TrialBalance!C315</f>
        <v>0</v>
      </c>
      <c r="L1520" s="405"/>
      <c r="M1520" s="421"/>
      <c r="N1520" s="400"/>
      <c r="O1520" s="347">
        <f>TrialBalance!L315</f>
        <v>0</v>
      </c>
      <c r="Q1520" s="442"/>
      <c r="R1520" s="403" t="str">
        <f t="shared" si="88"/>
        <v>DELETE</v>
      </c>
    </row>
    <row r="1521" spans="2:22" ht="31.5" customHeight="1" x14ac:dyDescent="0.45">
      <c r="B1521" s="323"/>
      <c r="C1521" s="417"/>
      <c r="D1521" s="400">
        <f>TrialBalance!C316</f>
        <v>0</v>
      </c>
      <c r="L1521" s="405"/>
      <c r="M1521" s="421"/>
      <c r="N1521" s="400"/>
      <c r="O1521" s="347">
        <f>TrialBalance!L316</f>
        <v>0</v>
      </c>
      <c r="Q1521" s="442"/>
      <c r="R1521" s="403" t="str">
        <f t="shared" si="88"/>
        <v>DELETE</v>
      </c>
    </row>
    <row r="1522" spans="2:22" ht="31.5" customHeight="1" x14ac:dyDescent="0.45">
      <c r="B1522" s="323"/>
      <c r="C1522" s="417"/>
      <c r="D1522" s="400">
        <f>TrialBalance!C317</f>
        <v>0</v>
      </c>
      <c r="L1522" s="405"/>
      <c r="M1522" s="421"/>
      <c r="N1522" s="400"/>
      <c r="O1522" s="347">
        <f>TrialBalance!L317</f>
        <v>0</v>
      </c>
      <c r="Q1522" s="442"/>
      <c r="R1522" s="403" t="str">
        <f t="shared" si="88"/>
        <v>DELETE</v>
      </c>
    </row>
    <row r="1523" spans="2:22" ht="9" customHeight="1" x14ac:dyDescent="0.45">
      <c r="B1523" s="323"/>
      <c r="C1523" s="417"/>
      <c r="L1523" s="405"/>
      <c r="M1523" s="421"/>
      <c r="N1523" s="400"/>
      <c r="O1523" s="349"/>
      <c r="Q1523" s="442"/>
      <c r="R1523" s="403" t="str">
        <f>R1525</f>
        <v>DELETE</v>
      </c>
    </row>
    <row r="1524" spans="2:22" ht="9" customHeight="1" x14ac:dyDescent="0.45">
      <c r="B1524" s="323"/>
      <c r="C1524" s="417"/>
      <c r="L1524" s="405"/>
      <c r="M1524" s="421"/>
      <c r="N1524" s="400"/>
      <c r="O1524" s="347"/>
      <c r="Q1524" s="442"/>
      <c r="R1524" s="403" t="str">
        <f>R1525</f>
        <v>DELETE</v>
      </c>
    </row>
    <row r="1525" spans="2:22" ht="31.5" customHeight="1" x14ac:dyDescent="0.45">
      <c r="B1525" s="323"/>
      <c r="C1525" s="417"/>
      <c r="L1525" s="405"/>
      <c r="M1525" s="421"/>
      <c r="N1525" s="400"/>
      <c r="O1525" s="347">
        <f>SUM(O1518:O1524)</f>
        <v>0</v>
      </c>
      <c r="Q1525" s="442"/>
      <c r="R1525" s="403" t="str">
        <f t="shared" ref="R1525" si="89">IF(O1525=0,"DELETE"," ")</f>
        <v>DELETE</v>
      </c>
      <c r="U1525" s="385"/>
      <c r="V1525" s="385"/>
    </row>
    <row r="1526" spans="2:22" ht="9" customHeight="1" thickBot="1" x14ac:dyDescent="0.5">
      <c r="B1526" s="323"/>
      <c r="C1526" s="417"/>
      <c r="L1526" s="405"/>
      <c r="M1526" s="421"/>
      <c r="N1526" s="400"/>
      <c r="O1526" s="351"/>
      <c r="Q1526" s="442"/>
      <c r="R1526" s="403" t="str">
        <f>R1525</f>
        <v>DELETE</v>
      </c>
    </row>
    <row r="1527" spans="2:22" ht="9" customHeight="1" thickTop="1" x14ac:dyDescent="0.45">
      <c r="B1527" s="323"/>
      <c r="C1527" s="417"/>
      <c r="L1527" s="405"/>
      <c r="M1527" s="421"/>
      <c r="N1527" s="400"/>
      <c r="O1527" s="363"/>
      <c r="Q1527" s="442"/>
      <c r="R1527" s="403" t="str">
        <f>R1526</f>
        <v>DELETE</v>
      </c>
    </row>
    <row r="1528" spans="2:22" ht="31.5" customHeight="1" x14ac:dyDescent="0.45">
      <c r="B1528" s="323"/>
      <c r="C1528" s="417"/>
      <c r="L1528" s="405"/>
      <c r="M1528" s="421"/>
      <c r="N1528" s="400"/>
      <c r="O1528" s="347"/>
      <c r="Q1528" s="442"/>
      <c r="R1528" s="403" t="str">
        <f t="shared" ref="R1528:R1536" si="90">R$1525</f>
        <v>DELETE</v>
      </c>
    </row>
    <row r="1529" spans="2:22" ht="9" customHeight="1" x14ac:dyDescent="0.45">
      <c r="B1529" s="323"/>
      <c r="C1529" s="417"/>
      <c r="L1529" s="405"/>
      <c r="M1529" s="421"/>
      <c r="N1529" s="400"/>
      <c r="O1529" s="349"/>
      <c r="Q1529" s="442"/>
      <c r="R1529" s="403" t="str">
        <f>R1530</f>
        <v>DELETE</v>
      </c>
    </row>
    <row r="1530" spans="2:22" ht="9" customHeight="1" x14ac:dyDescent="0.45">
      <c r="B1530" s="323"/>
      <c r="C1530" s="417"/>
      <c r="L1530" s="405"/>
      <c r="M1530" s="421"/>
      <c r="N1530" s="400"/>
      <c r="O1530" s="347"/>
      <c r="Q1530" s="442"/>
      <c r="R1530" s="403" t="str">
        <f>R1531</f>
        <v>DELETE</v>
      </c>
    </row>
    <row r="1531" spans="2:22" ht="31.5" customHeight="1" x14ac:dyDescent="0.45">
      <c r="B1531" s="323"/>
      <c r="C1531" s="400" t="str">
        <f>IF(MAX(Criteria!I38:I42)&gt;1,"Directors' valuation","Director's valuation")</f>
        <v>Director's valuation</v>
      </c>
      <c r="L1531" s="405"/>
      <c r="M1531" s="421"/>
      <c r="N1531" s="400"/>
      <c r="O1531" s="347">
        <f>Criteria!G238</f>
        <v>0</v>
      </c>
      <c r="Q1531" s="442"/>
      <c r="R1531" s="403" t="str">
        <f t="shared" ref="R1531" si="91">IF(O1531=0,"DELETE"," ")</f>
        <v>DELETE</v>
      </c>
    </row>
    <row r="1532" spans="2:22" ht="9" customHeight="1" thickBot="1" x14ac:dyDescent="0.5">
      <c r="B1532" s="323"/>
      <c r="C1532" s="417"/>
      <c r="L1532" s="405"/>
      <c r="M1532" s="421"/>
      <c r="N1532" s="400"/>
      <c r="O1532" s="351"/>
      <c r="Q1532" s="442"/>
      <c r="R1532" s="403" t="str">
        <f>R1531</f>
        <v>DELETE</v>
      </c>
    </row>
    <row r="1533" spans="2:22" ht="9" customHeight="1" thickTop="1" x14ac:dyDescent="0.45">
      <c r="B1533" s="323"/>
      <c r="C1533" s="417"/>
      <c r="L1533" s="405"/>
      <c r="M1533" s="421"/>
      <c r="N1533" s="400"/>
      <c r="O1533" s="347"/>
      <c r="Q1533" s="442"/>
      <c r="R1533" s="403" t="str">
        <f>R1532</f>
        <v>DELETE</v>
      </c>
    </row>
    <row r="1534" spans="2:22" ht="31.5" customHeight="1" x14ac:dyDescent="0.45">
      <c r="B1534" s="323"/>
      <c r="C1534" s="417"/>
      <c r="M1534" s="347"/>
      <c r="N1534" s="298"/>
      <c r="O1534" s="347"/>
      <c r="Q1534" s="442"/>
      <c r="R1534" s="403" t="str">
        <f t="shared" si="90"/>
        <v>DELETE</v>
      </c>
    </row>
    <row r="1535" spans="2:22" ht="31.5" customHeight="1" x14ac:dyDescent="0.45">
      <c r="B1535" s="324"/>
      <c r="C1535" s="465"/>
      <c r="D1535" s="429"/>
      <c r="E1535" s="429"/>
      <c r="F1535" s="429"/>
      <c r="G1535" s="429"/>
      <c r="H1535" s="429"/>
      <c r="I1535" s="429"/>
      <c r="J1535" s="429"/>
      <c r="K1535" s="429"/>
      <c r="L1535" s="429"/>
      <c r="M1535" s="349"/>
      <c r="N1535" s="300"/>
      <c r="O1535" s="349"/>
      <c r="P1535" s="433"/>
      <c r="Q1535" s="446"/>
      <c r="R1535" s="403" t="str">
        <f t="shared" si="90"/>
        <v>DELETE</v>
      </c>
    </row>
    <row r="1536" spans="2:22" ht="31.5" customHeight="1" x14ac:dyDescent="0.45">
      <c r="B1536" s="325"/>
      <c r="C1536" s="417"/>
      <c r="M1536" s="347"/>
      <c r="N1536" s="298"/>
      <c r="O1536" s="347"/>
      <c r="R1536" s="403" t="str">
        <f t="shared" si="90"/>
        <v>DELETE</v>
      </c>
    </row>
    <row r="1537" spans="2:19" ht="31.5" customHeight="1" x14ac:dyDescent="0.45">
      <c r="B1537" s="422"/>
      <c r="M1537" s="426"/>
      <c r="N1537" s="406"/>
      <c r="O1537" s="426"/>
      <c r="R1537" s="403" t="str">
        <f>R$1588</f>
        <v>DELETE</v>
      </c>
    </row>
    <row r="1538" spans="2:19" ht="31.5" customHeight="1" x14ac:dyDescent="0.45">
      <c r="B1538" s="422"/>
      <c r="D1538" s="417" t="str">
        <f>Criteria!E9</f>
        <v>HOLDING COMPANY 268 (PROPRIETARY) LIMITED</v>
      </c>
      <c r="M1538" s="426"/>
      <c r="N1538" s="406"/>
      <c r="O1538" s="347" t="s">
        <v>96</v>
      </c>
      <c r="Q1538" s="292">
        <f>MAX($Q$114:Q1537)+1</f>
        <v>37</v>
      </c>
      <c r="R1538" s="403" t="str">
        <f t="shared" ref="R1538:R1547" si="92">R$1588</f>
        <v>DELETE</v>
      </c>
    </row>
    <row r="1539" spans="2:19" ht="31.5" customHeight="1" x14ac:dyDescent="0.45">
      <c r="B1539" s="422"/>
      <c r="D1539" s="417" t="str">
        <f>Criteria!E10</f>
        <v>CONSOLIDATED FINANCIAL STATEMENTS</v>
      </c>
      <c r="M1539" s="426"/>
      <c r="N1539" s="406"/>
      <c r="O1539" s="426"/>
      <c r="R1539" s="403" t="str">
        <f>IF(R$1588="DELETE","DELETE",IF(D1539=0,"DELETE"," "))</f>
        <v>DELETE</v>
      </c>
    </row>
    <row r="1540" spans="2:19" ht="31.5" customHeight="1" x14ac:dyDescent="0.45">
      <c r="B1540" s="422"/>
      <c r="M1540" s="426"/>
      <c r="N1540" s="406"/>
      <c r="O1540" s="426"/>
      <c r="R1540" s="403" t="str">
        <f t="shared" si="92"/>
        <v>DELETE</v>
      </c>
    </row>
    <row r="1541" spans="2:19" ht="31.5" customHeight="1" x14ac:dyDescent="0.45">
      <c r="B1541" s="422"/>
      <c r="D1541" s="417" t="s">
        <v>377</v>
      </c>
      <c r="M1541" s="426"/>
      <c r="N1541" s="406"/>
      <c r="O1541" s="426"/>
      <c r="R1541" s="403" t="str">
        <f t="shared" si="92"/>
        <v>DELETE</v>
      </c>
    </row>
    <row r="1542" spans="2:19" ht="31.5" customHeight="1" x14ac:dyDescent="0.45">
      <c r="B1542" s="422"/>
      <c r="D1542" s="417" t="str">
        <f>Criteria!E20</f>
        <v>29 FEBRUARY 2024</v>
      </c>
      <c r="J1542" s="400" t="s">
        <v>247</v>
      </c>
      <c r="M1542" s="426"/>
      <c r="N1542" s="406"/>
      <c r="O1542" s="426"/>
      <c r="R1542" s="403" t="str">
        <f t="shared" si="92"/>
        <v>DELETE</v>
      </c>
    </row>
    <row r="1543" spans="2:19" ht="31.5" customHeight="1" x14ac:dyDescent="0.45">
      <c r="B1543" s="422"/>
      <c r="M1543" s="437"/>
      <c r="N1543" s="461"/>
      <c r="O1543" s="437"/>
      <c r="R1543" s="403" t="str">
        <f t="shared" si="92"/>
        <v>DELETE</v>
      </c>
    </row>
    <row r="1544" spans="2:19" ht="31.5" customHeight="1" x14ac:dyDescent="0.45">
      <c r="B1544" s="457"/>
      <c r="C1544" s="439"/>
      <c r="D1544" s="439"/>
      <c r="E1544" s="439"/>
      <c r="F1544" s="439"/>
      <c r="G1544" s="439"/>
      <c r="H1544" s="439"/>
      <c r="I1544" s="439"/>
      <c r="J1544" s="439"/>
      <c r="K1544" s="439"/>
      <c r="L1544" s="439"/>
      <c r="M1544" s="469"/>
      <c r="N1544" s="470"/>
      <c r="O1544" s="469"/>
      <c r="P1544" s="448"/>
      <c r="Q1544" s="440"/>
      <c r="R1544" s="403" t="str">
        <f t="shared" si="92"/>
        <v>DELETE</v>
      </c>
    </row>
    <row r="1545" spans="2:19" ht="31.5" customHeight="1" x14ac:dyDescent="0.45">
      <c r="B1545" s="323"/>
      <c r="C1545" s="417"/>
      <c r="L1545" s="405"/>
      <c r="M1545" s="421"/>
      <c r="N1545" s="400"/>
      <c r="O1545" s="344">
        <f>Criteria!E22</f>
        <v>2024</v>
      </c>
      <c r="Q1545" s="442"/>
      <c r="R1545" s="403" t="str">
        <f t="shared" si="92"/>
        <v>DELETE</v>
      </c>
    </row>
    <row r="1546" spans="2:19" ht="31.5" customHeight="1" x14ac:dyDescent="0.45">
      <c r="B1546" s="323"/>
      <c r="C1546" s="417"/>
      <c r="L1546" s="405"/>
      <c r="M1546" s="421"/>
      <c r="N1546" s="400"/>
      <c r="O1546" s="347"/>
      <c r="Q1546" s="442"/>
      <c r="R1546" s="403" t="str">
        <f t="shared" si="92"/>
        <v>DELETE</v>
      </c>
    </row>
    <row r="1547" spans="2:19" ht="31.5" customHeight="1" x14ac:dyDescent="0.45">
      <c r="B1547" s="323">
        <f>MAX(B$559:B1546)+1</f>
        <v>15</v>
      </c>
      <c r="C1547" s="417" t="str">
        <f>IF(COUNTIF(TrialBalance!L319:L352,"&gt;0")&gt;1,"NON - CURRENT RECEIVABLES","NON - CURRENT RECEIVABLE")</f>
        <v>NON - CURRENT RECEIVABLE</v>
      </c>
      <c r="L1547" s="405"/>
      <c r="M1547" s="421"/>
      <c r="N1547" s="400"/>
      <c r="O1547" s="347"/>
      <c r="Q1547" s="442"/>
      <c r="R1547" s="403" t="str">
        <f t="shared" si="92"/>
        <v>DELETE</v>
      </c>
    </row>
    <row r="1548" spans="2:19" ht="31.5" customHeight="1" x14ac:dyDescent="0.45">
      <c r="B1548" s="323"/>
      <c r="C1548" s="417"/>
      <c r="D1548" s="400" t="str">
        <f>IF(COUNTIF(O1551:O1564,"&gt;0")&gt;1,"Interest bearing non - current receivables","Interest bearing non - current receivable")</f>
        <v>Interest bearing non - current receivable</v>
      </c>
      <c r="L1548" s="405"/>
      <c r="M1548" s="421"/>
      <c r="N1548" s="400"/>
      <c r="O1548" s="347">
        <f>SUM(O1550:O1565)</f>
        <v>0</v>
      </c>
      <c r="Q1548" s="442"/>
      <c r="R1548" s="403" t="str">
        <f t="shared" ref="R1548" si="93">IF(O1548=0,"DELETE"," ")</f>
        <v>DELETE</v>
      </c>
      <c r="S1548" s="380">
        <f>O1548</f>
        <v>0</v>
      </c>
    </row>
    <row r="1549" spans="2:19" ht="9" customHeight="1" x14ac:dyDescent="0.45">
      <c r="B1549" s="323"/>
      <c r="C1549" s="417"/>
      <c r="L1549" s="405"/>
      <c r="M1549" s="421"/>
      <c r="N1549" s="400"/>
      <c r="O1549" s="347"/>
      <c r="Q1549" s="442"/>
      <c r="R1549" s="403" t="str">
        <f>R1548</f>
        <v>DELETE</v>
      </c>
    </row>
    <row r="1550" spans="2:19" ht="9" customHeight="1" x14ac:dyDescent="0.45">
      <c r="B1550" s="323"/>
      <c r="C1550" s="417"/>
      <c r="L1550" s="405"/>
      <c r="M1550" s="421"/>
      <c r="N1550" s="400"/>
      <c r="O1550" s="372"/>
      <c r="Q1550" s="442"/>
      <c r="R1550" s="403" t="str">
        <f>R1549</f>
        <v>DELETE</v>
      </c>
    </row>
    <row r="1551" spans="2:19" ht="31.5" customHeight="1" x14ac:dyDescent="0.45">
      <c r="B1551" s="323"/>
      <c r="C1551" s="417"/>
      <c r="D1551" s="400">
        <f>TrialBalance!C320</f>
        <v>0</v>
      </c>
      <c r="L1551" s="405"/>
      <c r="M1551" s="421"/>
      <c r="N1551" s="400"/>
      <c r="O1551" s="373">
        <f>TrialBalance!L320</f>
        <v>0</v>
      </c>
      <c r="Q1551" s="442"/>
      <c r="R1551" s="403" t="str">
        <f t="shared" ref="R1551:R1564" si="94">IF(O1551=0,"DELETE"," ")</f>
        <v>DELETE</v>
      </c>
    </row>
    <row r="1552" spans="2:19" ht="31.5" customHeight="1" x14ac:dyDescent="0.45">
      <c r="B1552" s="323"/>
      <c r="C1552" s="417"/>
      <c r="D1552" s="400">
        <f>TrialBalance!C321</f>
        <v>0</v>
      </c>
      <c r="L1552" s="405"/>
      <c r="M1552" s="421"/>
      <c r="N1552" s="400"/>
      <c r="O1552" s="373">
        <f>TrialBalance!L321</f>
        <v>0</v>
      </c>
      <c r="Q1552" s="442"/>
      <c r="R1552" s="403" t="str">
        <f t="shared" ref="R1552:R1553" si="95">IF(O1552=0,"DELETE"," ")</f>
        <v>DELETE</v>
      </c>
    </row>
    <row r="1553" spans="2:19" ht="31.5" customHeight="1" x14ac:dyDescent="0.45">
      <c r="B1553" s="323"/>
      <c r="C1553" s="417"/>
      <c r="D1553" s="400">
        <f>TrialBalance!C322</f>
        <v>0</v>
      </c>
      <c r="L1553" s="405"/>
      <c r="M1553" s="421"/>
      <c r="N1553" s="400"/>
      <c r="O1553" s="373">
        <f>TrialBalance!L322</f>
        <v>0</v>
      </c>
      <c r="Q1553" s="442"/>
      <c r="R1553" s="403" t="str">
        <f t="shared" si="95"/>
        <v>DELETE</v>
      </c>
    </row>
    <row r="1554" spans="2:19" ht="31.5" customHeight="1" x14ac:dyDescent="0.45">
      <c r="B1554" s="323"/>
      <c r="C1554" s="417"/>
      <c r="D1554" s="400">
        <f>TrialBalance!C323</f>
        <v>0</v>
      </c>
      <c r="L1554" s="405"/>
      <c r="M1554" s="421"/>
      <c r="N1554" s="400"/>
      <c r="O1554" s="373">
        <f>TrialBalance!L323</f>
        <v>0</v>
      </c>
      <c r="Q1554" s="442"/>
      <c r="R1554" s="403" t="str">
        <f t="shared" ref="R1554:R1559" si="96">IF(O1554=0,"DELETE"," ")</f>
        <v>DELETE</v>
      </c>
    </row>
    <row r="1555" spans="2:19" ht="31.5" customHeight="1" x14ac:dyDescent="0.45">
      <c r="B1555" s="323"/>
      <c r="C1555" s="417"/>
      <c r="D1555" s="400">
        <f>TrialBalance!C324</f>
        <v>0</v>
      </c>
      <c r="L1555" s="405"/>
      <c r="M1555" s="421"/>
      <c r="N1555" s="400"/>
      <c r="O1555" s="373">
        <f>TrialBalance!L324</f>
        <v>0</v>
      </c>
      <c r="Q1555" s="442"/>
      <c r="R1555" s="403" t="str">
        <f t="shared" si="96"/>
        <v>DELETE</v>
      </c>
    </row>
    <row r="1556" spans="2:19" ht="31.5" customHeight="1" x14ac:dyDescent="0.45">
      <c r="B1556" s="323"/>
      <c r="C1556" s="417"/>
      <c r="D1556" s="400">
        <f>TrialBalance!C325</f>
        <v>0</v>
      </c>
      <c r="L1556" s="405"/>
      <c r="M1556" s="421"/>
      <c r="N1556" s="400"/>
      <c r="O1556" s="373">
        <f>TrialBalance!L325</f>
        <v>0</v>
      </c>
      <c r="Q1556" s="442"/>
      <c r="R1556" s="403" t="str">
        <f t="shared" si="96"/>
        <v>DELETE</v>
      </c>
    </row>
    <row r="1557" spans="2:19" ht="31.5" customHeight="1" x14ac:dyDescent="0.45">
      <c r="B1557" s="323"/>
      <c r="C1557" s="417"/>
      <c r="D1557" s="400">
        <f>TrialBalance!C326</f>
        <v>0</v>
      </c>
      <c r="L1557" s="405"/>
      <c r="M1557" s="421"/>
      <c r="N1557" s="400"/>
      <c r="O1557" s="373">
        <f>TrialBalance!L326</f>
        <v>0</v>
      </c>
      <c r="Q1557" s="442"/>
      <c r="R1557" s="403" t="str">
        <f t="shared" si="96"/>
        <v>DELETE</v>
      </c>
    </row>
    <row r="1558" spans="2:19" ht="31.5" customHeight="1" x14ac:dyDescent="0.45">
      <c r="B1558" s="323"/>
      <c r="C1558" s="417"/>
      <c r="D1558" s="400">
        <f>TrialBalance!C327</f>
        <v>0</v>
      </c>
      <c r="L1558" s="405"/>
      <c r="M1558" s="421"/>
      <c r="N1558" s="400"/>
      <c r="O1558" s="373">
        <f>TrialBalance!L327</f>
        <v>0</v>
      </c>
      <c r="Q1558" s="442"/>
      <c r="R1558" s="403" t="str">
        <f t="shared" si="96"/>
        <v>DELETE</v>
      </c>
    </row>
    <row r="1559" spans="2:19" ht="31.5" customHeight="1" x14ac:dyDescent="0.45">
      <c r="B1559" s="323"/>
      <c r="C1559" s="417"/>
      <c r="D1559" s="400">
        <f>TrialBalance!C328</f>
        <v>0</v>
      </c>
      <c r="L1559" s="405"/>
      <c r="M1559" s="421"/>
      <c r="N1559" s="400"/>
      <c r="O1559" s="373">
        <f>TrialBalance!L328</f>
        <v>0</v>
      </c>
      <c r="Q1559" s="442"/>
      <c r="R1559" s="403" t="str">
        <f t="shared" si="96"/>
        <v>DELETE</v>
      </c>
    </row>
    <row r="1560" spans="2:19" ht="31.5" customHeight="1" x14ac:dyDescent="0.45">
      <c r="B1560" s="323"/>
      <c r="C1560" s="417"/>
      <c r="D1560" s="400">
        <f>TrialBalance!C329</f>
        <v>0</v>
      </c>
      <c r="L1560" s="405"/>
      <c r="M1560" s="421"/>
      <c r="N1560" s="400"/>
      <c r="O1560" s="373">
        <f>TrialBalance!L329</f>
        <v>0</v>
      </c>
      <c r="Q1560" s="442"/>
      <c r="R1560" s="403" t="str">
        <f t="shared" si="94"/>
        <v>DELETE</v>
      </c>
    </row>
    <row r="1561" spans="2:19" ht="31.5" customHeight="1" x14ac:dyDescent="0.45">
      <c r="B1561" s="323"/>
      <c r="C1561" s="417"/>
      <c r="D1561" s="400">
        <f>TrialBalance!C343</f>
        <v>0</v>
      </c>
      <c r="L1561" s="405"/>
      <c r="M1561" s="421"/>
      <c r="N1561" s="400"/>
      <c r="O1561" s="373">
        <f>TrialBalance!L343</f>
        <v>0</v>
      </c>
      <c r="Q1561" s="442"/>
      <c r="R1561" s="403" t="str">
        <f t="shared" si="94"/>
        <v>DELETE</v>
      </c>
    </row>
    <row r="1562" spans="2:19" ht="31.5" customHeight="1" x14ac:dyDescent="0.45">
      <c r="B1562" s="323"/>
      <c r="C1562" s="417"/>
      <c r="D1562" s="400">
        <f>TrialBalance!C344</f>
        <v>0</v>
      </c>
      <c r="L1562" s="405"/>
      <c r="M1562" s="421"/>
      <c r="N1562" s="400"/>
      <c r="O1562" s="373">
        <f>TrialBalance!L344</f>
        <v>0</v>
      </c>
      <c r="Q1562" s="442"/>
      <c r="R1562" s="403" t="str">
        <f t="shared" si="94"/>
        <v>DELETE</v>
      </c>
    </row>
    <row r="1563" spans="2:19" ht="31.5" customHeight="1" x14ac:dyDescent="0.45">
      <c r="B1563" s="323"/>
      <c r="C1563" s="417"/>
      <c r="D1563" s="400">
        <f>TrialBalance!C345</f>
        <v>0</v>
      </c>
      <c r="L1563" s="405"/>
      <c r="M1563" s="421"/>
      <c r="N1563" s="400"/>
      <c r="O1563" s="373">
        <f>TrialBalance!L345</f>
        <v>0</v>
      </c>
      <c r="Q1563" s="442"/>
      <c r="R1563" s="403" t="str">
        <f t="shared" ref="R1563" si="97">IF(O1563=0,"DELETE"," ")</f>
        <v>DELETE</v>
      </c>
    </row>
    <row r="1564" spans="2:19" ht="31.5" customHeight="1" x14ac:dyDescent="0.45">
      <c r="B1564" s="323"/>
      <c r="C1564" s="417"/>
      <c r="D1564" s="400">
        <f>TrialBalance!C346</f>
        <v>0</v>
      </c>
      <c r="L1564" s="405"/>
      <c r="M1564" s="421"/>
      <c r="N1564" s="400"/>
      <c r="O1564" s="373">
        <f>TrialBalance!L346</f>
        <v>0</v>
      </c>
      <c r="Q1564" s="442"/>
      <c r="R1564" s="403" t="str">
        <f t="shared" si="94"/>
        <v>DELETE</v>
      </c>
    </row>
    <row r="1565" spans="2:19" ht="9" customHeight="1" x14ac:dyDescent="0.45">
      <c r="B1565" s="323"/>
      <c r="C1565" s="417"/>
      <c r="L1565" s="405"/>
      <c r="M1565" s="421"/>
      <c r="N1565" s="400"/>
      <c r="O1565" s="374"/>
      <c r="Q1565" s="442"/>
      <c r="R1565" s="403" t="str">
        <f>R1548</f>
        <v>DELETE</v>
      </c>
    </row>
    <row r="1566" spans="2:19" ht="9" customHeight="1" x14ac:dyDescent="0.45">
      <c r="B1566" s="323"/>
      <c r="C1566" s="417"/>
      <c r="L1566" s="405"/>
      <c r="M1566" s="421"/>
      <c r="N1566" s="400"/>
      <c r="O1566" s="347"/>
      <c r="Q1566" s="442"/>
      <c r="R1566" s="403" t="str">
        <f>R1565</f>
        <v>DELETE</v>
      </c>
    </row>
    <row r="1567" spans="2:19" ht="31.5" customHeight="1" x14ac:dyDescent="0.45">
      <c r="B1567" s="323"/>
      <c r="C1567" s="417"/>
      <c r="D1567" s="400" t="str">
        <f>IF(COUNTIF(O1570:O1584,"&gt;0")&gt;1,"Interest free non - current receivables","Interest free non - current receivable")</f>
        <v>Interest free non - current receivable</v>
      </c>
      <c r="L1567" s="405"/>
      <c r="M1567" s="421"/>
      <c r="N1567" s="400"/>
      <c r="O1567" s="347">
        <f>SUM(O1569:O1585)</f>
        <v>0</v>
      </c>
      <c r="Q1567" s="442"/>
      <c r="R1567" s="403" t="str">
        <f t="shared" ref="R1567" si="98">IF(O1567=0,"DELETE"," ")</f>
        <v>DELETE</v>
      </c>
      <c r="S1567" s="380">
        <f>O1567</f>
        <v>0</v>
      </c>
    </row>
    <row r="1568" spans="2:19" ht="9" customHeight="1" x14ac:dyDescent="0.45">
      <c r="B1568" s="323"/>
      <c r="C1568" s="417"/>
      <c r="L1568" s="405"/>
      <c r="M1568" s="421"/>
      <c r="N1568" s="400"/>
      <c r="O1568" s="347"/>
      <c r="Q1568" s="442"/>
      <c r="R1568" s="403" t="str">
        <f>R1567</f>
        <v>DELETE</v>
      </c>
    </row>
    <row r="1569" spans="2:18" ht="9" customHeight="1" x14ac:dyDescent="0.45">
      <c r="B1569" s="323"/>
      <c r="C1569" s="417"/>
      <c r="L1569" s="405"/>
      <c r="M1569" s="421"/>
      <c r="N1569" s="400"/>
      <c r="O1569" s="372"/>
      <c r="Q1569" s="442"/>
      <c r="R1569" s="403" t="str">
        <f>R1568</f>
        <v>DELETE</v>
      </c>
    </row>
    <row r="1570" spans="2:18" ht="31.5" customHeight="1" x14ac:dyDescent="0.45">
      <c r="B1570" s="323"/>
      <c r="C1570" s="417"/>
      <c r="D1570" s="400">
        <f>TrialBalance!C331</f>
        <v>0</v>
      </c>
      <c r="L1570" s="405"/>
      <c r="M1570" s="421"/>
      <c r="N1570" s="400"/>
      <c r="O1570" s="373">
        <f>TrialBalance!L331</f>
        <v>0</v>
      </c>
      <c r="Q1570" s="442"/>
      <c r="R1570" s="403" t="str">
        <f t="shared" ref="R1570:R1584" si="99">IF(O1570=0,"DELETE"," ")</f>
        <v>DELETE</v>
      </c>
    </row>
    <row r="1571" spans="2:18" ht="31.5" customHeight="1" x14ac:dyDescent="0.45">
      <c r="B1571" s="323"/>
      <c r="C1571" s="417"/>
      <c r="D1571" s="400">
        <f>TrialBalance!C332</f>
        <v>0</v>
      </c>
      <c r="L1571" s="405"/>
      <c r="M1571" s="421"/>
      <c r="N1571" s="400"/>
      <c r="O1571" s="373">
        <f>TrialBalance!L332</f>
        <v>0</v>
      </c>
      <c r="Q1571" s="442"/>
      <c r="R1571" s="403" t="str">
        <f t="shared" ref="R1571" si="100">IF(O1571=0,"DELETE"," ")</f>
        <v>DELETE</v>
      </c>
    </row>
    <row r="1572" spans="2:18" ht="31.5" customHeight="1" x14ac:dyDescent="0.45">
      <c r="B1572" s="323"/>
      <c r="C1572" s="417"/>
      <c r="D1572" s="400">
        <f>TrialBalance!C333</f>
        <v>0</v>
      </c>
      <c r="L1572" s="405"/>
      <c r="M1572" s="421"/>
      <c r="N1572" s="400"/>
      <c r="O1572" s="373">
        <f>TrialBalance!L333</f>
        <v>0</v>
      </c>
      <c r="Q1572" s="442"/>
      <c r="R1572" s="403" t="str">
        <f t="shared" si="99"/>
        <v>DELETE</v>
      </c>
    </row>
    <row r="1573" spans="2:18" ht="31.5" customHeight="1" x14ac:dyDescent="0.45">
      <c r="B1573" s="323"/>
      <c r="C1573" s="417"/>
      <c r="D1573" s="400">
        <f>TrialBalance!C334</f>
        <v>0</v>
      </c>
      <c r="L1573" s="405"/>
      <c r="M1573" s="421"/>
      <c r="N1573" s="400"/>
      <c r="O1573" s="373">
        <f>TrialBalance!L334</f>
        <v>0</v>
      </c>
      <c r="Q1573" s="442"/>
      <c r="R1573" s="403" t="str">
        <f t="shared" ref="R1573:R1578" si="101">IF(O1573=0,"DELETE"," ")</f>
        <v>DELETE</v>
      </c>
    </row>
    <row r="1574" spans="2:18" ht="31.5" customHeight="1" x14ac:dyDescent="0.45">
      <c r="B1574" s="323"/>
      <c r="C1574" s="417"/>
      <c r="D1574" s="400">
        <f>TrialBalance!C335</f>
        <v>0</v>
      </c>
      <c r="L1574" s="405"/>
      <c r="M1574" s="421"/>
      <c r="N1574" s="400"/>
      <c r="O1574" s="373">
        <f>TrialBalance!L335</f>
        <v>0</v>
      </c>
      <c r="Q1574" s="442"/>
      <c r="R1574" s="403" t="str">
        <f t="shared" si="101"/>
        <v>DELETE</v>
      </c>
    </row>
    <row r="1575" spans="2:18" ht="31.5" customHeight="1" x14ac:dyDescent="0.45">
      <c r="B1575" s="323"/>
      <c r="C1575" s="417"/>
      <c r="D1575" s="400">
        <f>TrialBalance!C336</f>
        <v>0</v>
      </c>
      <c r="L1575" s="405"/>
      <c r="M1575" s="421"/>
      <c r="N1575" s="400"/>
      <c r="O1575" s="373">
        <f>TrialBalance!L336</f>
        <v>0</v>
      </c>
      <c r="Q1575" s="442"/>
      <c r="R1575" s="403" t="str">
        <f t="shared" si="101"/>
        <v>DELETE</v>
      </c>
    </row>
    <row r="1576" spans="2:18" ht="31.5" customHeight="1" x14ac:dyDescent="0.45">
      <c r="B1576" s="323"/>
      <c r="C1576" s="417"/>
      <c r="D1576" s="400">
        <f>TrialBalance!C337</f>
        <v>0</v>
      </c>
      <c r="L1576" s="405"/>
      <c r="M1576" s="421"/>
      <c r="N1576" s="400"/>
      <c r="O1576" s="373">
        <f>TrialBalance!L337</f>
        <v>0</v>
      </c>
      <c r="Q1576" s="442"/>
      <c r="R1576" s="403" t="str">
        <f t="shared" si="101"/>
        <v>DELETE</v>
      </c>
    </row>
    <row r="1577" spans="2:18" ht="31.5" customHeight="1" x14ac:dyDescent="0.45">
      <c r="B1577" s="323"/>
      <c r="C1577" s="417"/>
      <c r="D1577" s="400">
        <f>TrialBalance!C338</f>
        <v>0</v>
      </c>
      <c r="L1577" s="405"/>
      <c r="M1577" s="421"/>
      <c r="N1577" s="400"/>
      <c r="O1577" s="373">
        <f>TrialBalance!L338</f>
        <v>0</v>
      </c>
      <c r="Q1577" s="442"/>
      <c r="R1577" s="403" t="str">
        <f t="shared" si="101"/>
        <v>DELETE</v>
      </c>
    </row>
    <row r="1578" spans="2:18" ht="31.5" customHeight="1" x14ac:dyDescent="0.45">
      <c r="B1578" s="323"/>
      <c r="C1578" s="417"/>
      <c r="D1578" s="400">
        <f>TrialBalance!C339</f>
        <v>0</v>
      </c>
      <c r="L1578" s="405"/>
      <c r="M1578" s="421"/>
      <c r="N1578" s="400"/>
      <c r="O1578" s="373">
        <f>TrialBalance!L339</f>
        <v>0</v>
      </c>
      <c r="Q1578" s="442"/>
      <c r="R1578" s="403" t="str">
        <f t="shared" si="101"/>
        <v>DELETE</v>
      </c>
    </row>
    <row r="1579" spans="2:18" ht="31.5" customHeight="1" x14ac:dyDescent="0.45">
      <c r="B1579" s="323"/>
      <c r="C1579" s="417"/>
      <c r="D1579" s="400">
        <f>TrialBalance!C340</f>
        <v>0</v>
      </c>
      <c r="L1579" s="405"/>
      <c r="M1579" s="421"/>
      <c r="N1579" s="400"/>
      <c r="O1579" s="373">
        <f>TrialBalance!L340</f>
        <v>0</v>
      </c>
      <c r="Q1579" s="442"/>
      <c r="R1579" s="403" t="str">
        <f t="shared" si="99"/>
        <v>DELETE</v>
      </c>
    </row>
    <row r="1580" spans="2:18" ht="31.5" customHeight="1" x14ac:dyDescent="0.45">
      <c r="B1580" s="323"/>
      <c r="C1580" s="417"/>
      <c r="D1580" s="400">
        <f>TrialBalance!C348</f>
        <v>0</v>
      </c>
      <c r="L1580" s="405"/>
      <c r="M1580" s="421"/>
      <c r="N1580" s="400"/>
      <c r="O1580" s="373">
        <f>TrialBalance!L348</f>
        <v>0</v>
      </c>
      <c r="Q1580" s="442"/>
      <c r="R1580" s="403" t="str">
        <f t="shared" si="99"/>
        <v>DELETE</v>
      </c>
    </row>
    <row r="1581" spans="2:18" ht="31.5" customHeight="1" x14ac:dyDescent="0.45">
      <c r="B1581" s="323"/>
      <c r="C1581" s="417"/>
      <c r="D1581" s="400">
        <f>TrialBalance!C349</f>
        <v>0</v>
      </c>
      <c r="L1581" s="405"/>
      <c r="M1581" s="421"/>
      <c r="N1581" s="400"/>
      <c r="O1581" s="373">
        <f>TrialBalance!L349</f>
        <v>0</v>
      </c>
      <c r="Q1581" s="442"/>
      <c r="R1581" s="403" t="str">
        <f t="shared" si="99"/>
        <v>DELETE</v>
      </c>
    </row>
    <row r="1582" spans="2:18" ht="31.5" customHeight="1" x14ac:dyDescent="0.45">
      <c r="B1582" s="323"/>
      <c r="C1582" s="417"/>
      <c r="D1582" s="400">
        <f>TrialBalance!C350</f>
        <v>0</v>
      </c>
      <c r="L1582" s="405"/>
      <c r="M1582" s="421"/>
      <c r="N1582" s="400"/>
      <c r="O1582" s="373">
        <f>TrialBalance!L350</f>
        <v>0</v>
      </c>
      <c r="Q1582" s="442"/>
      <c r="R1582" s="403" t="str">
        <f t="shared" si="99"/>
        <v>DELETE</v>
      </c>
    </row>
    <row r="1583" spans="2:18" ht="31.5" customHeight="1" x14ac:dyDescent="0.45">
      <c r="B1583" s="323"/>
      <c r="C1583" s="417"/>
      <c r="D1583" s="400">
        <f>TrialBalance!C351</f>
        <v>0</v>
      </c>
      <c r="L1583" s="405"/>
      <c r="M1583" s="421"/>
      <c r="N1583" s="400"/>
      <c r="O1583" s="373">
        <f>TrialBalance!L351</f>
        <v>0</v>
      </c>
      <c r="Q1583" s="442"/>
      <c r="R1583" s="403" t="str">
        <f t="shared" si="99"/>
        <v>DELETE</v>
      </c>
    </row>
    <row r="1584" spans="2:18" ht="31.5" customHeight="1" x14ac:dyDescent="0.45">
      <c r="B1584" s="323"/>
      <c r="C1584" s="417"/>
      <c r="D1584" s="400">
        <f>TrialBalance!C352</f>
        <v>0</v>
      </c>
      <c r="L1584" s="405"/>
      <c r="M1584" s="421"/>
      <c r="N1584" s="400"/>
      <c r="O1584" s="373">
        <f>TrialBalance!L352</f>
        <v>0</v>
      </c>
      <c r="Q1584" s="442"/>
      <c r="R1584" s="403" t="str">
        <f t="shared" si="99"/>
        <v>DELETE</v>
      </c>
    </row>
    <row r="1585" spans="2:18" ht="9" customHeight="1" x14ac:dyDescent="0.45">
      <c r="B1585" s="323"/>
      <c r="C1585" s="417"/>
      <c r="L1585" s="405"/>
      <c r="M1585" s="421"/>
      <c r="N1585" s="400"/>
      <c r="O1585" s="374"/>
      <c r="Q1585" s="442"/>
      <c r="R1585" s="403" t="str">
        <f>R1567</f>
        <v>DELETE</v>
      </c>
    </row>
    <row r="1586" spans="2:18" ht="9" customHeight="1" x14ac:dyDescent="0.45">
      <c r="B1586" s="323"/>
      <c r="C1586" s="417"/>
      <c r="L1586" s="405"/>
      <c r="M1586" s="421"/>
      <c r="N1586" s="400"/>
      <c r="O1586" s="349"/>
      <c r="Q1586" s="442"/>
      <c r="R1586" s="403" t="str">
        <f t="shared" ref="R1586" si="102">R$1588</f>
        <v>DELETE</v>
      </c>
    </row>
    <row r="1587" spans="2:18" ht="9" customHeight="1" x14ac:dyDescent="0.45">
      <c r="B1587" s="323"/>
      <c r="C1587" s="417"/>
      <c r="L1587" s="405"/>
      <c r="M1587" s="421"/>
      <c r="N1587" s="400"/>
      <c r="O1587" s="347"/>
      <c r="Q1587" s="442"/>
      <c r="R1587" s="403" t="str">
        <f>R$1588</f>
        <v>DELETE</v>
      </c>
    </row>
    <row r="1588" spans="2:18" ht="31.5" customHeight="1" x14ac:dyDescent="0.45">
      <c r="B1588" s="323"/>
      <c r="C1588" s="417"/>
      <c r="L1588" s="405"/>
      <c r="M1588" s="421"/>
      <c r="N1588" s="400"/>
      <c r="O1588" s="347">
        <f>SUM(S1548:S1586)</f>
        <v>0</v>
      </c>
      <c r="Q1588" s="442"/>
      <c r="R1588" s="403" t="str">
        <f t="shared" ref="R1588" si="103">IF(O1588=0,"DELETE"," ")</f>
        <v>DELETE</v>
      </c>
    </row>
    <row r="1589" spans="2:18" ht="9" customHeight="1" thickBot="1" x14ac:dyDescent="0.5">
      <c r="B1589" s="323"/>
      <c r="C1589" s="417"/>
      <c r="L1589" s="405"/>
      <c r="M1589" s="421"/>
      <c r="N1589" s="400"/>
      <c r="O1589" s="351"/>
      <c r="Q1589" s="442"/>
      <c r="R1589" s="403" t="str">
        <f t="shared" ref="R1589:R1594" si="104">R$1588</f>
        <v>DELETE</v>
      </c>
    </row>
    <row r="1590" spans="2:18" ht="9" customHeight="1" thickTop="1" x14ac:dyDescent="0.45">
      <c r="B1590" s="323"/>
      <c r="C1590" s="417"/>
      <c r="L1590" s="405"/>
      <c r="M1590" s="421"/>
      <c r="N1590" s="400"/>
      <c r="O1590" s="363"/>
      <c r="Q1590" s="442"/>
      <c r="R1590" s="403" t="str">
        <f t="shared" si="104"/>
        <v>DELETE</v>
      </c>
    </row>
    <row r="1591" spans="2:18" ht="31.5" customHeight="1" x14ac:dyDescent="0.45">
      <c r="B1591" s="323"/>
      <c r="C1591" s="417"/>
      <c r="L1591" s="405"/>
      <c r="M1591" s="421"/>
      <c r="N1591" s="400"/>
      <c r="O1591" s="347"/>
      <c r="Q1591" s="442"/>
      <c r="R1591" s="403" t="str">
        <f t="shared" si="104"/>
        <v>DELETE</v>
      </c>
    </row>
    <row r="1592" spans="2:18" ht="31.5" customHeight="1" x14ac:dyDescent="0.45">
      <c r="B1592" s="323"/>
      <c r="C1592" s="417"/>
      <c r="M1592" s="347"/>
      <c r="N1592" s="298"/>
      <c r="O1592" s="347"/>
      <c r="Q1592" s="442"/>
      <c r="R1592" s="403" t="str">
        <f t="shared" si="104"/>
        <v>DELETE</v>
      </c>
    </row>
    <row r="1593" spans="2:18" ht="31.5" customHeight="1" x14ac:dyDescent="0.45">
      <c r="B1593" s="324"/>
      <c r="C1593" s="465"/>
      <c r="D1593" s="429"/>
      <c r="E1593" s="429"/>
      <c r="F1593" s="429"/>
      <c r="G1593" s="429"/>
      <c r="H1593" s="429"/>
      <c r="I1593" s="429"/>
      <c r="J1593" s="429"/>
      <c r="K1593" s="429"/>
      <c r="L1593" s="429"/>
      <c r="M1593" s="349"/>
      <c r="N1593" s="300"/>
      <c r="O1593" s="349"/>
      <c r="P1593" s="433"/>
      <c r="Q1593" s="446"/>
      <c r="R1593" s="403" t="str">
        <f t="shared" si="104"/>
        <v>DELETE</v>
      </c>
    </row>
    <row r="1594" spans="2:18" ht="31.5" customHeight="1" x14ac:dyDescent="0.45">
      <c r="B1594" s="422"/>
      <c r="M1594" s="426"/>
      <c r="N1594" s="406"/>
      <c r="O1594" s="426"/>
      <c r="R1594" s="403" t="str">
        <f t="shared" si="104"/>
        <v>DELETE</v>
      </c>
    </row>
    <row r="1595" spans="2:18" ht="31.5" customHeight="1" x14ac:dyDescent="0.45">
      <c r="B1595" s="422"/>
      <c r="M1595" s="426"/>
      <c r="N1595" s="406"/>
      <c r="O1595" s="426"/>
      <c r="R1595" s="403" t="str">
        <f>R$1613</f>
        <v>DELETE</v>
      </c>
    </row>
    <row r="1596" spans="2:18" ht="31.5" customHeight="1" x14ac:dyDescent="0.45">
      <c r="B1596" s="422"/>
      <c r="D1596" s="417" t="str">
        <f>Criteria!E9</f>
        <v>HOLDING COMPANY 268 (PROPRIETARY) LIMITED</v>
      </c>
      <c r="M1596" s="426"/>
      <c r="N1596" s="406"/>
      <c r="O1596" s="347" t="s">
        <v>96</v>
      </c>
      <c r="Q1596" s="292">
        <f>MAX($Q$114:Q1595)+1</f>
        <v>38</v>
      </c>
      <c r="R1596" s="403" t="str">
        <f t="shared" ref="R1596:R1606" si="105">R$1613</f>
        <v>DELETE</v>
      </c>
    </row>
    <row r="1597" spans="2:18" ht="31.5" customHeight="1" x14ac:dyDescent="0.45">
      <c r="B1597" s="422"/>
      <c r="D1597" s="417" t="str">
        <f>Criteria!E10</f>
        <v>CONSOLIDATED FINANCIAL STATEMENTS</v>
      </c>
      <c r="M1597" s="426"/>
      <c r="N1597" s="406"/>
      <c r="O1597" s="426"/>
      <c r="R1597" s="403" t="str">
        <f>IF(R$1613="DELETE","DELETE",IF(D1597=0,"DELETE"," "))</f>
        <v>DELETE</v>
      </c>
    </row>
    <row r="1598" spans="2:18" ht="31.5" customHeight="1" x14ac:dyDescent="0.45">
      <c r="B1598" s="422"/>
      <c r="M1598" s="426"/>
      <c r="N1598" s="406"/>
      <c r="O1598" s="426"/>
      <c r="R1598" s="403" t="str">
        <f t="shared" si="105"/>
        <v>DELETE</v>
      </c>
    </row>
    <row r="1599" spans="2:18" ht="31.5" customHeight="1" x14ac:dyDescent="0.45">
      <c r="B1599" s="422"/>
      <c r="D1599" s="417" t="s">
        <v>377</v>
      </c>
      <c r="M1599" s="426"/>
      <c r="N1599" s="406"/>
      <c r="O1599" s="426"/>
      <c r="R1599" s="403" t="str">
        <f t="shared" si="105"/>
        <v>DELETE</v>
      </c>
    </row>
    <row r="1600" spans="2:18" ht="31.5" customHeight="1" x14ac:dyDescent="0.45">
      <c r="B1600" s="422"/>
      <c r="D1600" s="417" t="str">
        <f>Criteria!E20</f>
        <v>29 FEBRUARY 2024</v>
      </c>
      <c r="J1600" s="400" t="s">
        <v>247</v>
      </c>
      <c r="M1600" s="426"/>
      <c r="N1600" s="406"/>
      <c r="O1600" s="426"/>
      <c r="R1600" s="403" t="str">
        <f t="shared" si="105"/>
        <v>DELETE</v>
      </c>
    </row>
    <row r="1601" spans="2:18" ht="31.5" customHeight="1" x14ac:dyDescent="0.45">
      <c r="B1601" s="422"/>
      <c r="D1601" s="417"/>
      <c r="M1601" s="426"/>
      <c r="N1601" s="406"/>
      <c r="O1601" s="426"/>
      <c r="R1601" s="403" t="str">
        <f t="shared" si="105"/>
        <v>DELETE</v>
      </c>
    </row>
    <row r="1602" spans="2:18" ht="31.5" customHeight="1" x14ac:dyDescent="0.45">
      <c r="B1602" s="326"/>
      <c r="C1602" s="458"/>
      <c r="D1602" s="439"/>
      <c r="E1602" s="439"/>
      <c r="F1602" s="439"/>
      <c r="G1602" s="439"/>
      <c r="H1602" s="439"/>
      <c r="I1602" s="439"/>
      <c r="J1602" s="439"/>
      <c r="K1602" s="439"/>
      <c r="L1602" s="439"/>
      <c r="M1602" s="362"/>
      <c r="N1602" s="299"/>
      <c r="O1602" s="362"/>
      <c r="P1602" s="448"/>
      <c r="Q1602" s="440"/>
      <c r="R1602" s="403" t="str">
        <f t="shared" si="105"/>
        <v>DELETE</v>
      </c>
    </row>
    <row r="1603" spans="2:18" ht="31.5" customHeight="1" x14ac:dyDescent="0.45">
      <c r="B1603" s="323"/>
      <c r="C1603" s="417"/>
      <c r="L1603" s="405"/>
      <c r="M1603" s="421"/>
      <c r="N1603" s="400"/>
      <c r="O1603" s="344">
        <f>Criteria!E22</f>
        <v>2024</v>
      </c>
      <c r="Q1603" s="442"/>
      <c r="R1603" s="403" t="str">
        <f t="shared" si="105"/>
        <v>DELETE</v>
      </c>
    </row>
    <row r="1604" spans="2:18" ht="31.5" customHeight="1" x14ac:dyDescent="0.45">
      <c r="B1604" s="323"/>
      <c r="C1604" s="417"/>
      <c r="L1604" s="405"/>
      <c r="M1604" s="421"/>
      <c r="N1604" s="400"/>
      <c r="O1604" s="347"/>
      <c r="Q1604" s="442"/>
      <c r="R1604" s="403" t="str">
        <f t="shared" si="105"/>
        <v>DELETE</v>
      </c>
    </row>
    <row r="1605" spans="2:18" ht="31.5" customHeight="1" x14ac:dyDescent="0.45">
      <c r="B1605" s="323">
        <f>MAX(B$559:B1604)+1</f>
        <v>16</v>
      </c>
      <c r="C1605" s="417" t="s">
        <v>915</v>
      </c>
      <c r="L1605" s="405"/>
      <c r="M1605" s="421"/>
      <c r="N1605" s="400"/>
      <c r="O1605" s="347"/>
      <c r="Q1605" s="442"/>
      <c r="R1605" s="403" t="str">
        <f t="shared" si="105"/>
        <v>DELETE</v>
      </c>
    </row>
    <row r="1606" spans="2:18" ht="31.5" customHeight="1" x14ac:dyDescent="0.45">
      <c r="B1606" s="323"/>
      <c r="C1606" s="417"/>
      <c r="D1606" s="400" t="s">
        <v>916</v>
      </c>
      <c r="L1606" s="405"/>
      <c r="M1606" s="421"/>
      <c r="N1606" s="400"/>
      <c r="O1606" s="347"/>
      <c r="Q1606" s="442"/>
      <c r="R1606" s="403" t="str">
        <f t="shared" si="105"/>
        <v>DELETE</v>
      </c>
    </row>
    <row r="1607" spans="2:18" ht="31.5" customHeight="1" x14ac:dyDescent="0.45">
      <c r="B1607" s="323"/>
      <c r="C1607" s="417"/>
      <c r="D1607" s="400" t="s">
        <v>558</v>
      </c>
      <c r="L1607" s="405"/>
      <c r="M1607" s="421"/>
      <c r="N1607" s="400"/>
      <c r="O1607" s="347">
        <f>TrialBalance!L354</f>
        <v>0</v>
      </c>
      <c r="Q1607" s="442"/>
      <c r="R1607" s="403" t="str">
        <f t="shared" ref="R1607:R1610" si="106">IF(O1607=0,"DELETE"," ")</f>
        <v>DELETE</v>
      </c>
    </row>
    <row r="1608" spans="2:18" ht="31.5" customHeight="1" x14ac:dyDescent="0.45">
      <c r="B1608" s="323"/>
      <c r="C1608" s="417"/>
      <c r="D1608" s="400" t="s">
        <v>559</v>
      </c>
      <c r="L1608" s="405"/>
      <c r="M1608" s="421"/>
      <c r="N1608" s="400"/>
      <c r="O1608" s="347">
        <f>TrialBalance!L355</f>
        <v>0</v>
      </c>
      <c r="Q1608" s="442"/>
      <c r="R1608" s="403" t="str">
        <f t="shared" si="106"/>
        <v>DELETE</v>
      </c>
    </row>
    <row r="1609" spans="2:18" ht="31.5" customHeight="1" x14ac:dyDescent="0.45">
      <c r="B1609" s="323"/>
      <c r="C1609" s="417"/>
      <c r="D1609" s="400" t="s">
        <v>560</v>
      </c>
      <c r="L1609" s="405"/>
      <c r="M1609" s="421"/>
      <c r="N1609" s="400"/>
      <c r="O1609" s="347">
        <f>TrialBalance!L356</f>
        <v>0</v>
      </c>
      <c r="Q1609" s="442"/>
      <c r="R1609" s="403" t="str">
        <f t="shared" si="106"/>
        <v>DELETE</v>
      </c>
    </row>
    <row r="1610" spans="2:18" ht="31.5" customHeight="1" x14ac:dyDescent="0.45">
      <c r="B1610" s="323"/>
      <c r="C1610" s="417"/>
      <c r="D1610" s="400" t="s">
        <v>561</v>
      </c>
      <c r="L1610" s="405"/>
      <c r="M1610" s="421"/>
      <c r="N1610" s="400"/>
      <c r="O1610" s="347">
        <f>TrialBalance!L357</f>
        <v>0</v>
      </c>
      <c r="Q1610" s="442"/>
      <c r="R1610" s="403" t="str">
        <f t="shared" si="106"/>
        <v>DELETE</v>
      </c>
    </row>
    <row r="1611" spans="2:18" ht="9" customHeight="1" x14ac:dyDescent="0.45">
      <c r="B1611" s="323"/>
      <c r="C1611" s="417"/>
      <c r="L1611" s="405"/>
      <c r="M1611" s="421"/>
      <c r="N1611" s="400"/>
      <c r="O1611" s="349"/>
      <c r="Q1611" s="442"/>
      <c r="R1611" s="403" t="str">
        <f t="shared" ref="R1611:R1619" si="107">R$1613</f>
        <v>DELETE</v>
      </c>
    </row>
    <row r="1612" spans="2:18" ht="9" customHeight="1" x14ac:dyDescent="0.45">
      <c r="B1612" s="323"/>
      <c r="C1612" s="417"/>
      <c r="L1612" s="405"/>
      <c r="M1612" s="421"/>
      <c r="N1612" s="400"/>
      <c r="O1612" s="347"/>
      <c r="Q1612" s="442"/>
      <c r="R1612" s="403" t="str">
        <f t="shared" si="107"/>
        <v>DELETE</v>
      </c>
    </row>
    <row r="1613" spans="2:18" ht="31.5" customHeight="1" x14ac:dyDescent="0.45">
      <c r="B1613" s="323"/>
      <c r="C1613" s="417"/>
      <c r="L1613" s="405"/>
      <c r="M1613" s="421"/>
      <c r="N1613" s="400"/>
      <c r="O1613" s="347">
        <f>SUM(O1607:O1612)</f>
        <v>0</v>
      </c>
      <c r="Q1613" s="442"/>
      <c r="R1613" s="403" t="str">
        <f t="shared" ref="R1613" si="108">IF(O1613=0,"DELETE"," ")</f>
        <v>DELETE</v>
      </c>
    </row>
    <row r="1614" spans="2:18" ht="9" customHeight="1" thickBot="1" x14ac:dyDescent="0.5">
      <c r="B1614" s="323"/>
      <c r="C1614" s="417"/>
      <c r="L1614" s="405"/>
      <c r="M1614" s="421"/>
      <c r="N1614" s="400"/>
      <c r="O1614" s="351"/>
      <c r="Q1614" s="442"/>
      <c r="R1614" s="403" t="str">
        <f t="shared" si="107"/>
        <v>DELETE</v>
      </c>
    </row>
    <row r="1615" spans="2:18" ht="9" customHeight="1" thickTop="1" x14ac:dyDescent="0.45">
      <c r="B1615" s="323"/>
      <c r="C1615" s="417"/>
      <c r="L1615" s="405"/>
      <c r="M1615" s="421"/>
      <c r="N1615" s="400"/>
      <c r="O1615" s="363"/>
      <c r="Q1615" s="442"/>
      <c r="R1615" s="403" t="str">
        <f t="shared" si="107"/>
        <v>DELETE</v>
      </c>
    </row>
    <row r="1616" spans="2:18" ht="31.5" customHeight="1" x14ac:dyDescent="0.45">
      <c r="B1616" s="323"/>
      <c r="C1616" s="417"/>
      <c r="L1616" s="405"/>
      <c r="M1616" s="421"/>
      <c r="N1616" s="400"/>
      <c r="O1616" s="347"/>
      <c r="Q1616" s="442"/>
      <c r="R1616" s="403" t="str">
        <f t="shared" si="107"/>
        <v>DELETE</v>
      </c>
    </row>
    <row r="1617" spans="2:22" ht="31.5" customHeight="1" x14ac:dyDescent="0.45">
      <c r="B1617" s="323"/>
      <c r="C1617" s="417"/>
      <c r="M1617" s="347"/>
      <c r="N1617" s="298"/>
      <c r="O1617" s="347"/>
      <c r="Q1617" s="442"/>
      <c r="R1617" s="403" t="str">
        <f t="shared" si="107"/>
        <v>DELETE</v>
      </c>
    </row>
    <row r="1618" spans="2:22" ht="31.5" customHeight="1" x14ac:dyDescent="0.45">
      <c r="B1618" s="324"/>
      <c r="C1618" s="465"/>
      <c r="D1618" s="429"/>
      <c r="E1618" s="429"/>
      <c r="F1618" s="429"/>
      <c r="G1618" s="429"/>
      <c r="H1618" s="429"/>
      <c r="I1618" s="429"/>
      <c r="J1618" s="429"/>
      <c r="K1618" s="429"/>
      <c r="L1618" s="429"/>
      <c r="M1618" s="349"/>
      <c r="N1618" s="300"/>
      <c r="O1618" s="349"/>
      <c r="P1618" s="433"/>
      <c r="Q1618" s="446"/>
      <c r="R1618" s="403" t="str">
        <f t="shared" si="107"/>
        <v>DELETE</v>
      </c>
    </row>
    <row r="1619" spans="2:22" ht="31.5" customHeight="1" x14ac:dyDescent="0.45">
      <c r="B1619" s="325"/>
      <c r="C1619" s="417"/>
      <c r="M1619" s="347"/>
      <c r="N1619" s="298"/>
      <c r="O1619" s="347"/>
      <c r="R1619" s="403" t="str">
        <f t="shared" si="107"/>
        <v>DELETE</v>
      </c>
    </row>
    <row r="1620" spans="2:22" ht="31.5" customHeight="1" x14ac:dyDescent="0.45">
      <c r="B1620" s="422"/>
      <c r="M1620" s="426"/>
      <c r="N1620" s="406"/>
      <c r="O1620" s="426"/>
      <c r="R1620" s="403" t="str">
        <f>R$1643</f>
        <v>DELETE</v>
      </c>
    </row>
    <row r="1621" spans="2:22" ht="31.5" customHeight="1" x14ac:dyDescent="0.45">
      <c r="B1621" s="422"/>
      <c r="D1621" s="417" t="str">
        <f>Criteria!E9</f>
        <v>HOLDING COMPANY 268 (PROPRIETARY) LIMITED</v>
      </c>
      <c r="M1621" s="426"/>
      <c r="N1621" s="406"/>
      <c r="O1621" s="347" t="s">
        <v>96</v>
      </c>
      <c r="Q1621" s="292">
        <f>MAX($Q$114:Q1620)+1</f>
        <v>39</v>
      </c>
      <c r="R1621" s="403" t="str">
        <f t="shared" ref="R1621:R1630" si="109">R$1643</f>
        <v>DELETE</v>
      </c>
    </row>
    <row r="1622" spans="2:22" ht="31.5" customHeight="1" x14ac:dyDescent="0.45">
      <c r="B1622" s="422"/>
      <c r="D1622" s="417" t="str">
        <f>Criteria!E10</f>
        <v>CONSOLIDATED FINANCIAL STATEMENTS</v>
      </c>
      <c r="M1622" s="426"/>
      <c r="N1622" s="406"/>
      <c r="O1622" s="426"/>
      <c r="R1622" s="403" t="str">
        <f>IF(R$1643="DELETE","DELETE",IF(D1622=0,"DELETE"," "))</f>
        <v>DELETE</v>
      </c>
    </row>
    <row r="1623" spans="2:22" ht="31.5" customHeight="1" x14ac:dyDescent="0.45">
      <c r="B1623" s="422"/>
      <c r="M1623" s="426"/>
      <c r="N1623" s="406"/>
      <c r="O1623" s="426"/>
      <c r="R1623" s="403" t="str">
        <f t="shared" si="109"/>
        <v>DELETE</v>
      </c>
    </row>
    <row r="1624" spans="2:22" ht="31.5" customHeight="1" x14ac:dyDescent="0.45">
      <c r="B1624" s="422"/>
      <c r="D1624" s="417" t="s">
        <v>377</v>
      </c>
      <c r="M1624" s="426"/>
      <c r="N1624" s="406"/>
      <c r="O1624" s="426"/>
      <c r="R1624" s="403" t="str">
        <f t="shared" si="109"/>
        <v>DELETE</v>
      </c>
    </row>
    <row r="1625" spans="2:22" ht="31.5" customHeight="1" x14ac:dyDescent="0.45">
      <c r="B1625" s="422"/>
      <c r="D1625" s="417" t="str">
        <f>Criteria!E20</f>
        <v>29 FEBRUARY 2024</v>
      </c>
      <c r="J1625" s="400" t="s">
        <v>247</v>
      </c>
      <c r="M1625" s="426"/>
      <c r="N1625" s="406"/>
      <c r="O1625" s="426"/>
      <c r="R1625" s="403" t="str">
        <f t="shared" si="109"/>
        <v>DELETE</v>
      </c>
    </row>
    <row r="1626" spans="2:22" ht="31.5" customHeight="1" x14ac:dyDescent="0.45">
      <c r="B1626" s="422"/>
      <c r="M1626" s="437"/>
      <c r="N1626" s="461"/>
      <c r="O1626" s="437"/>
      <c r="R1626" s="403" t="str">
        <f t="shared" si="109"/>
        <v>DELETE</v>
      </c>
    </row>
    <row r="1627" spans="2:22" ht="31.5" customHeight="1" x14ac:dyDescent="0.45">
      <c r="B1627" s="457"/>
      <c r="C1627" s="439"/>
      <c r="D1627" s="439"/>
      <c r="E1627" s="439"/>
      <c r="F1627" s="439"/>
      <c r="G1627" s="439"/>
      <c r="H1627" s="439"/>
      <c r="I1627" s="439"/>
      <c r="J1627" s="439"/>
      <c r="K1627" s="439"/>
      <c r="L1627" s="439"/>
      <c r="M1627" s="469"/>
      <c r="N1627" s="470"/>
      <c r="O1627" s="469"/>
      <c r="P1627" s="448"/>
      <c r="Q1627" s="440"/>
      <c r="R1627" s="403" t="str">
        <f t="shared" si="109"/>
        <v>DELETE</v>
      </c>
    </row>
    <row r="1628" spans="2:22" ht="31.5" customHeight="1" x14ac:dyDescent="0.45">
      <c r="B1628" s="459"/>
      <c r="L1628" s="405"/>
      <c r="M1628" s="421"/>
      <c r="N1628" s="400"/>
      <c r="O1628" s="344">
        <f>Criteria!E22</f>
        <v>2024</v>
      </c>
      <c r="Q1628" s="442"/>
      <c r="R1628" s="403" t="str">
        <f t="shared" si="109"/>
        <v>DELETE</v>
      </c>
    </row>
    <row r="1629" spans="2:22" ht="31.5" customHeight="1" x14ac:dyDescent="0.45">
      <c r="B1629" s="323"/>
      <c r="C1629" s="417"/>
      <c r="L1629" s="405"/>
      <c r="M1629" s="421"/>
      <c r="N1629" s="400"/>
      <c r="O1629" s="347"/>
      <c r="Q1629" s="442"/>
      <c r="R1629" s="403" t="str">
        <f t="shared" si="109"/>
        <v>DELETE</v>
      </c>
    </row>
    <row r="1630" spans="2:22" ht="31.5" customHeight="1" x14ac:dyDescent="0.45">
      <c r="B1630" s="323">
        <f>MAX(B$559:B1629)+1</f>
        <v>17</v>
      </c>
      <c r="C1630" s="417" t="s">
        <v>723</v>
      </c>
      <c r="L1630" s="405"/>
      <c r="M1630" s="421"/>
      <c r="N1630" s="400"/>
      <c r="O1630" s="347"/>
      <c r="Q1630" s="442"/>
      <c r="R1630" s="403" t="str">
        <f t="shared" si="109"/>
        <v>DELETE</v>
      </c>
    </row>
    <row r="1631" spans="2:22" ht="31.5" customHeight="1" x14ac:dyDescent="0.45">
      <c r="B1631" s="323"/>
      <c r="C1631" s="417"/>
      <c r="D1631" s="400" t="s">
        <v>562</v>
      </c>
      <c r="L1631" s="405"/>
      <c r="M1631" s="421"/>
      <c r="N1631" s="400"/>
      <c r="O1631" s="347">
        <f>TrialBalance!L359</f>
        <v>0</v>
      </c>
      <c r="Q1631" s="442"/>
      <c r="R1631" s="403" t="str">
        <f t="shared" ref="R1631:R1632" si="110">IF(O1631=0,"DELETE"," ")</f>
        <v>DELETE</v>
      </c>
      <c r="S1631" s="383">
        <f>O1631</f>
        <v>0</v>
      </c>
      <c r="T1631" s="383"/>
      <c r="U1631" s="383"/>
      <c r="V1631" s="383"/>
    </row>
    <row r="1632" spans="2:22" ht="31.5" customHeight="1" x14ac:dyDescent="0.45">
      <c r="B1632" s="323"/>
      <c r="C1632" s="417"/>
      <c r="D1632" s="400" t="s">
        <v>656</v>
      </c>
      <c r="L1632" s="405"/>
      <c r="M1632" s="421"/>
      <c r="N1632" s="400"/>
      <c r="O1632" s="347">
        <f>TrialBalance!L360</f>
        <v>0</v>
      </c>
      <c r="Q1632" s="442"/>
      <c r="R1632" s="403" t="str">
        <f t="shared" si="110"/>
        <v>DELETE</v>
      </c>
      <c r="S1632" s="383">
        <f>O1632</f>
        <v>0</v>
      </c>
      <c r="T1632" s="383"/>
      <c r="U1632" s="383"/>
      <c r="V1632" s="383"/>
    </row>
    <row r="1633" spans="2:22" ht="9" customHeight="1" x14ac:dyDescent="0.45">
      <c r="B1633" s="323"/>
      <c r="C1633" s="417"/>
      <c r="L1633" s="405"/>
      <c r="M1633" s="421"/>
      <c r="N1633" s="400"/>
      <c r="O1633" s="349"/>
      <c r="Q1633" s="442"/>
      <c r="R1633" s="403" t="str">
        <f>R1632</f>
        <v>DELETE</v>
      </c>
    </row>
    <row r="1634" spans="2:22" ht="9" customHeight="1" x14ac:dyDescent="0.45">
      <c r="B1634" s="323"/>
      <c r="C1634" s="417"/>
      <c r="L1634" s="405"/>
      <c r="M1634" s="421"/>
      <c r="N1634" s="400"/>
      <c r="O1634" s="347"/>
      <c r="Q1634" s="442"/>
      <c r="R1634" s="403" t="str">
        <f>R1633</f>
        <v>DELETE</v>
      </c>
    </row>
    <row r="1635" spans="2:22" ht="31.5" customHeight="1" x14ac:dyDescent="0.45">
      <c r="B1635" s="323"/>
      <c r="C1635" s="417"/>
      <c r="L1635" s="405"/>
      <c r="M1635" s="421"/>
      <c r="N1635" s="400"/>
      <c r="O1635" s="347">
        <f>SUM(O1631:O1634)</f>
        <v>0</v>
      </c>
      <c r="Q1635" s="442"/>
      <c r="R1635" s="403" t="str">
        <f>R1634</f>
        <v>DELETE</v>
      </c>
    </row>
    <row r="1636" spans="2:22" ht="31.5" customHeight="1" x14ac:dyDescent="0.45">
      <c r="B1636" s="323"/>
      <c r="C1636" s="417"/>
      <c r="D1636" s="400" t="s">
        <v>332</v>
      </c>
      <c r="L1636" s="405"/>
      <c r="M1636" s="421"/>
      <c r="N1636" s="400"/>
      <c r="O1636" s="347">
        <f>TrialBalance!L361</f>
        <v>0</v>
      </c>
      <c r="Q1636" s="442"/>
      <c r="R1636" s="403" t="str">
        <f t="shared" ref="R1636:R1640" si="111">IF(O1636=0,"DELETE"," ")</f>
        <v>DELETE</v>
      </c>
      <c r="S1636" s="383">
        <f>O1636</f>
        <v>0</v>
      </c>
      <c r="T1636" s="383"/>
      <c r="U1636" s="383"/>
      <c r="V1636" s="383"/>
    </row>
    <row r="1637" spans="2:22" ht="31.5" customHeight="1" x14ac:dyDescent="0.45">
      <c r="B1637" s="323"/>
      <c r="C1637" s="417"/>
      <c r="D1637" s="400" t="s">
        <v>298</v>
      </c>
      <c r="L1637" s="405"/>
      <c r="M1637" s="421"/>
      <c r="N1637" s="400"/>
      <c r="O1637" s="347">
        <f>TrialBalance!L362</f>
        <v>0</v>
      </c>
      <c r="Q1637" s="442"/>
      <c r="R1637" s="403" t="str">
        <f t="shared" si="111"/>
        <v>DELETE</v>
      </c>
      <c r="S1637" s="383">
        <f>O1637</f>
        <v>0</v>
      </c>
      <c r="T1637" s="383"/>
      <c r="U1637" s="383"/>
      <c r="V1637" s="383"/>
    </row>
    <row r="1638" spans="2:22" ht="31.5" customHeight="1" x14ac:dyDescent="0.45">
      <c r="B1638" s="323"/>
      <c r="C1638" s="417"/>
      <c r="D1638" s="400" t="s">
        <v>376</v>
      </c>
      <c r="L1638" s="405"/>
      <c r="M1638" s="421"/>
      <c r="N1638" s="400"/>
      <c r="O1638" s="347">
        <f>TrialBalance!L363</f>
        <v>0</v>
      </c>
      <c r="Q1638" s="442"/>
      <c r="R1638" s="403" t="str">
        <f t="shared" si="111"/>
        <v>DELETE</v>
      </c>
      <c r="S1638" s="383">
        <f>O1638</f>
        <v>0</v>
      </c>
      <c r="T1638" s="383"/>
      <c r="U1638" s="383"/>
      <c r="V1638" s="383"/>
    </row>
    <row r="1639" spans="2:22" ht="31.5" customHeight="1" x14ac:dyDescent="0.45">
      <c r="B1639" s="323"/>
      <c r="C1639" s="417"/>
      <c r="D1639" s="400" t="s">
        <v>564</v>
      </c>
      <c r="L1639" s="405"/>
      <c r="M1639" s="421"/>
      <c r="N1639" s="400"/>
      <c r="O1639" s="347">
        <f>TrialBalance!L364</f>
        <v>0</v>
      </c>
      <c r="Q1639" s="442"/>
      <c r="R1639" s="403" t="str">
        <f t="shared" si="111"/>
        <v>DELETE</v>
      </c>
      <c r="S1639" s="383">
        <f>O1639</f>
        <v>0</v>
      </c>
      <c r="T1639" s="383"/>
      <c r="U1639" s="383"/>
      <c r="V1639" s="383"/>
    </row>
    <row r="1640" spans="2:22" ht="31.5" customHeight="1" x14ac:dyDescent="0.45">
      <c r="B1640" s="323"/>
      <c r="C1640" s="417"/>
      <c r="D1640" s="400" t="s">
        <v>563</v>
      </c>
      <c r="L1640" s="405"/>
      <c r="M1640" s="421"/>
      <c r="N1640" s="400"/>
      <c r="O1640" s="347">
        <f>IF(TrialBalance!L398&gt;0,TrialBalance!L398,0)+IF(TrialBalance!L397&gt;0,TrialBalance!L397,0)</f>
        <v>0</v>
      </c>
      <c r="Q1640" s="442"/>
      <c r="R1640" s="403" t="str">
        <f t="shared" si="111"/>
        <v>DELETE</v>
      </c>
      <c r="S1640" s="383">
        <f>O1640</f>
        <v>0</v>
      </c>
      <c r="T1640" s="383"/>
      <c r="U1640" s="383"/>
      <c r="V1640" s="383"/>
    </row>
    <row r="1641" spans="2:22" ht="9" customHeight="1" x14ac:dyDescent="0.45">
      <c r="B1641" s="323"/>
      <c r="C1641" s="417"/>
      <c r="L1641" s="405"/>
      <c r="M1641" s="421"/>
      <c r="N1641" s="400"/>
      <c r="O1641" s="349"/>
      <c r="Q1641" s="442"/>
      <c r="R1641" s="403" t="str">
        <f t="shared" ref="R1641:R1650" si="112">R$1643</f>
        <v>DELETE</v>
      </c>
    </row>
    <row r="1642" spans="2:22" ht="9" customHeight="1" x14ac:dyDescent="0.45">
      <c r="B1642" s="323"/>
      <c r="C1642" s="417"/>
      <c r="L1642" s="405"/>
      <c r="M1642" s="421"/>
      <c r="N1642" s="400"/>
      <c r="O1642" s="347"/>
      <c r="Q1642" s="442"/>
      <c r="R1642" s="403" t="str">
        <f t="shared" si="112"/>
        <v>DELETE</v>
      </c>
    </row>
    <row r="1643" spans="2:22" ht="31.5" customHeight="1" x14ac:dyDescent="0.45">
      <c r="B1643" s="323"/>
      <c r="C1643" s="417"/>
      <c r="L1643" s="405"/>
      <c r="M1643" s="421"/>
      <c r="N1643" s="400"/>
      <c r="O1643" s="347">
        <f>SUM(S1631:S1640)</f>
        <v>0</v>
      </c>
      <c r="Q1643" s="442"/>
      <c r="R1643" s="403" t="str">
        <f t="shared" ref="R1643" si="113">IF(O1643=0,"DELETE"," ")</f>
        <v>DELETE</v>
      </c>
      <c r="S1643" s="380"/>
      <c r="T1643" s="380"/>
    </row>
    <row r="1644" spans="2:22" ht="9" customHeight="1" thickBot="1" x14ac:dyDescent="0.5">
      <c r="B1644" s="323"/>
      <c r="C1644" s="417"/>
      <c r="L1644" s="405"/>
      <c r="M1644" s="421"/>
      <c r="N1644" s="400"/>
      <c r="O1644" s="351"/>
      <c r="Q1644" s="442"/>
      <c r="R1644" s="403" t="str">
        <f t="shared" si="112"/>
        <v>DELETE</v>
      </c>
    </row>
    <row r="1645" spans="2:22" ht="9" customHeight="1" thickTop="1" x14ac:dyDescent="0.45">
      <c r="B1645" s="323"/>
      <c r="C1645" s="417"/>
      <c r="L1645" s="405"/>
      <c r="M1645" s="421"/>
      <c r="N1645" s="400"/>
      <c r="O1645" s="363"/>
      <c r="Q1645" s="442"/>
      <c r="R1645" s="403" t="str">
        <f t="shared" si="112"/>
        <v>DELETE</v>
      </c>
    </row>
    <row r="1646" spans="2:22" ht="31.5" customHeight="1" x14ac:dyDescent="0.45">
      <c r="B1646" s="323"/>
      <c r="C1646" s="417"/>
      <c r="D1646" s="400" t="str">
        <f>IF(Criteria!G268="Yes",Criteria!G270," ")</f>
        <v xml:space="preserve"> </v>
      </c>
      <c r="L1646" s="405"/>
      <c r="M1646" s="421"/>
      <c r="N1646" s="400"/>
      <c r="O1646" s="347"/>
      <c r="Q1646" s="442"/>
      <c r="R1646" s="403" t="str">
        <f>IF(D1646=" ","DELETE"," ")</f>
        <v>DELETE</v>
      </c>
    </row>
    <row r="1647" spans="2:22" ht="31.5" customHeight="1" x14ac:dyDescent="0.45">
      <c r="B1647" s="323"/>
      <c r="C1647" s="417"/>
      <c r="D1647" s="400" t="str">
        <f>IF(Criteria!G268="Yes",Criteria!G271," ")</f>
        <v xml:space="preserve"> </v>
      </c>
      <c r="M1647" s="347"/>
      <c r="N1647" s="298"/>
      <c r="O1647" s="347"/>
      <c r="Q1647" s="442"/>
      <c r="R1647" s="403" t="str">
        <f>IF(D1647=" ","DELETE"," ")</f>
        <v>DELETE</v>
      </c>
    </row>
    <row r="1648" spans="2:22" ht="31.5" customHeight="1" x14ac:dyDescent="0.45">
      <c r="B1648" s="323"/>
      <c r="C1648" s="417"/>
      <c r="M1648" s="347"/>
      <c r="N1648" s="298"/>
      <c r="O1648" s="347"/>
      <c r="Q1648" s="442"/>
      <c r="R1648" s="403" t="str">
        <f t="shared" si="112"/>
        <v>DELETE</v>
      </c>
    </row>
    <row r="1649" spans="2:18" ht="31.5" customHeight="1" x14ac:dyDescent="0.45">
      <c r="B1649" s="324"/>
      <c r="C1649" s="465"/>
      <c r="D1649" s="429"/>
      <c r="E1649" s="429"/>
      <c r="F1649" s="429"/>
      <c r="G1649" s="429"/>
      <c r="H1649" s="429"/>
      <c r="I1649" s="429"/>
      <c r="J1649" s="429"/>
      <c r="K1649" s="429"/>
      <c r="L1649" s="429"/>
      <c r="M1649" s="349"/>
      <c r="N1649" s="300"/>
      <c r="O1649" s="349"/>
      <c r="P1649" s="433"/>
      <c r="Q1649" s="446"/>
      <c r="R1649" s="403" t="str">
        <f t="shared" si="112"/>
        <v>DELETE</v>
      </c>
    </row>
    <row r="1650" spans="2:18" ht="31.5" customHeight="1" x14ac:dyDescent="0.45">
      <c r="B1650" s="422"/>
      <c r="M1650" s="426"/>
      <c r="N1650" s="406"/>
      <c r="O1650" s="426"/>
      <c r="R1650" s="403" t="str">
        <f t="shared" si="112"/>
        <v>DELETE</v>
      </c>
    </row>
    <row r="1651" spans="2:18" ht="31.5" customHeight="1" x14ac:dyDescent="0.45">
      <c r="B1651" s="422"/>
      <c r="M1651" s="426"/>
      <c r="N1651" s="406"/>
      <c r="O1651" s="426"/>
      <c r="R1651" s="403" t="str">
        <f>R$1671</f>
        <v>DELETE</v>
      </c>
    </row>
    <row r="1652" spans="2:18" ht="31.5" customHeight="1" x14ac:dyDescent="0.45">
      <c r="B1652" s="422"/>
      <c r="D1652" s="417" t="str">
        <f>Criteria!E9</f>
        <v>HOLDING COMPANY 268 (PROPRIETARY) LIMITED</v>
      </c>
      <c r="M1652" s="426"/>
      <c r="N1652" s="406"/>
      <c r="O1652" s="347" t="s">
        <v>96</v>
      </c>
      <c r="Q1652" s="292">
        <f>MAX($Q$114:Q1651)+1</f>
        <v>40</v>
      </c>
      <c r="R1652" s="403" t="str">
        <f t="shared" ref="R1652:R1661" si="114">R$1671</f>
        <v>DELETE</v>
      </c>
    </row>
    <row r="1653" spans="2:18" ht="31.5" customHeight="1" x14ac:dyDescent="0.45">
      <c r="B1653" s="422"/>
      <c r="D1653" s="417" t="str">
        <f>Criteria!E10</f>
        <v>CONSOLIDATED FINANCIAL STATEMENTS</v>
      </c>
      <c r="M1653" s="426"/>
      <c r="N1653" s="406"/>
      <c r="O1653" s="426"/>
      <c r="R1653" s="403" t="str">
        <f>IF(R$1671="DELETE","DELETE",IF(D1653=0,"DELETE"," "))</f>
        <v>DELETE</v>
      </c>
    </row>
    <row r="1654" spans="2:18" ht="31.5" customHeight="1" x14ac:dyDescent="0.45">
      <c r="B1654" s="422"/>
      <c r="M1654" s="426"/>
      <c r="N1654" s="406"/>
      <c r="O1654" s="426"/>
      <c r="R1654" s="403" t="str">
        <f t="shared" si="114"/>
        <v>DELETE</v>
      </c>
    </row>
    <row r="1655" spans="2:18" ht="31.5" customHeight="1" x14ac:dyDescent="0.45">
      <c r="B1655" s="422"/>
      <c r="D1655" s="417" t="s">
        <v>377</v>
      </c>
      <c r="M1655" s="426"/>
      <c r="N1655" s="406"/>
      <c r="O1655" s="426"/>
      <c r="R1655" s="403" t="str">
        <f t="shared" si="114"/>
        <v>DELETE</v>
      </c>
    </row>
    <row r="1656" spans="2:18" ht="31.5" customHeight="1" x14ac:dyDescent="0.45">
      <c r="B1656" s="422"/>
      <c r="D1656" s="417" t="str">
        <f>Criteria!E20</f>
        <v>29 FEBRUARY 2024</v>
      </c>
      <c r="J1656" s="400" t="s">
        <v>247</v>
      </c>
      <c r="M1656" s="426"/>
      <c r="N1656" s="406"/>
      <c r="O1656" s="426"/>
      <c r="R1656" s="403" t="str">
        <f t="shared" si="114"/>
        <v>DELETE</v>
      </c>
    </row>
    <row r="1657" spans="2:18" ht="31.5" customHeight="1" x14ac:dyDescent="0.45">
      <c r="B1657" s="422"/>
      <c r="D1657" s="417"/>
      <c r="M1657" s="426"/>
      <c r="N1657" s="406"/>
      <c r="O1657" s="426"/>
      <c r="R1657" s="403" t="str">
        <f t="shared" si="114"/>
        <v>DELETE</v>
      </c>
    </row>
    <row r="1658" spans="2:18" ht="31.5" customHeight="1" x14ac:dyDescent="0.45">
      <c r="B1658" s="326"/>
      <c r="C1658" s="458"/>
      <c r="D1658" s="439"/>
      <c r="E1658" s="439"/>
      <c r="F1658" s="439"/>
      <c r="G1658" s="439"/>
      <c r="H1658" s="439"/>
      <c r="I1658" s="439"/>
      <c r="J1658" s="439"/>
      <c r="K1658" s="439"/>
      <c r="L1658" s="439"/>
      <c r="M1658" s="362"/>
      <c r="N1658" s="299"/>
      <c r="O1658" s="362"/>
      <c r="P1658" s="448"/>
      <c r="Q1658" s="440"/>
      <c r="R1658" s="403" t="str">
        <f t="shared" si="114"/>
        <v>DELETE</v>
      </c>
    </row>
    <row r="1659" spans="2:18" ht="31.5" customHeight="1" x14ac:dyDescent="0.45">
      <c r="B1659" s="323"/>
      <c r="C1659" s="417"/>
      <c r="L1659" s="405"/>
      <c r="M1659" s="421"/>
      <c r="N1659" s="400"/>
      <c r="O1659" s="344">
        <f>Criteria!E22</f>
        <v>2024</v>
      </c>
      <c r="Q1659" s="442"/>
      <c r="R1659" s="403" t="str">
        <f t="shared" si="114"/>
        <v>DELETE</v>
      </c>
    </row>
    <row r="1660" spans="2:18" ht="31.5" customHeight="1" x14ac:dyDescent="0.45">
      <c r="B1660" s="323"/>
      <c r="C1660" s="417"/>
      <c r="L1660" s="405"/>
      <c r="M1660" s="421"/>
      <c r="N1660" s="400"/>
      <c r="O1660" s="347"/>
      <c r="Q1660" s="442"/>
      <c r="R1660" s="403" t="str">
        <f t="shared" si="114"/>
        <v>DELETE</v>
      </c>
    </row>
    <row r="1661" spans="2:18" ht="31.5" customHeight="1" x14ac:dyDescent="0.45">
      <c r="B1661" s="323">
        <f>MAX(B$559:B1660)+1</f>
        <v>18</v>
      </c>
      <c r="C1661" s="417" t="s">
        <v>169</v>
      </c>
      <c r="L1661" s="405"/>
      <c r="M1661" s="421"/>
      <c r="N1661" s="400"/>
      <c r="O1661" s="347"/>
      <c r="Q1661" s="442"/>
      <c r="R1661" s="403" t="str">
        <f t="shared" si="114"/>
        <v>DELETE</v>
      </c>
    </row>
    <row r="1662" spans="2:18" ht="31.5" customHeight="1" x14ac:dyDescent="0.45">
      <c r="B1662" s="323"/>
      <c r="C1662" s="417"/>
      <c r="D1662" s="400">
        <f>TrialBalance!C366</f>
        <v>0</v>
      </c>
      <c r="L1662" s="405"/>
      <c r="M1662" s="421"/>
      <c r="N1662" s="400"/>
      <c r="O1662" s="347">
        <f>IF(TrialBalance!L366&gt;0,TrialBalance!L366,0)</f>
        <v>0</v>
      </c>
      <c r="Q1662" s="442"/>
      <c r="R1662" s="403" t="str">
        <f t="shared" ref="R1662:R1668" si="115">IF(O1662=0,"DELETE"," ")</f>
        <v>DELETE</v>
      </c>
    </row>
    <row r="1663" spans="2:18" ht="31.5" customHeight="1" x14ac:dyDescent="0.45">
      <c r="B1663" s="323"/>
      <c r="C1663" s="417"/>
      <c r="D1663" s="400">
        <f>TrialBalance!C367</f>
        <v>0</v>
      </c>
      <c r="L1663" s="405"/>
      <c r="M1663" s="421"/>
      <c r="N1663" s="400"/>
      <c r="O1663" s="347">
        <f>IF(TrialBalance!L367&gt;0,TrialBalance!L367,0)</f>
        <v>0</v>
      </c>
      <c r="Q1663" s="442"/>
      <c r="R1663" s="403" t="str">
        <f t="shared" si="115"/>
        <v>DELETE</v>
      </c>
    </row>
    <row r="1664" spans="2:18" ht="31.5" customHeight="1" x14ac:dyDescent="0.45">
      <c r="B1664" s="323"/>
      <c r="C1664" s="417"/>
      <c r="D1664" s="400">
        <f>TrialBalance!C368</f>
        <v>0</v>
      </c>
      <c r="L1664" s="405"/>
      <c r="M1664" s="421"/>
      <c r="N1664" s="400"/>
      <c r="O1664" s="347">
        <f>IF(TrialBalance!L368&gt;0,TrialBalance!L368,0)</f>
        <v>0</v>
      </c>
      <c r="Q1664" s="442"/>
      <c r="R1664" s="403" t="str">
        <f t="shared" si="115"/>
        <v>DELETE</v>
      </c>
    </row>
    <row r="1665" spans="2:21" ht="31.5" customHeight="1" x14ac:dyDescent="0.45">
      <c r="B1665" s="323"/>
      <c r="C1665" s="417"/>
      <c r="D1665" s="400">
        <f>TrialBalance!C369</f>
        <v>0</v>
      </c>
      <c r="L1665" s="405"/>
      <c r="M1665" s="421"/>
      <c r="N1665" s="400"/>
      <c r="O1665" s="347">
        <f>IF(TrialBalance!L369&gt;0,TrialBalance!L369,0)</f>
        <v>0</v>
      </c>
      <c r="Q1665" s="442"/>
      <c r="R1665" s="403" t="str">
        <f t="shared" si="115"/>
        <v>DELETE</v>
      </c>
    </row>
    <row r="1666" spans="2:21" ht="31.5" customHeight="1" x14ac:dyDescent="0.45">
      <c r="B1666" s="323"/>
      <c r="C1666" s="417"/>
      <c r="D1666" s="400">
        <f>TrialBalance!C370</f>
        <v>0</v>
      </c>
      <c r="L1666" s="405"/>
      <c r="M1666" s="421"/>
      <c r="N1666" s="400"/>
      <c r="O1666" s="347">
        <f>IF(TrialBalance!L370&gt;0,TrialBalance!L370,0)</f>
        <v>0</v>
      </c>
      <c r="Q1666" s="442"/>
      <c r="R1666" s="403" t="str">
        <f t="shared" si="115"/>
        <v>DELETE</v>
      </c>
    </row>
    <row r="1667" spans="2:21" ht="31.5" customHeight="1" x14ac:dyDescent="0.45">
      <c r="B1667" s="323"/>
      <c r="C1667" s="417"/>
      <c r="D1667" s="400">
        <f>TrialBalance!C371</f>
        <v>0</v>
      </c>
      <c r="L1667" s="405"/>
      <c r="M1667" s="421"/>
      <c r="N1667" s="400"/>
      <c r="O1667" s="347">
        <f>IF(TrialBalance!L371&gt;0,TrialBalance!L371,0)</f>
        <v>0</v>
      </c>
      <c r="Q1667" s="442"/>
      <c r="R1667" s="403" t="str">
        <f t="shared" si="115"/>
        <v>DELETE</v>
      </c>
    </row>
    <row r="1668" spans="2:21" ht="31.5" customHeight="1" x14ac:dyDescent="0.45">
      <c r="B1668" s="323"/>
      <c r="C1668" s="417"/>
      <c r="D1668" s="400" t="s">
        <v>427</v>
      </c>
      <c r="L1668" s="405"/>
      <c r="M1668" s="421"/>
      <c r="N1668" s="400"/>
      <c r="O1668" s="347">
        <f>TrialBalance!L372</f>
        <v>0</v>
      </c>
      <c r="Q1668" s="442"/>
      <c r="R1668" s="403" t="str">
        <f t="shared" si="115"/>
        <v>DELETE</v>
      </c>
    </row>
    <row r="1669" spans="2:21" ht="9" customHeight="1" x14ac:dyDescent="0.45">
      <c r="B1669" s="323"/>
      <c r="C1669" s="417"/>
      <c r="L1669" s="405"/>
      <c r="M1669" s="421"/>
      <c r="N1669" s="400"/>
      <c r="O1669" s="349"/>
      <c r="Q1669" s="442"/>
      <c r="R1669" s="403" t="str">
        <f t="shared" ref="R1669:R1677" si="116">R$1671</f>
        <v>DELETE</v>
      </c>
    </row>
    <row r="1670" spans="2:21" ht="9" customHeight="1" x14ac:dyDescent="0.45">
      <c r="B1670" s="323"/>
      <c r="C1670" s="417"/>
      <c r="L1670" s="405"/>
      <c r="M1670" s="421"/>
      <c r="N1670" s="400"/>
      <c r="O1670" s="347"/>
      <c r="Q1670" s="442"/>
      <c r="R1670" s="403" t="str">
        <f t="shared" si="116"/>
        <v>DELETE</v>
      </c>
    </row>
    <row r="1671" spans="2:21" ht="31.5" customHeight="1" x14ac:dyDescent="0.45">
      <c r="B1671" s="323"/>
      <c r="C1671" s="417"/>
      <c r="L1671" s="405"/>
      <c r="M1671" s="421"/>
      <c r="N1671" s="400"/>
      <c r="O1671" s="347">
        <f>SUM(O1662:O1670)</f>
        <v>0</v>
      </c>
      <c r="Q1671" s="442"/>
      <c r="R1671" s="403" t="str">
        <f t="shared" ref="R1671" si="117">IF(O1671=0,"DELETE"," ")</f>
        <v>DELETE</v>
      </c>
      <c r="U1671" s="383"/>
    </row>
    <row r="1672" spans="2:21" ht="9" customHeight="1" thickBot="1" x14ac:dyDescent="0.5">
      <c r="B1672" s="323"/>
      <c r="C1672" s="417"/>
      <c r="L1672" s="405"/>
      <c r="M1672" s="421"/>
      <c r="N1672" s="400"/>
      <c r="O1672" s="351"/>
      <c r="Q1672" s="442"/>
      <c r="R1672" s="403" t="str">
        <f t="shared" si="116"/>
        <v>DELETE</v>
      </c>
    </row>
    <row r="1673" spans="2:21" ht="9" customHeight="1" thickTop="1" x14ac:dyDescent="0.45">
      <c r="B1673" s="323"/>
      <c r="C1673" s="417"/>
      <c r="L1673" s="405"/>
      <c r="M1673" s="421"/>
      <c r="N1673" s="400"/>
      <c r="O1673" s="363"/>
      <c r="Q1673" s="442"/>
      <c r="R1673" s="403" t="str">
        <f t="shared" si="116"/>
        <v>DELETE</v>
      </c>
    </row>
    <row r="1674" spans="2:21" ht="31.5" customHeight="1" x14ac:dyDescent="0.45">
      <c r="B1674" s="323"/>
      <c r="C1674" s="417"/>
      <c r="L1674" s="405"/>
      <c r="M1674" s="421"/>
      <c r="N1674" s="400"/>
      <c r="O1674" s="347"/>
      <c r="Q1674" s="442"/>
      <c r="R1674" s="403" t="str">
        <f t="shared" si="116"/>
        <v>DELETE</v>
      </c>
    </row>
    <row r="1675" spans="2:21" ht="31.5" customHeight="1" x14ac:dyDescent="0.45">
      <c r="B1675" s="323"/>
      <c r="C1675" s="417"/>
      <c r="M1675" s="347"/>
      <c r="N1675" s="298"/>
      <c r="O1675" s="347"/>
      <c r="Q1675" s="442"/>
      <c r="R1675" s="403" t="str">
        <f t="shared" si="116"/>
        <v>DELETE</v>
      </c>
    </row>
    <row r="1676" spans="2:21" ht="31.5" customHeight="1" x14ac:dyDescent="0.45">
      <c r="B1676" s="324"/>
      <c r="C1676" s="465"/>
      <c r="D1676" s="429"/>
      <c r="E1676" s="429"/>
      <c r="F1676" s="429"/>
      <c r="G1676" s="429"/>
      <c r="H1676" s="429"/>
      <c r="I1676" s="429"/>
      <c r="J1676" s="429"/>
      <c r="K1676" s="429"/>
      <c r="L1676" s="429"/>
      <c r="M1676" s="349"/>
      <c r="N1676" s="300"/>
      <c r="O1676" s="349"/>
      <c r="P1676" s="433"/>
      <c r="Q1676" s="446"/>
      <c r="R1676" s="403" t="str">
        <f t="shared" si="116"/>
        <v>DELETE</v>
      </c>
    </row>
    <row r="1677" spans="2:21" ht="31.5" customHeight="1" x14ac:dyDescent="0.45">
      <c r="B1677" s="325"/>
      <c r="C1677" s="417"/>
      <c r="M1677" s="347"/>
      <c r="N1677" s="298"/>
      <c r="O1677" s="347"/>
      <c r="R1677" s="403" t="str">
        <f t="shared" si="116"/>
        <v>DELETE</v>
      </c>
    </row>
    <row r="1678" spans="2:21" ht="31.5" customHeight="1" x14ac:dyDescent="0.45">
      <c r="B1678" s="325"/>
      <c r="C1678" s="417"/>
      <c r="M1678" s="347"/>
      <c r="N1678" s="298"/>
      <c r="O1678" s="347"/>
    </row>
    <row r="1679" spans="2:21" ht="31.5" customHeight="1" x14ac:dyDescent="0.45">
      <c r="B1679" s="422"/>
      <c r="D1679" s="417" t="str">
        <f>Criteria!E9</f>
        <v>HOLDING COMPANY 268 (PROPRIETARY) LIMITED</v>
      </c>
      <c r="M1679" s="426"/>
      <c r="N1679" s="406"/>
      <c r="O1679" s="347" t="s">
        <v>96</v>
      </c>
      <c r="Q1679" s="292">
        <f>MAX($Q$114:Q1678)+1</f>
        <v>41</v>
      </c>
    </row>
    <row r="1680" spans="2:21" ht="31.5" customHeight="1" x14ac:dyDescent="0.45">
      <c r="B1680" s="422"/>
      <c r="D1680" s="417" t="str">
        <f>Criteria!E10</f>
        <v>CONSOLIDATED FINANCIAL STATEMENTS</v>
      </c>
      <c r="M1680" s="426"/>
      <c r="N1680" s="406"/>
      <c r="O1680" s="426"/>
      <c r="R1680" s="403" t="str">
        <f>IF(D1680=0,"DELETE"," ")</f>
        <v xml:space="preserve"> </v>
      </c>
    </row>
    <row r="1681" spans="2:17" ht="31.5" customHeight="1" x14ac:dyDescent="0.45">
      <c r="B1681" s="422"/>
      <c r="M1681" s="426"/>
      <c r="N1681" s="406"/>
      <c r="O1681" s="426"/>
    </row>
    <row r="1682" spans="2:17" ht="31.5" customHeight="1" x14ac:dyDescent="0.45">
      <c r="B1682" s="422"/>
      <c r="D1682" s="417" t="s">
        <v>377</v>
      </c>
      <c r="M1682" s="426"/>
      <c r="N1682" s="406"/>
      <c r="O1682" s="426"/>
    </row>
    <row r="1683" spans="2:17" ht="31.5" customHeight="1" x14ac:dyDescent="0.45">
      <c r="B1683" s="422"/>
      <c r="D1683" s="417" t="str">
        <f>Criteria!E20</f>
        <v>29 FEBRUARY 2024</v>
      </c>
      <c r="J1683" s="400" t="s">
        <v>247</v>
      </c>
      <c r="M1683" s="426"/>
      <c r="N1683" s="406"/>
      <c r="O1683" s="426"/>
    </row>
    <row r="1684" spans="2:17" ht="31.5" customHeight="1" x14ac:dyDescent="0.45">
      <c r="B1684" s="422"/>
      <c r="D1684" s="417"/>
      <c r="M1684" s="426"/>
      <c r="N1684" s="406"/>
      <c r="O1684" s="426"/>
    </row>
    <row r="1685" spans="2:17" ht="31.5" customHeight="1" x14ac:dyDescent="0.45">
      <c r="B1685" s="326"/>
      <c r="C1685" s="458"/>
      <c r="D1685" s="439"/>
      <c r="E1685" s="439"/>
      <c r="F1685" s="439"/>
      <c r="G1685" s="439"/>
      <c r="H1685" s="439"/>
      <c r="I1685" s="439"/>
      <c r="J1685" s="439"/>
      <c r="K1685" s="439"/>
      <c r="L1685" s="439"/>
      <c r="M1685" s="362"/>
      <c r="N1685" s="299"/>
      <c r="O1685" s="362"/>
      <c r="P1685" s="448"/>
      <c r="Q1685" s="440"/>
    </row>
    <row r="1686" spans="2:17" ht="31.5" customHeight="1" x14ac:dyDescent="0.45">
      <c r="B1686" s="323"/>
      <c r="C1686" s="417"/>
      <c r="L1686" s="405"/>
      <c r="M1686" s="421"/>
      <c r="N1686" s="400"/>
      <c r="O1686" s="344">
        <f>Criteria!E22</f>
        <v>2024</v>
      </c>
      <c r="Q1686" s="442"/>
    </row>
    <row r="1687" spans="2:17" ht="31.5" customHeight="1" x14ac:dyDescent="0.45">
      <c r="B1687" s="323"/>
      <c r="C1687" s="417"/>
      <c r="L1687" s="405"/>
      <c r="M1687" s="421"/>
      <c r="N1687" s="400"/>
      <c r="O1687" s="347"/>
      <c r="Q1687" s="442"/>
    </row>
    <row r="1688" spans="2:17" ht="31.5" customHeight="1" x14ac:dyDescent="0.45">
      <c r="B1688" s="323">
        <f>MAX(B$559:B1687)+1</f>
        <v>19</v>
      </c>
      <c r="C1688" s="417" t="s">
        <v>493</v>
      </c>
      <c r="L1688" s="405"/>
      <c r="M1688" s="421"/>
      <c r="N1688" s="400"/>
      <c r="O1688" s="347"/>
      <c r="Q1688" s="442"/>
    </row>
    <row r="1689" spans="2:17" ht="31.5" customHeight="1" x14ac:dyDescent="0.45">
      <c r="B1689" s="323"/>
      <c r="C1689" s="417"/>
      <c r="D1689" s="400" t="s">
        <v>1017</v>
      </c>
      <c r="K1689" s="292"/>
      <c r="L1689" s="405"/>
      <c r="M1689" s="421"/>
      <c r="N1689" s="400"/>
      <c r="O1689" s="325"/>
      <c r="Q1689" s="442"/>
    </row>
    <row r="1690" spans="2:17" ht="31.5" customHeight="1" x14ac:dyDescent="0.45">
      <c r="B1690" s="323"/>
      <c r="D1690" s="400" t="str">
        <f>Criteria!G109</f>
        <v>1000 Ordinary shares of R1 each</v>
      </c>
      <c r="H1690" s="317"/>
      <c r="J1690" s="317"/>
      <c r="K1690" s="317"/>
      <c r="L1690" s="405"/>
      <c r="M1690" s="421"/>
      <c r="N1690" s="400"/>
      <c r="O1690" s="350">
        <f>Criteria!E109*Criteria!E110</f>
        <v>1000</v>
      </c>
      <c r="Q1690" s="442"/>
    </row>
    <row r="1691" spans="2:17" ht="9" customHeight="1" thickBot="1" x14ac:dyDescent="0.5">
      <c r="B1691" s="323"/>
      <c r="H1691" s="472"/>
      <c r="J1691" s="472"/>
      <c r="K1691" s="472"/>
      <c r="L1691" s="405"/>
      <c r="M1691" s="421"/>
      <c r="N1691" s="400"/>
      <c r="O1691" s="360"/>
      <c r="Q1691" s="442"/>
    </row>
    <row r="1692" spans="2:17" ht="31.5" customHeight="1" thickTop="1" x14ac:dyDescent="0.45">
      <c r="B1692" s="323"/>
      <c r="C1692" s="417"/>
      <c r="L1692" s="405"/>
      <c r="M1692" s="421"/>
      <c r="N1692" s="400"/>
      <c r="O1692" s="347"/>
      <c r="Q1692" s="442"/>
    </row>
    <row r="1693" spans="2:17" ht="31.5" customHeight="1" x14ac:dyDescent="0.45">
      <c r="B1693" s="323"/>
      <c r="D1693" s="400" t="s">
        <v>757</v>
      </c>
      <c r="L1693" s="405"/>
      <c r="M1693" s="421"/>
      <c r="N1693" s="400"/>
      <c r="O1693" s="421"/>
      <c r="Q1693" s="442"/>
    </row>
    <row r="1694" spans="2:17" ht="31.5" customHeight="1" x14ac:dyDescent="0.45">
      <c r="B1694" s="323"/>
      <c r="D1694" s="400" t="str">
        <f>Criteria!G112</f>
        <v>100 Ordinary shares of R1 each</v>
      </c>
      <c r="H1694" s="406"/>
      <c r="J1694" s="472"/>
      <c r="K1694" s="472"/>
      <c r="L1694" s="405"/>
      <c r="M1694" s="421"/>
      <c r="N1694" s="472"/>
      <c r="O1694" s="434">
        <f>-TrialBalance!L169-TrialBalance!L170</f>
        <v>0</v>
      </c>
      <c r="P1694" s="406"/>
      <c r="Q1694" s="442"/>
    </row>
    <row r="1695" spans="2:17" ht="9" customHeight="1" thickBot="1" x14ac:dyDescent="0.5">
      <c r="B1695" s="323"/>
      <c r="C1695" s="417"/>
      <c r="J1695" s="472"/>
      <c r="K1695" s="472"/>
      <c r="L1695" s="405"/>
      <c r="M1695" s="421"/>
      <c r="N1695" s="472"/>
      <c r="O1695" s="360"/>
      <c r="P1695" s="406"/>
      <c r="Q1695" s="442"/>
    </row>
    <row r="1696" spans="2:17" ht="31.5" customHeight="1" thickTop="1" x14ac:dyDescent="0.45">
      <c r="B1696" s="323"/>
      <c r="C1696" s="417"/>
      <c r="H1696" s="406"/>
      <c r="J1696" s="472"/>
      <c r="K1696" s="472"/>
      <c r="L1696" s="405"/>
      <c r="M1696" s="421"/>
      <c r="N1696" s="472"/>
      <c r="O1696" s="347"/>
      <c r="P1696" s="406"/>
      <c r="Q1696" s="442"/>
    </row>
    <row r="1697" spans="2:18" ht="31.5" customHeight="1" x14ac:dyDescent="0.45">
      <c r="B1697" s="323"/>
      <c r="C1697" s="417"/>
      <c r="H1697" s="406"/>
      <c r="J1697" s="472"/>
      <c r="K1697" s="472"/>
      <c r="L1697" s="405"/>
      <c r="M1697" s="421"/>
      <c r="N1697" s="472"/>
      <c r="O1697" s="347"/>
      <c r="P1697" s="406"/>
      <c r="Q1697" s="442"/>
    </row>
    <row r="1698" spans="2:18" ht="31.5" customHeight="1" x14ac:dyDescent="0.45">
      <c r="B1698" s="324"/>
      <c r="C1698" s="465"/>
      <c r="D1698" s="429"/>
      <c r="E1698" s="429"/>
      <c r="F1698" s="429"/>
      <c r="G1698" s="429"/>
      <c r="H1698" s="461"/>
      <c r="I1698" s="429"/>
      <c r="J1698" s="476"/>
      <c r="K1698" s="476"/>
      <c r="L1698" s="476"/>
      <c r="M1698" s="349"/>
      <c r="N1698" s="300"/>
      <c r="O1698" s="349"/>
      <c r="P1698" s="461"/>
      <c r="Q1698" s="446"/>
    </row>
    <row r="1699" spans="2:18" ht="31.5" customHeight="1" x14ac:dyDescent="0.45">
      <c r="B1699" s="325"/>
      <c r="C1699" s="417"/>
      <c r="M1699" s="347"/>
      <c r="N1699" s="298"/>
      <c r="O1699" s="347"/>
    </row>
    <row r="1700" spans="2:18" ht="31.5" customHeight="1" x14ac:dyDescent="0.45">
      <c r="B1700" s="325"/>
      <c r="C1700" s="417"/>
      <c r="M1700" s="347"/>
      <c r="N1700" s="298"/>
      <c r="O1700" s="347"/>
      <c r="R1700" s="403" t="str">
        <f>R$1716</f>
        <v>DELETE</v>
      </c>
    </row>
    <row r="1701" spans="2:18" ht="31.5" customHeight="1" x14ac:dyDescent="0.45">
      <c r="B1701" s="422"/>
      <c r="D1701" s="417" t="str">
        <f>Criteria!E9</f>
        <v>HOLDING COMPANY 268 (PROPRIETARY) LIMITED</v>
      </c>
      <c r="M1701" s="426"/>
      <c r="N1701" s="406"/>
      <c r="O1701" s="347" t="s">
        <v>96</v>
      </c>
      <c r="Q1701" s="292">
        <f>MAX($Q$114:Q1700)+1</f>
        <v>42</v>
      </c>
      <c r="R1701" s="403" t="str">
        <f t="shared" ref="R1701:R1710" si="118">R$1716</f>
        <v>DELETE</v>
      </c>
    </row>
    <row r="1702" spans="2:18" ht="31.5" customHeight="1" x14ac:dyDescent="0.45">
      <c r="B1702" s="422"/>
      <c r="D1702" s="417" t="str">
        <f>Criteria!E10</f>
        <v>CONSOLIDATED FINANCIAL STATEMENTS</v>
      </c>
      <c r="M1702" s="426"/>
      <c r="N1702" s="406"/>
      <c r="O1702" s="426"/>
      <c r="R1702" s="403" t="str">
        <f>IF(R$1716="DELETE","DELETE",IF(D1702=0,"DELETE"," "))</f>
        <v>DELETE</v>
      </c>
    </row>
    <row r="1703" spans="2:18" ht="31.5" customHeight="1" x14ac:dyDescent="0.45">
      <c r="B1703" s="422"/>
      <c r="M1703" s="426"/>
      <c r="N1703" s="406"/>
      <c r="O1703" s="426"/>
      <c r="R1703" s="403" t="str">
        <f t="shared" si="118"/>
        <v>DELETE</v>
      </c>
    </row>
    <row r="1704" spans="2:18" ht="31.5" customHeight="1" x14ac:dyDescent="0.45">
      <c r="B1704" s="422"/>
      <c r="D1704" s="417" t="s">
        <v>377</v>
      </c>
      <c r="M1704" s="426"/>
      <c r="N1704" s="406"/>
      <c r="O1704" s="426"/>
      <c r="R1704" s="403" t="str">
        <f t="shared" si="118"/>
        <v>DELETE</v>
      </c>
    </row>
    <row r="1705" spans="2:18" ht="31.5" customHeight="1" x14ac:dyDescent="0.45">
      <c r="B1705" s="422"/>
      <c r="D1705" s="417" t="str">
        <f>Criteria!E20</f>
        <v>29 FEBRUARY 2024</v>
      </c>
      <c r="J1705" s="400" t="s">
        <v>247</v>
      </c>
      <c r="M1705" s="426"/>
      <c r="N1705" s="406"/>
      <c r="O1705" s="426"/>
      <c r="R1705" s="403" t="str">
        <f t="shared" si="118"/>
        <v>DELETE</v>
      </c>
    </row>
    <row r="1706" spans="2:18" ht="31.5" customHeight="1" x14ac:dyDescent="0.45">
      <c r="B1706" s="422"/>
      <c r="D1706" s="417"/>
      <c r="M1706" s="426"/>
      <c r="N1706" s="406"/>
      <c r="O1706" s="426"/>
      <c r="R1706" s="403" t="str">
        <f t="shared" si="118"/>
        <v>DELETE</v>
      </c>
    </row>
    <row r="1707" spans="2:18" ht="31.5" customHeight="1" x14ac:dyDescent="0.45">
      <c r="B1707" s="326"/>
      <c r="C1707" s="458"/>
      <c r="D1707" s="439"/>
      <c r="E1707" s="439"/>
      <c r="F1707" s="439"/>
      <c r="G1707" s="439"/>
      <c r="H1707" s="470"/>
      <c r="I1707" s="439"/>
      <c r="J1707" s="478"/>
      <c r="K1707" s="478"/>
      <c r="L1707" s="478"/>
      <c r="M1707" s="362"/>
      <c r="N1707" s="299"/>
      <c r="O1707" s="362"/>
      <c r="P1707" s="470"/>
      <c r="Q1707" s="440"/>
      <c r="R1707" s="403" t="str">
        <f t="shared" si="118"/>
        <v>DELETE</v>
      </c>
    </row>
    <row r="1708" spans="2:18" ht="31.5" customHeight="1" x14ac:dyDescent="0.45">
      <c r="B1708" s="323"/>
      <c r="C1708" s="417"/>
      <c r="H1708" s="406"/>
      <c r="J1708" s="472"/>
      <c r="K1708" s="472"/>
      <c r="L1708" s="405"/>
      <c r="M1708" s="421"/>
      <c r="N1708" s="472"/>
      <c r="O1708" s="344">
        <f>Criteria!E22</f>
        <v>2024</v>
      </c>
      <c r="P1708" s="406"/>
      <c r="Q1708" s="442"/>
      <c r="R1708" s="403" t="str">
        <f t="shared" si="118"/>
        <v>DELETE</v>
      </c>
    </row>
    <row r="1709" spans="2:18" ht="31.5" customHeight="1" x14ac:dyDescent="0.45">
      <c r="B1709" s="323"/>
      <c r="C1709" s="417"/>
      <c r="H1709" s="406"/>
      <c r="J1709" s="472"/>
      <c r="K1709" s="472"/>
      <c r="L1709" s="405"/>
      <c r="M1709" s="421"/>
      <c r="N1709" s="472"/>
      <c r="O1709" s="347"/>
      <c r="P1709" s="406"/>
      <c r="Q1709" s="442"/>
      <c r="R1709" s="403" t="str">
        <f t="shared" si="118"/>
        <v>DELETE</v>
      </c>
    </row>
    <row r="1710" spans="2:18" ht="31.5" customHeight="1" x14ac:dyDescent="0.45">
      <c r="B1710" s="323">
        <f>MAX(B$559:B1709)+1</f>
        <v>20</v>
      </c>
      <c r="C1710" s="417" t="s">
        <v>498</v>
      </c>
      <c r="H1710" s="406"/>
      <c r="J1710" s="472"/>
      <c r="K1710" s="472"/>
      <c r="L1710" s="405"/>
      <c r="M1710" s="421"/>
      <c r="N1710" s="472"/>
      <c r="O1710" s="347"/>
      <c r="P1710" s="406"/>
      <c r="Q1710" s="442"/>
      <c r="R1710" s="403" t="str">
        <f t="shared" si="118"/>
        <v>DELETE</v>
      </c>
    </row>
    <row r="1711" spans="2:18" ht="31.5" customHeight="1" x14ac:dyDescent="0.45">
      <c r="B1711" s="323"/>
      <c r="C1711" s="417"/>
      <c r="D1711" s="400" t="s">
        <v>118</v>
      </c>
      <c r="H1711" s="406"/>
      <c r="J1711" s="472"/>
      <c r="K1711" s="472"/>
      <c r="L1711" s="405"/>
      <c r="M1711" s="421"/>
      <c r="N1711" s="472"/>
      <c r="O1711" s="347">
        <f>-TrialBalance!L172</f>
        <v>0</v>
      </c>
      <c r="P1711" s="406"/>
      <c r="Q1711" s="442"/>
      <c r="R1711" s="403" t="str">
        <f>R1716</f>
        <v>DELETE</v>
      </c>
    </row>
    <row r="1712" spans="2:18" ht="31.5" customHeight="1" x14ac:dyDescent="0.45">
      <c r="B1712" s="323"/>
      <c r="C1712" s="417"/>
      <c r="D1712" s="400" t="s">
        <v>500</v>
      </c>
      <c r="H1712" s="406"/>
      <c r="J1712" s="472"/>
      <c r="K1712" s="472"/>
      <c r="L1712" s="405"/>
      <c r="M1712" s="421"/>
      <c r="N1712" s="472"/>
      <c r="O1712" s="347">
        <f>-TrialBalance!L173</f>
        <v>0</v>
      </c>
      <c r="P1712" s="406"/>
      <c r="Q1712" s="442"/>
      <c r="R1712" s="403" t="str">
        <f t="shared" ref="R1712:R1713" si="119">IF(O1712=0,"DELETE"," ")</f>
        <v>DELETE</v>
      </c>
    </row>
    <row r="1713" spans="2:18" ht="31.5" customHeight="1" x14ac:dyDescent="0.45">
      <c r="B1713" s="323"/>
      <c r="C1713" s="417"/>
      <c r="D1713" s="400" t="s">
        <v>501</v>
      </c>
      <c r="H1713" s="406"/>
      <c r="J1713" s="472"/>
      <c r="K1713" s="472"/>
      <c r="L1713" s="405"/>
      <c r="M1713" s="421"/>
      <c r="N1713" s="472"/>
      <c r="O1713" s="347">
        <f>-TrialBalance!L174</f>
        <v>0</v>
      </c>
      <c r="P1713" s="406"/>
      <c r="Q1713" s="442"/>
      <c r="R1713" s="403" t="str">
        <f t="shared" si="119"/>
        <v>DELETE</v>
      </c>
    </row>
    <row r="1714" spans="2:18" ht="9" customHeight="1" x14ac:dyDescent="0.45">
      <c r="B1714" s="323"/>
      <c r="C1714" s="417"/>
      <c r="H1714" s="406"/>
      <c r="J1714" s="472"/>
      <c r="K1714" s="472"/>
      <c r="L1714" s="405"/>
      <c r="M1714" s="421"/>
      <c r="N1714" s="472"/>
      <c r="O1714" s="349"/>
      <c r="P1714" s="406"/>
      <c r="Q1714" s="442"/>
      <c r="R1714" s="403" t="str">
        <f t="shared" ref="R1714:R1722" si="120">R$1716</f>
        <v>DELETE</v>
      </c>
    </row>
    <row r="1715" spans="2:18" ht="9" customHeight="1" x14ac:dyDescent="0.45">
      <c r="B1715" s="323"/>
      <c r="C1715" s="417"/>
      <c r="H1715" s="406"/>
      <c r="J1715" s="472"/>
      <c r="K1715" s="472"/>
      <c r="L1715" s="405"/>
      <c r="M1715" s="421"/>
      <c r="N1715" s="472"/>
      <c r="O1715" s="347"/>
      <c r="P1715" s="406"/>
      <c r="Q1715" s="442"/>
      <c r="R1715" s="403" t="str">
        <f t="shared" si="120"/>
        <v>DELETE</v>
      </c>
    </row>
    <row r="1716" spans="2:18" ht="31.5" customHeight="1" x14ac:dyDescent="0.45">
      <c r="B1716" s="323"/>
      <c r="C1716" s="417"/>
      <c r="H1716" s="406"/>
      <c r="J1716" s="472"/>
      <c r="K1716" s="472"/>
      <c r="L1716" s="405"/>
      <c r="M1716" s="421"/>
      <c r="N1716" s="472"/>
      <c r="O1716" s="347">
        <f>SUM(O1711:O1715)</f>
        <v>0</v>
      </c>
      <c r="P1716" s="406"/>
      <c r="Q1716" s="442"/>
      <c r="R1716" s="403" t="str">
        <f>IF(COUNTIF(O1711:O1713,"&gt;0")&gt;0," ","DELETE")</f>
        <v>DELETE</v>
      </c>
    </row>
    <row r="1717" spans="2:18" ht="9" customHeight="1" thickBot="1" x14ac:dyDescent="0.5">
      <c r="B1717" s="323"/>
      <c r="C1717" s="417"/>
      <c r="H1717" s="406"/>
      <c r="J1717" s="472"/>
      <c r="K1717" s="472"/>
      <c r="L1717" s="405"/>
      <c r="M1717" s="421"/>
      <c r="N1717" s="472"/>
      <c r="O1717" s="351"/>
      <c r="P1717" s="406"/>
      <c r="Q1717" s="442"/>
      <c r="R1717" s="403" t="str">
        <f t="shared" si="120"/>
        <v>DELETE</v>
      </c>
    </row>
    <row r="1718" spans="2:18" ht="9" customHeight="1" thickTop="1" x14ac:dyDescent="0.45">
      <c r="B1718" s="323"/>
      <c r="C1718" s="417"/>
      <c r="H1718" s="406"/>
      <c r="J1718" s="472"/>
      <c r="K1718" s="472"/>
      <c r="L1718" s="405"/>
      <c r="M1718" s="421"/>
      <c r="N1718" s="472"/>
      <c r="O1718" s="363"/>
      <c r="P1718" s="406"/>
      <c r="Q1718" s="442"/>
      <c r="R1718" s="403" t="str">
        <f t="shared" si="120"/>
        <v>DELETE</v>
      </c>
    </row>
    <row r="1719" spans="2:18" ht="31.5" customHeight="1" x14ac:dyDescent="0.45">
      <c r="B1719" s="323"/>
      <c r="C1719" s="417"/>
      <c r="J1719" s="472"/>
      <c r="K1719" s="472"/>
      <c r="L1719" s="405"/>
      <c r="M1719" s="421"/>
      <c r="N1719" s="472"/>
      <c r="O1719" s="347"/>
      <c r="P1719" s="406"/>
      <c r="Q1719" s="442"/>
      <c r="R1719" s="403" t="str">
        <f t="shared" si="120"/>
        <v>DELETE</v>
      </c>
    </row>
    <row r="1720" spans="2:18" ht="31.5" customHeight="1" x14ac:dyDescent="0.45">
      <c r="B1720" s="323"/>
      <c r="C1720" s="417"/>
      <c r="J1720" s="472"/>
      <c r="K1720" s="472"/>
      <c r="L1720" s="472"/>
      <c r="M1720" s="347"/>
      <c r="N1720" s="298"/>
      <c r="O1720" s="347"/>
      <c r="P1720" s="406"/>
      <c r="Q1720" s="442"/>
      <c r="R1720" s="403" t="str">
        <f t="shared" si="120"/>
        <v>DELETE</v>
      </c>
    </row>
    <row r="1721" spans="2:18" ht="31.5" customHeight="1" x14ac:dyDescent="0.45">
      <c r="B1721" s="324"/>
      <c r="C1721" s="465"/>
      <c r="D1721" s="429"/>
      <c r="E1721" s="429"/>
      <c r="F1721" s="429"/>
      <c r="G1721" s="429"/>
      <c r="H1721" s="429"/>
      <c r="I1721" s="429"/>
      <c r="J1721" s="476"/>
      <c r="K1721" s="476"/>
      <c r="L1721" s="476"/>
      <c r="M1721" s="349"/>
      <c r="N1721" s="300"/>
      <c r="O1721" s="349"/>
      <c r="P1721" s="461"/>
      <c r="Q1721" s="446"/>
      <c r="R1721" s="403" t="str">
        <f t="shared" si="120"/>
        <v>DELETE</v>
      </c>
    </row>
    <row r="1722" spans="2:18" ht="31.5" customHeight="1" x14ac:dyDescent="0.45">
      <c r="B1722" s="325"/>
      <c r="C1722" s="417"/>
      <c r="M1722" s="347"/>
      <c r="N1722" s="298"/>
      <c r="O1722" s="347"/>
      <c r="R1722" s="403" t="str">
        <f t="shared" si="120"/>
        <v>DELETE</v>
      </c>
    </row>
    <row r="1723" spans="2:18" ht="31.5" customHeight="1" x14ac:dyDescent="0.45">
      <c r="B1723" s="325"/>
      <c r="C1723" s="417"/>
      <c r="M1723" s="347"/>
      <c r="N1723" s="298"/>
      <c r="O1723" s="347"/>
      <c r="R1723" s="403" t="str">
        <f>R$1751</f>
        <v>DELETE</v>
      </c>
    </row>
    <row r="1724" spans="2:18" ht="31.5" customHeight="1" x14ac:dyDescent="0.45">
      <c r="B1724" s="422"/>
      <c r="D1724" s="417" t="str">
        <f>Criteria!E9</f>
        <v>HOLDING COMPANY 268 (PROPRIETARY) LIMITED</v>
      </c>
      <c r="M1724" s="426"/>
      <c r="N1724" s="406"/>
      <c r="O1724" s="347" t="s">
        <v>96</v>
      </c>
      <c r="Q1724" s="292">
        <f>MAX($Q$114:Q1723)+1</f>
        <v>43</v>
      </c>
      <c r="R1724" s="403" t="str">
        <f t="shared" ref="R1724:R1733" si="121">R$1751</f>
        <v>DELETE</v>
      </c>
    </row>
    <row r="1725" spans="2:18" ht="31.5" customHeight="1" x14ac:dyDescent="0.45">
      <c r="B1725" s="422"/>
      <c r="D1725" s="417" t="str">
        <f>Criteria!E10</f>
        <v>CONSOLIDATED FINANCIAL STATEMENTS</v>
      </c>
      <c r="M1725" s="426"/>
      <c r="N1725" s="406"/>
      <c r="O1725" s="426"/>
      <c r="R1725" s="403" t="str">
        <f>IF(R$1751="DELETE","DELETE",IF(D1725=0,"DELETE"," "))</f>
        <v>DELETE</v>
      </c>
    </row>
    <row r="1726" spans="2:18" ht="31.5" customHeight="1" x14ac:dyDescent="0.45">
      <c r="B1726" s="422"/>
      <c r="M1726" s="426"/>
      <c r="N1726" s="406"/>
      <c r="O1726" s="426"/>
      <c r="R1726" s="403" t="str">
        <f t="shared" si="121"/>
        <v>DELETE</v>
      </c>
    </row>
    <row r="1727" spans="2:18" ht="31.5" customHeight="1" x14ac:dyDescent="0.45">
      <c r="B1727" s="422"/>
      <c r="D1727" s="417" t="s">
        <v>377</v>
      </c>
      <c r="M1727" s="426"/>
      <c r="N1727" s="406"/>
      <c r="O1727" s="426"/>
      <c r="R1727" s="403" t="str">
        <f t="shared" si="121"/>
        <v>DELETE</v>
      </c>
    </row>
    <row r="1728" spans="2:18" ht="31.5" customHeight="1" x14ac:dyDescent="0.45">
      <c r="B1728" s="422"/>
      <c r="D1728" s="417" t="str">
        <f>Criteria!E20</f>
        <v>29 FEBRUARY 2024</v>
      </c>
      <c r="J1728" s="400" t="s">
        <v>247</v>
      </c>
      <c r="M1728" s="426"/>
      <c r="N1728" s="406"/>
      <c r="O1728" s="426"/>
      <c r="R1728" s="403" t="str">
        <f t="shared" si="121"/>
        <v>DELETE</v>
      </c>
    </row>
    <row r="1729" spans="2:22" ht="31.5" customHeight="1" x14ac:dyDescent="0.45">
      <c r="B1729" s="422"/>
      <c r="D1729" s="417"/>
      <c r="M1729" s="426"/>
      <c r="N1729" s="406"/>
      <c r="O1729" s="426"/>
      <c r="R1729" s="403" t="str">
        <f t="shared" si="121"/>
        <v>DELETE</v>
      </c>
    </row>
    <row r="1730" spans="2:22" ht="31.5" customHeight="1" x14ac:dyDescent="0.45">
      <c r="B1730" s="326"/>
      <c r="C1730" s="458"/>
      <c r="D1730" s="439"/>
      <c r="E1730" s="439"/>
      <c r="F1730" s="439"/>
      <c r="G1730" s="439"/>
      <c r="H1730" s="439"/>
      <c r="I1730" s="439"/>
      <c r="J1730" s="478"/>
      <c r="K1730" s="478"/>
      <c r="L1730" s="478"/>
      <c r="M1730" s="362"/>
      <c r="N1730" s="299"/>
      <c r="O1730" s="362"/>
      <c r="P1730" s="470"/>
      <c r="Q1730" s="440"/>
      <c r="R1730" s="403" t="str">
        <f t="shared" si="121"/>
        <v>DELETE</v>
      </c>
    </row>
    <row r="1731" spans="2:22" ht="31.5" customHeight="1" x14ac:dyDescent="0.45">
      <c r="B1731" s="323"/>
      <c r="C1731" s="417"/>
      <c r="J1731" s="472"/>
      <c r="K1731" s="472"/>
      <c r="L1731" s="405"/>
      <c r="M1731" s="421"/>
      <c r="N1731" s="472"/>
      <c r="O1731" s="344">
        <f>Criteria!E22</f>
        <v>2024</v>
      </c>
      <c r="P1731" s="406"/>
      <c r="Q1731" s="442"/>
      <c r="R1731" s="403" t="str">
        <f t="shared" si="121"/>
        <v>DELETE</v>
      </c>
    </row>
    <row r="1732" spans="2:22" ht="31.5" customHeight="1" x14ac:dyDescent="0.45">
      <c r="B1732" s="323"/>
      <c r="C1732" s="417"/>
      <c r="J1732" s="472"/>
      <c r="K1732" s="472"/>
      <c r="L1732" s="405"/>
      <c r="M1732" s="421"/>
      <c r="N1732" s="472"/>
      <c r="O1732" s="347"/>
      <c r="P1732" s="406"/>
      <c r="Q1732" s="442"/>
      <c r="R1732" s="403" t="str">
        <f t="shared" si="121"/>
        <v>DELETE</v>
      </c>
    </row>
    <row r="1733" spans="2:22" ht="31.5" customHeight="1" x14ac:dyDescent="0.45">
      <c r="B1733" s="323">
        <f>MAX(B$559:B1732)+1</f>
        <v>21</v>
      </c>
      <c r="C1733" s="417" t="s">
        <v>117</v>
      </c>
      <c r="L1733" s="405"/>
      <c r="M1733" s="421"/>
      <c r="N1733" s="400"/>
      <c r="O1733" s="347"/>
      <c r="Q1733" s="442"/>
      <c r="R1733" s="403" t="str">
        <f t="shared" si="121"/>
        <v>DELETE</v>
      </c>
    </row>
    <row r="1734" spans="2:22" ht="31.5" customHeight="1" x14ac:dyDescent="0.45">
      <c r="B1734" s="323"/>
      <c r="C1734" s="417"/>
      <c r="D1734" s="400" t="s">
        <v>923</v>
      </c>
      <c r="L1734" s="405"/>
      <c r="M1734" s="421"/>
      <c r="N1734" s="400"/>
      <c r="O1734" s="347">
        <f>SUM(O1737:O1739)</f>
        <v>0</v>
      </c>
      <c r="Q1734" s="442"/>
      <c r="R1734" s="403" t="str">
        <f>IF(COUNTIF(O1737:O1739,"&gt;0")&gt;0," ","DELETE")</f>
        <v>DELETE</v>
      </c>
      <c r="S1734" s="380">
        <f>O1734</f>
        <v>0</v>
      </c>
      <c r="T1734" s="380"/>
      <c r="U1734" s="380"/>
      <c r="V1734" s="380"/>
    </row>
    <row r="1735" spans="2:22" ht="9" customHeight="1" x14ac:dyDescent="0.45">
      <c r="B1735" s="323"/>
      <c r="C1735" s="417"/>
      <c r="L1735" s="405"/>
      <c r="M1735" s="421"/>
      <c r="N1735" s="400"/>
      <c r="O1735" s="347"/>
      <c r="Q1735" s="442"/>
      <c r="R1735" s="403" t="str">
        <f t="shared" ref="R1735" si="122">R1734</f>
        <v>DELETE</v>
      </c>
    </row>
    <row r="1736" spans="2:22" ht="9" customHeight="1" x14ac:dyDescent="0.45">
      <c r="B1736" s="323"/>
      <c r="C1736" s="417"/>
      <c r="L1736" s="405"/>
      <c r="M1736" s="421"/>
      <c r="N1736" s="400"/>
      <c r="O1736" s="372"/>
      <c r="Q1736" s="442"/>
      <c r="R1736" s="403" t="str">
        <f>R1734</f>
        <v>DELETE</v>
      </c>
    </row>
    <row r="1737" spans="2:22" ht="31.5" customHeight="1" x14ac:dyDescent="0.45">
      <c r="B1737" s="323"/>
      <c r="C1737" s="417"/>
      <c r="D1737" s="400" t="s">
        <v>118</v>
      </c>
      <c r="L1737" s="405"/>
      <c r="M1737" s="421"/>
      <c r="N1737" s="400"/>
      <c r="O1737" s="373">
        <f>-TrialBalance!L176</f>
        <v>0</v>
      </c>
      <c r="Q1737" s="442"/>
      <c r="R1737" s="403" t="str">
        <f>R1734</f>
        <v>DELETE</v>
      </c>
    </row>
    <row r="1738" spans="2:22" ht="31.5" customHeight="1" x14ac:dyDescent="0.45">
      <c r="B1738" s="323"/>
      <c r="C1738" s="417"/>
      <c r="D1738" s="400" t="s">
        <v>1102</v>
      </c>
      <c r="L1738" s="405"/>
      <c r="M1738" s="421"/>
      <c r="N1738" s="400"/>
      <c r="O1738" s="373">
        <f>-TrialBalance!L177</f>
        <v>0</v>
      </c>
      <c r="Q1738" s="442"/>
      <c r="R1738" s="403" t="str">
        <f t="shared" ref="R1738:R1739" si="123">IF(O1738=0,"DELETE"," ")</f>
        <v>DELETE</v>
      </c>
    </row>
    <row r="1739" spans="2:22" ht="31.5" customHeight="1" x14ac:dyDescent="0.45">
      <c r="B1739" s="323"/>
      <c r="C1739" s="417"/>
      <c r="D1739" s="400" t="s">
        <v>1103</v>
      </c>
      <c r="L1739" s="405"/>
      <c r="M1739" s="421"/>
      <c r="N1739" s="400"/>
      <c r="O1739" s="373">
        <f>-TrialBalance!L178</f>
        <v>0</v>
      </c>
      <c r="Q1739" s="442"/>
      <c r="R1739" s="403" t="str">
        <f t="shared" si="123"/>
        <v>DELETE</v>
      </c>
    </row>
    <row r="1740" spans="2:22" ht="9" customHeight="1" x14ac:dyDescent="0.45">
      <c r="B1740" s="323"/>
      <c r="C1740" s="417"/>
      <c r="L1740" s="405"/>
      <c r="M1740" s="421"/>
      <c r="N1740" s="400"/>
      <c r="O1740" s="374"/>
      <c r="Q1740" s="442"/>
      <c r="R1740" s="403" t="str">
        <f>R1734</f>
        <v>DELETE</v>
      </c>
    </row>
    <row r="1741" spans="2:22" ht="9" customHeight="1" x14ac:dyDescent="0.45">
      <c r="B1741" s="323"/>
      <c r="C1741" s="417"/>
      <c r="L1741" s="405"/>
      <c r="M1741" s="421"/>
      <c r="N1741" s="400"/>
      <c r="O1741" s="347"/>
      <c r="Q1741" s="442"/>
      <c r="R1741" s="403" t="str">
        <f>R1734</f>
        <v>DELETE</v>
      </c>
    </row>
    <row r="1742" spans="2:22" ht="31.5" customHeight="1" x14ac:dyDescent="0.45">
      <c r="B1742" s="323"/>
      <c r="C1742" s="417"/>
      <c r="D1742" s="400" t="s">
        <v>248</v>
      </c>
      <c r="L1742" s="405"/>
      <c r="M1742" s="421"/>
      <c r="N1742" s="400"/>
      <c r="O1742" s="347">
        <f>SUM(O1745:O1747)</f>
        <v>0</v>
      </c>
      <c r="Q1742" s="442"/>
      <c r="R1742" s="403" t="str">
        <f>IF(COUNTIF(O1745:O1747,"&gt;0")&gt;0," ","DELETE")</f>
        <v>DELETE</v>
      </c>
      <c r="S1742" s="380">
        <f>O1742</f>
        <v>0</v>
      </c>
      <c r="T1742" s="380"/>
      <c r="U1742" s="380"/>
      <c r="V1742" s="380"/>
    </row>
    <row r="1743" spans="2:22" ht="9" customHeight="1" x14ac:dyDescent="0.45">
      <c r="B1743" s="323"/>
      <c r="C1743" s="417"/>
      <c r="L1743" s="405"/>
      <c r="M1743" s="421"/>
      <c r="N1743" s="400"/>
      <c r="O1743" s="347"/>
      <c r="Q1743" s="442"/>
      <c r="R1743" s="403" t="str">
        <f>R1742</f>
        <v>DELETE</v>
      </c>
    </row>
    <row r="1744" spans="2:22" ht="9" customHeight="1" x14ac:dyDescent="0.45">
      <c r="B1744" s="323"/>
      <c r="C1744" s="417"/>
      <c r="L1744" s="405"/>
      <c r="M1744" s="421"/>
      <c r="N1744" s="400"/>
      <c r="O1744" s="372"/>
      <c r="Q1744" s="442"/>
      <c r="R1744" s="403" t="str">
        <f>R1742</f>
        <v>DELETE</v>
      </c>
    </row>
    <row r="1745" spans="2:18" ht="31.5" customHeight="1" x14ac:dyDescent="0.45">
      <c r="B1745" s="323"/>
      <c r="C1745" s="417"/>
      <c r="D1745" s="400" t="s">
        <v>118</v>
      </c>
      <c r="L1745" s="405"/>
      <c r="M1745" s="421"/>
      <c r="N1745" s="400"/>
      <c r="O1745" s="373">
        <f>-TrialBalance!L180</f>
        <v>0</v>
      </c>
      <c r="Q1745" s="442"/>
      <c r="R1745" s="403" t="str">
        <f>R1742</f>
        <v>DELETE</v>
      </c>
    </row>
    <row r="1746" spans="2:18" ht="31.5" customHeight="1" x14ac:dyDescent="0.45">
      <c r="B1746" s="323"/>
      <c r="C1746" s="417"/>
      <c r="D1746" s="400" t="s">
        <v>1104</v>
      </c>
      <c r="L1746" s="405"/>
      <c r="M1746" s="421"/>
      <c r="N1746" s="400"/>
      <c r="O1746" s="373">
        <f>-TrialBalance!L181</f>
        <v>0</v>
      </c>
      <c r="Q1746" s="442"/>
      <c r="R1746" s="403" t="str">
        <f t="shared" ref="R1746:R1747" si="124">IF(O1746=0,"DELETE"," ")</f>
        <v>DELETE</v>
      </c>
    </row>
    <row r="1747" spans="2:18" ht="31.5" customHeight="1" x14ac:dyDescent="0.45">
      <c r="B1747" s="323"/>
      <c r="C1747" s="417"/>
      <c r="D1747" s="400" t="s">
        <v>1105</v>
      </c>
      <c r="L1747" s="405"/>
      <c r="M1747" s="421"/>
      <c r="N1747" s="400"/>
      <c r="O1747" s="373">
        <f>-TrialBalance!L182</f>
        <v>0</v>
      </c>
      <c r="Q1747" s="442"/>
      <c r="R1747" s="403" t="str">
        <f t="shared" si="124"/>
        <v>DELETE</v>
      </c>
    </row>
    <row r="1748" spans="2:18" ht="9" customHeight="1" x14ac:dyDescent="0.45">
      <c r="B1748" s="323"/>
      <c r="C1748" s="417"/>
      <c r="L1748" s="405"/>
      <c r="M1748" s="421"/>
      <c r="N1748" s="400"/>
      <c r="O1748" s="374"/>
      <c r="Q1748" s="442"/>
      <c r="R1748" s="403" t="str">
        <f>R1742</f>
        <v>DELETE</v>
      </c>
    </row>
    <row r="1749" spans="2:18" ht="9" customHeight="1" x14ac:dyDescent="0.45">
      <c r="B1749" s="323"/>
      <c r="C1749" s="417"/>
      <c r="L1749" s="405"/>
      <c r="M1749" s="421"/>
      <c r="N1749" s="400"/>
      <c r="O1749" s="349"/>
      <c r="Q1749" s="442"/>
      <c r="R1749" s="403" t="str">
        <f>R1751</f>
        <v>DELETE</v>
      </c>
    </row>
    <row r="1750" spans="2:18" ht="9" customHeight="1" x14ac:dyDescent="0.45">
      <c r="B1750" s="323"/>
      <c r="C1750" s="417"/>
      <c r="L1750" s="405"/>
      <c r="M1750" s="421"/>
      <c r="N1750" s="400"/>
      <c r="O1750" s="347"/>
      <c r="Q1750" s="442"/>
      <c r="R1750" s="403" t="str">
        <f>R1751</f>
        <v>DELETE</v>
      </c>
    </row>
    <row r="1751" spans="2:18" ht="31.5" customHeight="1" x14ac:dyDescent="0.45">
      <c r="B1751" s="323"/>
      <c r="C1751" s="417"/>
      <c r="L1751" s="405"/>
      <c r="M1751" s="421"/>
      <c r="N1751" s="400"/>
      <c r="O1751" s="347">
        <f>SUM(S1734:S1749)</f>
        <v>0</v>
      </c>
      <c r="Q1751" s="442"/>
      <c r="R1751" s="403" t="str">
        <f>IF(R1734=" "," ",IF(R1742=" "," ","DELETE"))</f>
        <v>DELETE</v>
      </c>
    </row>
    <row r="1752" spans="2:18" ht="9" customHeight="1" thickBot="1" x14ac:dyDescent="0.5">
      <c r="B1752" s="323"/>
      <c r="C1752" s="417"/>
      <c r="L1752" s="405"/>
      <c r="M1752" s="421"/>
      <c r="N1752" s="400"/>
      <c r="O1752" s="351"/>
      <c r="Q1752" s="442"/>
      <c r="R1752" s="403" t="str">
        <f>R1751</f>
        <v>DELETE</v>
      </c>
    </row>
    <row r="1753" spans="2:18" ht="9" customHeight="1" thickTop="1" x14ac:dyDescent="0.45">
      <c r="B1753" s="323"/>
      <c r="C1753" s="417"/>
      <c r="L1753" s="405"/>
      <c r="M1753" s="421"/>
      <c r="N1753" s="400"/>
      <c r="O1753" s="347"/>
      <c r="Q1753" s="442"/>
      <c r="R1753" s="403" t="str">
        <f>R1751</f>
        <v>DELETE</v>
      </c>
    </row>
    <row r="1754" spans="2:18" ht="31.5" customHeight="1" x14ac:dyDescent="0.45">
      <c r="B1754" s="323"/>
      <c r="C1754" s="417"/>
      <c r="L1754" s="405"/>
      <c r="M1754" s="421"/>
      <c r="N1754" s="400"/>
      <c r="O1754" s="347"/>
      <c r="Q1754" s="442"/>
      <c r="R1754" s="403" t="str">
        <f>R$1751</f>
        <v>DELETE</v>
      </c>
    </row>
    <row r="1755" spans="2:18" ht="31.5" customHeight="1" x14ac:dyDescent="0.45">
      <c r="B1755" s="323"/>
      <c r="C1755" s="417"/>
      <c r="M1755" s="347"/>
      <c r="N1755" s="298"/>
      <c r="O1755" s="347"/>
      <c r="Q1755" s="442"/>
      <c r="R1755" s="403" t="str">
        <f>R$1751</f>
        <v>DELETE</v>
      </c>
    </row>
    <row r="1756" spans="2:18" ht="31.5" customHeight="1" x14ac:dyDescent="0.45">
      <c r="B1756" s="455"/>
      <c r="C1756" s="429"/>
      <c r="D1756" s="429"/>
      <c r="E1756" s="429"/>
      <c r="F1756" s="429"/>
      <c r="G1756" s="429"/>
      <c r="H1756" s="429"/>
      <c r="I1756" s="429"/>
      <c r="J1756" s="429"/>
      <c r="K1756" s="429"/>
      <c r="L1756" s="429"/>
      <c r="M1756" s="437"/>
      <c r="N1756" s="461"/>
      <c r="O1756" s="437"/>
      <c r="P1756" s="433"/>
      <c r="Q1756" s="446"/>
      <c r="R1756" s="403" t="str">
        <f>R$1751</f>
        <v>DELETE</v>
      </c>
    </row>
    <row r="1757" spans="2:18" ht="31.5" customHeight="1" x14ac:dyDescent="0.45">
      <c r="B1757" s="422"/>
      <c r="M1757" s="426"/>
      <c r="N1757" s="406"/>
      <c r="O1757" s="426"/>
      <c r="R1757" s="403" t="str">
        <f>R$1751</f>
        <v>DELETE</v>
      </c>
    </row>
    <row r="1758" spans="2:18" ht="31.5" customHeight="1" x14ac:dyDescent="0.45">
      <c r="B1758" s="422"/>
      <c r="M1758" s="426"/>
      <c r="N1758" s="406"/>
      <c r="O1758" s="426"/>
      <c r="R1758" s="403" t="str">
        <f>R$1790</f>
        <v>DELETE</v>
      </c>
    </row>
    <row r="1759" spans="2:18" ht="31.5" customHeight="1" x14ac:dyDescent="0.45">
      <c r="B1759" s="422"/>
      <c r="D1759" s="417" t="str">
        <f>Criteria!E9</f>
        <v>HOLDING COMPANY 268 (PROPRIETARY) LIMITED</v>
      </c>
      <c r="M1759" s="426"/>
      <c r="N1759" s="406"/>
      <c r="O1759" s="347" t="s">
        <v>96</v>
      </c>
      <c r="Q1759" s="292">
        <f>MAX($Q$114:Q1758)+1</f>
        <v>44</v>
      </c>
      <c r="R1759" s="403" t="str">
        <f>R$1790</f>
        <v>DELETE</v>
      </c>
    </row>
    <row r="1760" spans="2:18" ht="31.5" customHeight="1" x14ac:dyDescent="0.45">
      <c r="B1760" s="422"/>
      <c r="D1760" s="417" t="str">
        <f>Criteria!E10</f>
        <v>CONSOLIDATED FINANCIAL STATEMENTS</v>
      </c>
      <c r="M1760" s="426"/>
      <c r="N1760" s="406"/>
      <c r="O1760" s="426"/>
      <c r="R1760" s="403" t="str">
        <f>IF(R$1790="DELETE","DELETE",IF(D1760=0,"DELETE"," "))</f>
        <v>DELETE</v>
      </c>
    </row>
    <row r="1761" spans="2:20" ht="31.5" customHeight="1" x14ac:dyDescent="0.45">
      <c r="B1761" s="422"/>
      <c r="M1761" s="426"/>
      <c r="N1761" s="406"/>
      <c r="O1761" s="426"/>
      <c r="R1761" s="403" t="str">
        <f t="shared" ref="R1761:R1768" si="125">R$1790</f>
        <v>DELETE</v>
      </c>
    </row>
    <row r="1762" spans="2:20" ht="31.5" customHeight="1" x14ac:dyDescent="0.45">
      <c r="B1762" s="422"/>
      <c r="D1762" s="417" t="s">
        <v>377</v>
      </c>
      <c r="M1762" s="426"/>
      <c r="N1762" s="406"/>
      <c r="O1762" s="426"/>
      <c r="R1762" s="403" t="str">
        <f t="shared" si="125"/>
        <v>DELETE</v>
      </c>
    </row>
    <row r="1763" spans="2:20" ht="31.5" customHeight="1" x14ac:dyDescent="0.45">
      <c r="B1763" s="422"/>
      <c r="D1763" s="417" t="str">
        <f>Criteria!E20</f>
        <v>29 FEBRUARY 2024</v>
      </c>
      <c r="J1763" s="400" t="s">
        <v>247</v>
      </c>
      <c r="M1763" s="426"/>
      <c r="N1763" s="406"/>
      <c r="O1763" s="426"/>
      <c r="R1763" s="403" t="str">
        <f t="shared" si="125"/>
        <v>DELETE</v>
      </c>
    </row>
    <row r="1764" spans="2:20" ht="31.5" customHeight="1" x14ac:dyDescent="0.45">
      <c r="B1764" s="422"/>
      <c r="M1764" s="437"/>
      <c r="N1764" s="461"/>
      <c r="O1764" s="437"/>
      <c r="R1764" s="403" t="str">
        <f t="shared" si="125"/>
        <v>DELETE</v>
      </c>
    </row>
    <row r="1765" spans="2:20" ht="31.5" customHeight="1" x14ac:dyDescent="0.45">
      <c r="B1765" s="457"/>
      <c r="C1765" s="439"/>
      <c r="D1765" s="439"/>
      <c r="E1765" s="439"/>
      <c r="F1765" s="439"/>
      <c r="G1765" s="439"/>
      <c r="H1765" s="439"/>
      <c r="I1765" s="439"/>
      <c r="J1765" s="439"/>
      <c r="K1765" s="439"/>
      <c r="L1765" s="439"/>
      <c r="M1765" s="469"/>
      <c r="N1765" s="470"/>
      <c r="O1765" s="469"/>
      <c r="P1765" s="448"/>
      <c r="Q1765" s="440"/>
      <c r="R1765" s="403" t="str">
        <f t="shared" si="125"/>
        <v>DELETE</v>
      </c>
    </row>
    <row r="1766" spans="2:20" ht="31.5" customHeight="1" x14ac:dyDescent="0.45">
      <c r="B1766" s="459"/>
      <c r="L1766" s="405"/>
      <c r="M1766" s="421"/>
      <c r="N1766" s="400"/>
      <c r="O1766" s="344">
        <f>Criteria!E22</f>
        <v>2024</v>
      </c>
      <c r="Q1766" s="442"/>
      <c r="R1766" s="403" t="str">
        <f t="shared" si="125"/>
        <v>DELETE</v>
      </c>
    </row>
    <row r="1767" spans="2:20" ht="31.5" customHeight="1" x14ac:dyDescent="0.45">
      <c r="B1767" s="323"/>
      <c r="C1767" s="417"/>
      <c r="L1767" s="405"/>
      <c r="M1767" s="421"/>
      <c r="N1767" s="400"/>
      <c r="O1767" s="347"/>
      <c r="Q1767" s="442"/>
      <c r="R1767" s="403" t="str">
        <f t="shared" si="125"/>
        <v>DELETE</v>
      </c>
    </row>
    <row r="1768" spans="2:20" ht="31.5" customHeight="1" x14ac:dyDescent="0.45">
      <c r="B1768" s="323">
        <f>MAX(B$559:B1767)+1</f>
        <v>22</v>
      </c>
      <c r="C1768" s="417" t="str">
        <f>IF(COUNTIF(TrialBalance!L185:L199,"&lt;0")&gt;1,"INTEREST BEARING BORROWINGS","INTEREST BEARING BORROWING")</f>
        <v>INTEREST BEARING BORROWING</v>
      </c>
      <c r="L1768" s="405"/>
      <c r="M1768" s="421"/>
      <c r="N1768" s="400"/>
      <c r="O1768" s="347"/>
      <c r="Q1768" s="442"/>
      <c r="R1768" s="403" t="str">
        <f t="shared" si="125"/>
        <v>DELETE</v>
      </c>
      <c r="S1768" s="380">
        <f>SUM(O1769:O1784)</f>
        <v>0</v>
      </c>
      <c r="T1768" s="380"/>
    </row>
    <row r="1769" spans="2:20" ht="31.5" customHeight="1" x14ac:dyDescent="0.45">
      <c r="B1769" s="323"/>
      <c r="C1769" s="417"/>
      <c r="D1769" s="400">
        <f>TrialBalance!C185</f>
        <v>0</v>
      </c>
      <c r="L1769" s="405"/>
      <c r="M1769" s="421"/>
      <c r="N1769" s="400"/>
      <c r="O1769" s="347">
        <f>-TrialBalance!L185</f>
        <v>0</v>
      </c>
      <c r="Q1769" s="442"/>
      <c r="R1769" s="403" t="str">
        <f t="shared" ref="R1769" si="126">IF(O1769=0,"DELETE"," ")</f>
        <v>DELETE</v>
      </c>
    </row>
    <row r="1770" spans="2:20" ht="31.5" customHeight="1" x14ac:dyDescent="0.45">
      <c r="B1770" s="323"/>
      <c r="C1770" s="417"/>
      <c r="D1770" s="400">
        <f>TrialBalance!C186</f>
        <v>0</v>
      </c>
      <c r="L1770" s="405"/>
      <c r="M1770" s="421"/>
      <c r="N1770" s="400"/>
      <c r="O1770" s="347">
        <f>-TrialBalance!L186</f>
        <v>0</v>
      </c>
      <c r="Q1770" s="442"/>
      <c r="R1770" s="403" t="str">
        <f t="shared" ref="R1770" si="127">IF(O1770=0,"DELETE"," ")</f>
        <v>DELETE</v>
      </c>
    </row>
    <row r="1771" spans="2:20" ht="31.5" customHeight="1" x14ac:dyDescent="0.45">
      <c r="B1771" s="323"/>
      <c r="C1771" s="417"/>
      <c r="D1771" s="400">
        <f>TrialBalance!C187</f>
        <v>0</v>
      </c>
      <c r="L1771" s="405"/>
      <c r="M1771" s="421"/>
      <c r="N1771" s="400"/>
      <c r="O1771" s="347">
        <f>-TrialBalance!L187</f>
        <v>0</v>
      </c>
      <c r="Q1771" s="442"/>
      <c r="R1771" s="403" t="str">
        <f t="shared" ref="R1771" si="128">IF(O1771=0,"DELETE"," ")</f>
        <v>DELETE</v>
      </c>
    </row>
    <row r="1772" spans="2:20" ht="31.5" customHeight="1" x14ac:dyDescent="0.45">
      <c r="B1772" s="323"/>
      <c r="C1772" s="417"/>
      <c r="D1772" s="400">
        <f>TrialBalance!C188</f>
        <v>0</v>
      </c>
      <c r="L1772" s="405"/>
      <c r="M1772" s="421"/>
      <c r="N1772" s="400"/>
      <c r="O1772" s="347">
        <f>-TrialBalance!L188</f>
        <v>0</v>
      </c>
      <c r="Q1772" s="442"/>
      <c r="R1772" s="403" t="str">
        <f t="shared" ref="R1772" si="129">IF(O1772=0,"DELETE"," ")</f>
        <v>DELETE</v>
      </c>
    </row>
    <row r="1773" spans="2:20" ht="31.5" customHeight="1" x14ac:dyDescent="0.45">
      <c r="B1773" s="323"/>
      <c r="C1773" s="417"/>
      <c r="D1773" s="400">
        <f>TrialBalance!C189</f>
        <v>0</v>
      </c>
      <c r="L1773" s="405"/>
      <c r="M1773" s="421"/>
      <c r="N1773" s="400"/>
      <c r="O1773" s="347">
        <f>-TrialBalance!L189</f>
        <v>0</v>
      </c>
      <c r="Q1773" s="442"/>
      <c r="R1773" s="403" t="str">
        <f t="shared" ref="R1773" si="130">IF(O1773=0,"DELETE"," ")</f>
        <v>DELETE</v>
      </c>
    </row>
    <row r="1774" spans="2:20" ht="31.5" customHeight="1" x14ac:dyDescent="0.45">
      <c r="B1774" s="323"/>
      <c r="C1774" s="417"/>
      <c r="D1774" s="400">
        <f>TrialBalance!C190</f>
        <v>0</v>
      </c>
      <c r="L1774" s="405"/>
      <c r="M1774" s="421"/>
      <c r="N1774" s="400"/>
      <c r="O1774" s="347">
        <f>-TrialBalance!L190</f>
        <v>0</v>
      </c>
      <c r="Q1774" s="442"/>
      <c r="R1774" s="403" t="str">
        <f t="shared" ref="R1774:R1783" si="131">IF(O1774=0,"DELETE"," ")</f>
        <v>DELETE</v>
      </c>
    </row>
    <row r="1775" spans="2:20" ht="31.5" customHeight="1" x14ac:dyDescent="0.45">
      <c r="B1775" s="323"/>
      <c r="C1775" s="417"/>
      <c r="D1775" s="400">
        <f>TrialBalance!C191</f>
        <v>0</v>
      </c>
      <c r="L1775" s="405"/>
      <c r="M1775" s="421"/>
      <c r="N1775" s="400"/>
      <c r="O1775" s="347">
        <f>-TrialBalance!L191</f>
        <v>0</v>
      </c>
      <c r="Q1775" s="442"/>
      <c r="R1775" s="403" t="str">
        <f t="shared" si="131"/>
        <v>DELETE</v>
      </c>
    </row>
    <row r="1776" spans="2:20" ht="31.5" customHeight="1" x14ac:dyDescent="0.45">
      <c r="B1776" s="323"/>
      <c r="C1776" s="417"/>
      <c r="D1776" s="400">
        <f>TrialBalance!C192</f>
        <v>0</v>
      </c>
      <c r="L1776" s="405"/>
      <c r="M1776" s="421"/>
      <c r="N1776" s="400"/>
      <c r="O1776" s="347">
        <f>-TrialBalance!L192</f>
        <v>0</v>
      </c>
      <c r="Q1776" s="442"/>
      <c r="R1776" s="403" t="str">
        <f t="shared" si="131"/>
        <v>DELETE</v>
      </c>
    </row>
    <row r="1777" spans="2:22" ht="31.5" customHeight="1" x14ac:dyDescent="0.45">
      <c r="B1777" s="323"/>
      <c r="C1777" s="417"/>
      <c r="D1777" s="400">
        <f>TrialBalance!C193</f>
        <v>0</v>
      </c>
      <c r="L1777" s="405"/>
      <c r="M1777" s="421"/>
      <c r="N1777" s="400"/>
      <c r="O1777" s="347">
        <f>-TrialBalance!L193</f>
        <v>0</v>
      </c>
      <c r="Q1777" s="442"/>
      <c r="R1777" s="403" t="str">
        <f t="shared" si="131"/>
        <v>DELETE</v>
      </c>
    </row>
    <row r="1778" spans="2:22" ht="31.5" customHeight="1" x14ac:dyDescent="0.45">
      <c r="B1778" s="323"/>
      <c r="C1778" s="417"/>
      <c r="D1778" s="400">
        <f>TrialBalance!C194</f>
        <v>0</v>
      </c>
      <c r="L1778" s="405"/>
      <c r="M1778" s="421"/>
      <c r="N1778" s="400"/>
      <c r="O1778" s="347">
        <f>-TrialBalance!L194</f>
        <v>0</v>
      </c>
      <c r="Q1778" s="442"/>
      <c r="R1778" s="403" t="str">
        <f t="shared" si="131"/>
        <v>DELETE</v>
      </c>
    </row>
    <row r="1779" spans="2:22" ht="31.5" customHeight="1" x14ac:dyDescent="0.45">
      <c r="B1779" s="323"/>
      <c r="C1779" s="417"/>
      <c r="D1779" s="400">
        <f>TrialBalance!C195</f>
        <v>0</v>
      </c>
      <c r="L1779" s="405"/>
      <c r="M1779" s="421"/>
      <c r="N1779" s="400"/>
      <c r="O1779" s="347">
        <f>-TrialBalance!L195</f>
        <v>0</v>
      </c>
      <c r="Q1779" s="442"/>
      <c r="R1779" s="403" t="str">
        <f t="shared" si="131"/>
        <v>DELETE</v>
      </c>
    </row>
    <row r="1780" spans="2:22" ht="31.5" customHeight="1" x14ac:dyDescent="0.45">
      <c r="B1780" s="323"/>
      <c r="C1780" s="417"/>
      <c r="D1780" s="400">
        <f>TrialBalance!C196</f>
        <v>0</v>
      </c>
      <c r="L1780" s="405"/>
      <c r="M1780" s="421"/>
      <c r="N1780" s="400"/>
      <c r="O1780" s="347">
        <f>-TrialBalance!L196</f>
        <v>0</v>
      </c>
      <c r="Q1780" s="442"/>
      <c r="R1780" s="403" t="str">
        <f t="shared" si="131"/>
        <v>DELETE</v>
      </c>
    </row>
    <row r="1781" spans="2:22" ht="31.5" customHeight="1" x14ac:dyDescent="0.45">
      <c r="B1781" s="323"/>
      <c r="C1781" s="417"/>
      <c r="D1781" s="400">
        <f>TrialBalance!C197</f>
        <v>0</v>
      </c>
      <c r="L1781" s="405"/>
      <c r="M1781" s="421"/>
      <c r="N1781" s="400"/>
      <c r="O1781" s="347">
        <f>-TrialBalance!L197</f>
        <v>0</v>
      </c>
      <c r="Q1781" s="442"/>
      <c r="R1781" s="403" t="str">
        <f t="shared" si="131"/>
        <v>DELETE</v>
      </c>
    </row>
    <row r="1782" spans="2:22" ht="31.5" customHeight="1" x14ac:dyDescent="0.45">
      <c r="B1782" s="323"/>
      <c r="C1782" s="417"/>
      <c r="D1782" s="400">
        <f>TrialBalance!C198</f>
        <v>0</v>
      </c>
      <c r="L1782" s="405"/>
      <c r="M1782" s="421"/>
      <c r="N1782" s="400"/>
      <c r="O1782" s="347">
        <f>-TrialBalance!L198</f>
        <v>0</v>
      </c>
      <c r="Q1782" s="442"/>
      <c r="R1782" s="403" t="str">
        <f t="shared" si="131"/>
        <v>DELETE</v>
      </c>
    </row>
    <row r="1783" spans="2:22" ht="31.5" customHeight="1" x14ac:dyDescent="0.45">
      <c r="B1783" s="323"/>
      <c r="C1783" s="417"/>
      <c r="D1783" s="400">
        <f>TrialBalance!C199</f>
        <v>0</v>
      </c>
      <c r="L1783" s="405"/>
      <c r="M1783" s="421"/>
      <c r="N1783" s="400"/>
      <c r="O1783" s="347">
        <f>-TrialBalance!L199</f>
        <v>0</v>
      </c>
      <c r="Q1783" s="442"/>
      <c r="R1783" s="403" t="str">
        <f t="shared" si="131"/>
        <v>DELETE</v>
      </c>
    </row>
    <row r="1784" spans="2:22" ht="9" customHeight="1" x14ac:dyDescent="0.45">
      <c r="B1784" s="323"/>
      <c r="C1784" s="417"/>
      <c r="L1784" s="405"/>
      <c r="M1784" s="421"/>
      <c r="N1784" s="400"/>
      <c r="O1784" s="349"/>
      <c r="Q1784" s="442"/>
      <c r="R1784" s="403" t="str">
        <f>R1787</f>
        <v>DELETE</v>
      </c>
    </row>
    <row r="1785" spans="2:22" ht="9" customHeight="1" x14ac:dyDescent="0.45">
      <c r="B1785" s="323"/>
      <c r="C1785" s="417"/>
      <c r="L1785" s="405"/>
      <c r="M1785" s="421"/>
      <c r="N1785" s="400"/>
      <c r="O1785" s="347"/>
      <c r="Q1785" s="442"/>
      <c r="R1785" s="403" t="str">
        <f>R1787</f>
        <v>DELETE</v>
      </c>
    </row>
    <row r="1786" spans="2:22" ht="31.5" customHeight="1" x14ac:dyDescent="0.45">
      <c r="B1786" s="323"/>
      <c r="C1786" s="417"/>
      <c r="L1786" s="405"/>
      <c r="M1786" s="421"/>
      <c r="N1786" s="400"/>
      <c r="O1786" s="347">
        <f>SUM(O1769:O1784)</f>
        <v>0</v>
      </c>
      <c r="Q1786" s="442"/>
      <c r="R1786" s="403" t="str">
        <f>R1787</f>
        <v>DELETE</v>
      </c>
      <c r="S1786" s="383"/>
      <c r="T1786" s="383"/>
      <c r="U1786" s="383"/>
      <c r="V1786" s="383"/>
    </row>
    <row r="1787" spans="2:22" ht="31.5" customHeight="1" x14ac:dyDescent="0.45">
      <c r="B1787" s="323"/>
      <c r="C1787" s="417"/>
      <c r="D1787" s="400" t="s">
        <v>735</v>
      </c>
      <c r="L1787" s="405"/>
      <c r="M1787" s="421"/>
      <c r="N1787" s="400"/>
      <c r="O1787" s="347">
        <f>TrialBalance!L200</f>
        <v>0</v>
      </c>
      <c r="Q1787" s="442"/>
      <c r="R1787" s="403" t="str">
        <f t="shared" ref="R1787" si="132">IF(O1787=0,"DELETE"," ")</f>
        <v>DELETE</v>
      </c>
      <c r="S1787" s="383">
        <f>-O1787</f>
        <v>0</v>
      </c>
      <c r="T1787" s="383"/>
      <c r="U1787" s="383"/>
      <c r="V1787" s="383"/>
    </row>
    <row r="1788" spans="2:22" ht="9" customHeight="1" x14ac:dyDescent="0.45">
      <c r="B1788" s="323"/>
      <c r="C1788" s="417"/>
      <c r="L1788" s="405"/>
      <c r="M1788" s="421"/>
      <c r="N1788" s="400"/>
      <c r="O1788" s="349"/>
      <c r="Q1788" s="442"/>
      <c r="R1788" s="403" t="str">
        <f>R$1790</f>
        <v>DELETE</v>
      </c>
    </row>
    <row r="1789" spans="2:22" ht="9" customHeight="1" x14ac:dyDescent="0.45">
      <c r="B1789" s="323"/>
      <c r="C1789" s="417"/>
      <c r="L1789" s="405"/>
      <c r="M1789" s="421"/>
      <c r="N1789" s="400"/>
      <c r="O1789" s="347"/>
      <c r="Q1789" s="442"/>
      <c r="R1789" s="403" t="str">
        <f>R$1790</f>
        <v>DELETE</v>
      </c>
    </row>
    <row r="1790" spans="2:22" ht="31.5" customHeight="1" x14ac:dyDescent="0.45">
      <c r="B1790" s="323"/>
      <c r="C1790" s="417"/>
      <c r="L1790" s="405"/>
      <c r="M1790" s="421"/>
      <c r="N1790" s="400"/>
      <c r="O1790" s="347">
        <f>SUM(S1768:S1788)</f>
        <v>0</v>
      </c>
      <c r="Q1790" s="442"/>
      <c r="R1790" s="403" t="str">
        <f>IF(SUM(O1769:O1783)&gt;0," ","DELETE")</f>
        <v>DELETE</v>
      </c>
    </row>
    <row r="1791" spans="2:22" ht="9" customHeight="1" thickBot="1" x14ac:dyDescent="0.5">
      <c r="B1791" s="323"/>
      <c r="C1791" s="417"/>
      <c r="L1791" s="405"/>
      <c r="M1791" s="421"/>
      <c r="N1791" s="400"/>
      <c r="O1791" s="351"/>
      <c r="Q1791" s="442"/>
      <c r="R1791" s="403" t="str">
        <f t="shared" ref="R1791:R1796" si="133">R$1790</f>
        <v>DELETE</v>
      </c>
    </row>
    <row r="1792" spans="2:22" ht="9" customHeight="1" thickTop="1" x14ac:dyDescent="0.45">
      <c r="B1792" s="323"/>
      <c r="C1792" s="417"/>
      <c r="L1792" s="405"/>
      <c r="M1792" s="421"/>
      <c r="N1792" s="400"/>
      <c r="O1792" s="363"/>
      <c r="Q1792" s="442"/>
      <c r="R1792" s="403" t="str">
        <f t="shared" si="133"/>
        <v>DELETE</v>
      </c>
    </row>
    <row r="1793" spans="2:18" ht="31.5" customHeight="1" x14ac:dyDescent="0.45">
      <c r="B1793" s="323"/>
      <c r="C1793" s="417"/>
      <c r="L1793" s="405"/>
      <c r="M1793" s="421"/>
      <c r="N1793" s="400"/>
      <c r="O1793" s="347"/>
      <c r="Q1793" s="442"/>
      <c r="R1793" s="403" t="str">
        <f t="shared" si="133"/>
        <v>DELETE</v>
      </c>
    </row>
    <row r="1794" spans="2:18" ht="31.5" customHeight="1" x14ac:dyDescent="0.45">
      <c r="B1794" s="323"/>
      <c r="C1794" s="417"/>
      <c r="M1794" s="347"/>
      <c r="N1794" s="298"/>
      <c r="O1794" s="347"/>
      <c r="Q1794" s="442"/>
      <c r="R1794" s="403" t="str">
        <f t="shared" si="133"/>
        <v>DELETE</v>
      </c>
    </row>
    <row r="1795" spans="2:18" ht="31.5" customHeight="1" x14ac:dyDescent="0.45">
      <c r="B1795" s="324"/>
      <c r="C1795" s="465"/>
      <c r="D1795" s="429"/>
      <c r="E1795" s="429"/>
      <c r="F1795" s="429"/>
      <c r="G1795" s="429"/>
      <c r="H1795" s="429"/>
      <c r="I1795" s="429"/>
      <c r="J1795" s="429"/>
      <c r="K1795" s="429"/>
      <c r="L1795" s="429"/>
      <c r="M1795" s="349"/>
      <c r="N1795" s="300"/>
      <c r="O1795" s="349"/>
      <c r="P1795" s="433"/>
      <c r="Q1795" s="446"/>
      <c r="R1795" s="403" t="str">
        <f t="shared" si="133"/>
        <v>DELETE</v>
      </c>
    </row>
    <row r="1796" spans="2:18" ht="31.5" customHeight="1" x14ac:dyDescent="0.45">
      <c r="B1796" s="325"/>
      <c r="C1796" s="417"/>
      <c r="M1796" s="347"/>
      <c r="N1796" s="298"/>
      <c r="O1796" s="347"/>
      <c r="R1796" s="403" t="str">
        <f t="shared" si="133"/>
        <v>DELETE</v>
      </c>
    </row>
    <row r="1797" spans="2:18" ht="31.5" customHeight="1" x14ac:dyDescent="0.45">
      <c r="B1797" s="325"/>
      <c r="C1797" s="417"/>
      <c r="M1797" s="347"/>
      <c r="N1797" s="298"/>
      <c r="O1797" s="347"/>
      <c r="R1797" s="403" t="str">
        <f>R$1827</f>
        <v>DELETE</v>
      </c>
    </row>
    <row r="1798" spans="2:18" ht="31.5" customHeight="1" x14ac:dyDescent="0.45">
      <c r="B1798" s="422"/>
      <c r="D1798" s="417" t="str">
        <f>Criteria!E9</f>
        <v>HOLDING COMPANY 268 (PROPRIETARY) LIMITED</v>
      </c>
      <c r="M1798" s="426"/>
      <c r="N1798" s="406"/>
      <c r="O1798" s="347" t="s">
        <v>96</v>
      </c>
      <c r="Q1798" s="292">
        <f>MAX($Q$114:Q1797)+1</f>
        <v>45</v>
      </c>
      <c r="R1798" s="403" t="str">
        <f t="shared" ref="R1798:R1807" si="134">R$1827</f>
        <v>DELETE</v>
      </c>
    </row>
    <row r="1799" spans="2:18" ht="31.5" customHeight="1" x14ac:dyDescent="0.45">
      <c r="B1799" s="422"/>
      <c r="D1799" s="417" t="str">
        <f>Criteria!E10</f>
        <v>CONSOLIDATED FINANCIAL STATEMENTS</v>
      </c>
      <c r="M1799" s="426"/>
      <c r="N1799" s="406"/>
      <c r="O1799" s="426"/>
      <c r="R1799" s="403" t="str">
        <f>IF(R$1827="DELETE","DELETE",IF(D1799=0,"DELETE"," "))</f>
        <v>DELETE</v>
      </c>
    </row>
    <row r="1800" spans="2:18" ht="31.5" customHeight="1" x14ac:dyDescent="0.45">
      <c r="B1800" s="422"/>
      <c r="M1800" s="426"/>
      <c r="N1800" s="406"/>
      <c r="O1800" s="426"/>
      <c r="R1800" s="403" t="str">
        <f t="shared" si="134"/>
        <v>DELETE</v>
      </c>
    </row>
    <row r="1801" spans="2:18" ht="31.5" customHeight="1" x14ac:dyDescent="0.45">
      <c r="B1801" s="422"/>
      <c r="D1801" s="417" t="s">
        <v>377</v>
      </c>
      <c r="M1801" s="426"/>
      <c r="N1801" s="406"/>
      <c r="O1801" s="426"/>
      <c r="R1801" s="403" t="str">
        <f t="shared" si="134"/>
        <v>DELETE</v>
      </c>
    </row>
    <row r="1802" spans="2:18" ht="31.5" customHeight="1" x14ac:dyDescent="0.45">
      <c r="B1802" s="422"/>
      <c r="D1802" s="417" t="str">
        <f>Criteria!E20</f>
        <v>29 FEBRUARY 2024</v>
      </c>
      <c r="J1802" s="400" t="s">
        <v>247</v>
      </c>
      <c r="M1802" s="426"/>
      <c r="N1802" s="406"/>
      <c r="O1802" s="426"/>
      <c r="R1802" s="403" t="str">
        <f t="shared" si="134"/>
        <v>DELETE</v>
      </c>
    </row>
    <row r="1803" spans="2:18" ht="31.5" customHeight="1" x14ac:dyDescent="0.45">
      <c r="B1803" s="422"/>
      <c r="M1803" s="437"/>
      <c r="N1803" s="461"/>
      <c r="O1803" s="437"/>
      <c r="R1803" s="403" t="str">
        <f t="shared" si="134"/>
        <v>DELETE</v>
      </c>
    </row>
    <row r="1804" spans="2:18" ht="31.5" customHeight="1" x14ac:dyDescent="0.45">
      <c r="B1804" s="457"/>
      <c r="C1804" s="439"/>
      <c r="D1804" s="439"/>
      <c r="E1804" s="439"/>
      <c r="F1804" s="439"/>
      <c r="G1804" s="439"/>
      <c r="H1804" s="439"/>
      <c r="I1804" s="439"/>
      <c r="J1804" s="439"/>
      <c r="K1804" s="439"/>
      <c r="L1804" s="439"/>
      <c r="M1804" s="469"/>
      <c r="N1804" s="470"/>
      <c r="O1804" s="469"/>
      <c r="P1804" s="448"/>
      <c r="Q1804" s="440"/>
      <c r="R1804" s="403" t="str">
        <f t="shared" si="134"/>
        <v>DELETE</v>
      </c>
    </row>
    <row r="1805" spans="2:18" ht="31.5" customHeight="1" x14ac:dyDescent="0.45">
      <c r="B1805" s="459"/>
      <c r="L1805" s="405"/>
      <c r="M1805" s="421"/>
      <c r="N1805" s="400"/>
      <c r="O1805" s="344">
        <f>Criteria!E22</f>
        <v>2024</v>
      </c>
      <c r="Q1805" s="442"/>
      <c r="R1805" s="403" t="str">
        <f t="shared" si="134"/>
        <v>DELETE</v>
      </c>
    </row>
    <row r="1806" spans="2:18" ht="31.5" customHeight="1" x14ac:dyDescent="0.45">
      <c r="B1806" s="323"/>
      <c r="C1806" s="417"/>
      <c r="L1806" s="405"/>
      <c r="M1806" s="421"/>
      <c r="N1806" s="400"/>
      <c r="O1806" s="347"/>
      <c r="Q1806" s="442"/>
      <c r="R1806" s="403" t="str">
        <f t="shared" si="134"/>
        <v>DELETE</v>
      </c>
    </row>
    <row r="1807" spans="2:18" ht="31.5" customHeight="1" x14ac:dyDescent="0.45">
      <c r="B1807" s="323">
        <f>MAX(B$559:B1806)+1</f>
        <v>23</v>
      </c>
      <c r="C1807" s="417" t="str">
        <f>IF(COUNTIF(TrialBalance!L202:L218,"&lt;0")&gt;1,"INTEREST FREE BORROWINGS","INTEREST FREE BORROWING")</f>
        <v>INTEREST FREE BORROWING</v>
      </c>
      <c r="L1807" s="405"/>
      <c r="M1807" s="421"/>
      <c r="N1807" s="400"/>
      <c r="O1807" s="347"/>
      <c r="Q1807" s="442"/>
      <c r="R1807" s="403" t="str">
        <f t="shared" si="134"/>
        <v>DELETE</v>
      </c>
    </row>
    <row r="1808" spans="2:18" ht="31.5" customHeight="1" x14ac:dyDescent="0.45">
      <c r="B1808" s="323"/>
      <c r="C1808" s="417"/>
      <c r="D1808" s="400">
        <f>TrialBalance!C202</f>
        <v>0</v>
      </c>
      <c r="L1808" s="405"/>
      <c r="M1808" s="421"/>
      <c r="N1808" s="400"/>
      <c r="O1808" s="347">
        <f>-TrialBalance!L202</f>
        <v>0</v>
      </c>
      <c r="Q1808" s="442"/>
      <c r="R1808" s="403" t="str">
        <f t="shared" ref="R1808:R1824" si="135">IF(O1808=0,"DELETE"," ")</f>
        <v>DELETE</v>
      </c>
    </row>
    <row r="1809" spans="2:18" ht="31.5" customHeight="1" x14ac:dyDescent="0.45">
      <c r="B1809" s="323"/>
      <c r="C1809" s="417"/>
      <c r="D1809" s="400">
        <f>TrialBalance!C203</f>
        <v>0</v>
      </c>
      <c r="L1809" s="405"/>
      <c r="M1809" s="421"/>
      <c r="N1809" s="400"/>
      <c r="O1809" s="347">
        <f>-TrialBalance!L203</f>
        <v>0</v>
      </c>
      <c r="Q1809" s="442"/>
      <c r="R1809" s="403" t="str">
        <f t="shared" si="135"/>
        <v>DELETE</v>
      </c>
    </row>
    <row r="1810" spans="2:18" ht="31.5" customHeight="1" x14ac:dyDescent="0.45">
      <c r="B1810" s="323"/>
      <c r="C1810" s="417"/>
      <c r="D1810" s="400">
        <f>TrialBalance!C204</f>
        <v>0</v>
      </c>
      <c r="L1810" s="405"/>
      <c r="M1810" s="421"/>
      <c r="N1810" s="400"/>
      <c r="O1810" s="347">
        <f>-TrialBalance!L204</f>
        <v>0</v>
      </c>
      <c r="Q1810" s="442"/>
      <c r="R1810" s="403" t="str">
        <f t="shared" si="135"/>
        <v>DELETE</v>
      </c>
    </row>
    <row r="1811" spans="2:18" ht="31.5" customHeight="1" x14ac:dyDescent="0.45">
      <c r="B1811" s="323"/>
      <c r="C1811" s="417"/>
      <c r="D1811" s="400">
        <f>TrialBalance!C205</f>
        <v>0</v>
      </c>
      <c r="L1811" s="405"/>
      <c r="M1811" s="421"/>
      <c r="N1811" s="400"/>
      <c r="O1811" s="347">
        <f>-TrialBalance!L205</f>
        <v>0</v>
      </c>
      <c r="Q1811" s="442"/>
      <c r="R1811" s="403" t="str">
        <f t="shared" si="135"/>
        <v>DELETE</v>
      </c>
    </row>
    <row r="1812" spans="2:18" ht="31.5" customHeight="1" x14ac:dyDescent="0.45">
      <c r="B1812" s="323"/>
      <c r="C1812" s="417"/>
      <c r="D1812" s="400">
        <f>TrialBalance!C206</f>
        <v>0</v>
      </c>
      <c r="L1812" s="405"/>
      <c r="M1812" s="421"/>
      <c r="N1812" s="400"/>
      <c r="O1812" s="347">
        <f>-TrialBalance!L206</f>
        <v>0</v>
      </c>
      <c r="Q1812" s="442"/>
      <c r="R1812" s="403" t="str">
        <f t="shared" si="135"/>
        <v>DELETE</v>
      </c>
    </row>
    <row r="1813" spans="2:18" ht="31.5" customHeight="1" x14ac:dyDescent="0.45">
      <c r="B1813" s="323"/>
      <c r="C1813" s="417"/>
      <c r="D1813" s="400">
        <f>TrialBalance!C207</f>
        <v>0</v>
      </c>
      <c r="L1813" s="405"/>
      <c r="M1813" s="421"/>
      <c r="N1813" s="400"/>
      <c r="O1813" s="347">
        <f>-TrialBalance!L207</f>
        <v>0</v>
      </c>
      <c r="Q1813" s="442"/>
      <c r="R1813" s="403" t="str">
        <f t="shared" si="135"/>
        <v>DELETE</v>
      </c>
    </row>
    <row r="1814" spans="2:18" ht="31.5" customHeight="1" x14ac:dyDescent="0.45">
      <c r="B1814" s="323"/>
      <c r="C1814" s="417"/>
      <c r="D1814" s="400">
        <f>TrialBalance!C208</f>
        <v>0</v>
      </c>
      <c r="L1814" s="405"/>
      <c r="M1814" s="421"/>
      <c r="N1814" s="400"/>
      <c r="O1814" s="347">
        <f>-TrialBalance!L208</f>
        <v>0</v>
      </c>
      <c r="Q1814" s="442"/>
      <c r="R1814" s="403" t="str">
        <f t="shared" si="135"/>
        <v>DELETE</v>
      </c>
    </row>
    <row r="1815" spans="2:18" ht="31.5" customHeight="1" x14ac:dyDescent="0.45">
      <c r="B1815" s="323"/>
      <c r="C1815" s="417"/>
      <c r="D1815" s="400">
        <f>TrialBalance!C209</f>
        <v>0</v>
      </c>
      <c r="L1815" s="405"/>
      <c r="M1815" s="421"/>
      <c r="N1815" s="400"/>
      <c r="O1815" s="347">
        <f>-TrialBalance!L209</f>
        <v>0</v>
      </c>
      <c r="Q1815" s="442"/>
      <c r="R1815" s="403" t="str">
        <f t="shared" si="135"/>
        <v>DELETE</v>
      </c>
    </row>
    <row r="1816" spans="2:18" ht="31.5" customHeight="1" x14ac:dyDescent="0.45">
      <c r="B1816" s="323"/>
      <c r="C1816" s="417"/>
      <c r="D1816" s="400">
        <f>TrialBalance!C210</f>
        <v>0</v>
      </c>
      <c r="L1816" s="405"/>
      <c r="M1816" s="421"/>
      <c r="N1816" s="400"/>
      <c r="O1816" s="347">
        <f>-TrialBalance!L210</f>
        <v>0</v>
      </c>
      <c r="Q1816" s="442"/>
      <c r="R1816" s="403" t="str">
        <f t="shared" si="135"/>
        <v>DELETE</v>
      </c>
    </row>
    <row r="1817" spans="2:18" ht="31.5" customHeight="1" x14ac:dyDescent="0.45">
      <c r="B1817" s="323"/>
      <c r="C1817" s="417"/>
      <c r="D1817" s="400">
        <f>TrialBalance!C211</f>
        <v>0</v>
      </c>
      <c r="L1817" s="405"/>
      <c r="M1817" s="421"/>
      <c r="N1817" s="400"/>
      <c r="O1817" s="347">
        <f>-TrialBalance!L211</f>
        <v>0</v>
      </c>
      <c r="Q1817" s="442"/>
      <c r="R1817" s="403" t="str">
        <f t="shared" si="135"/>
        <v>DELETE</v>
      </c>
    </row>
    <row r="1818" spans="2:18" ht="31.5" customHeight="1" x14ac:dyDescent="0.45">
      <c r="B1818" s="323"/>
      <c r="C1818" s="417"/>
      <c r="D1818" s="400">
        <f>TrialBalance!C212</f>
        <v>0</v>
      </c>
      <c r="L1818" s="405"/>
      <c r="M1818" s="421"/>
      <c r="N1818" s="400"/>
      <c r="O1818" s="347">
        <f>-TrialBalance!L212</f>
        <v>0</v>
      </c>
      <c r="Q1818" s="442"/>
      <c r="R1818" s="403" t="str">
        <f t="shared" si="135"/>
        <v>DELETE</v>
      </c>
    </row>
    <row r="1819" spans="2:18" ht="31.5" customHeight="1" x14ac:dyDescent="0.45">
      <c r="B1819" s="323"/>
      <c r="C1819" s="417"/>
      <c r="D1819" s="400">
        <f>TrialBalance!C213</f>
        <v>0</v>
      </c>
      <c r="L1819" s="405"/>
      <c r="M1819" s="421"/>
      <c r="N1819" s="400"/>
      <c r="O1819" s="347">
        <f>-TrialBalance!L213</f>
        <v>0</v>
      </c>
      <c r="Q1819" s="442"/>
      <c r="R1819" s="403" t="str">
        <f t="shared" si="135"/>
        <v>DELETE</v>
      </c>
    </row>
    <row r="1820" spans="2:18" ht="31.5" customHeight="1" x14ac:dyDescent="0.45">
      <c r="B1820" s="323"/>
      <c r="C1820" s="417"/>
      <c r="D1820" s="400">
        <f>TrialBalance!C214</f>
        <v>0</v>
      </c>
      <c r="L1820" s="405"/>
      <c r="M1820" s="421"/>
      <c r="N1820" s="400"/>
      <c r="O1820" s="347">
        <f>-TrialBalance!L214</f>
        <v>0</v>
      </c>
      <c r="Q1820" s="442"/>
      <c r="R1820" s="403" t="str">
        <f t="shared" si="135"/>
        <v>DELETE</v>
      </c>
    </row>
    <row r="1821" spans="2:18" ht="31.5" customHeight="1" x14ac:dyDescent="0.45">
      <c r="B1821" s="323"/>
      <c r="C1821" s="417"/>
      <c r="D1821" s="400">
        <f>TrialBalance!C215</f>
        <v>0</v>
      </c>
      <c r="L1821" s="405"/>
      <c r="M1821" s="421"/>
      <c r="N1821" s="400"/>
      <c r="O1821" s="347">
        <f>-TrialBalance!L215</f>
        <v>0</v>
      </c>
      <c r="Q1821" s="442"/>
      <c r="R1821" s="403" t="str">
        <f t="shared" si="135"/>
        <v>DELETE</v>
      </c>
    </row>
    <row r="1822" spans="2:18" ht="31.5" customHeight="1" x14ac:dyDescent="0.45">
      <c r="B1822" s="323"/>
      <c r="C1822" s="417"/>
      <c r="D1822" s="400">
        <f>TrialBalance!C216</f>
        <v>0</v>
      </c>
      <c r="L1822" s="405"/>
      <c r="M1822" s="421"/>
      <c r="N1822" s="400"/>
      <c r="O1822" s="347">
        <f>-TrialBalance!L216</f>
        <v>0</v>
      </c>
      <c r="Q1822" s="442"/>
      <c r="R1822" s="403" t="str">
        <f t="shared" si="135"/>
        <v>DELETE</v>
      </c>
    </row>
    <row r="1823" spans="2:18" ht="31.5" customHeight="1" x14ac:dyDescent="0.45">
      <c r="B1823" s="323"/>
      <c r="C1823" s="417"/>
      <c r="D1823" s="400">
        <f>TrialBalance!C217</f>
        <v>0</v>
      </c>
      <c r="L1823" s="405"/>
      <c r="M1823" s="421"/>
      <c r="N1823" s="400"/>
      <c r="O1823" s="347">
        <f>-TrialBalance!L217</f>
        <v>0</v>
      </c>
      <c r="Q1823" s="442"/>
      <c r="R1823" s="403" t="str">
        <f t="shared" si="135"/>
        <v>DELETE</v>
      </c>
    </row>
    <row r="1824" spans="2:18" ht="31.5" customHeight="1" x14ac:dyDescent="0.45">
      <c r="B1824" s="323"/>
      <c r="C1824" s="417"/>
      <c r="D1824" s="400">
        <f>TrialBalance!C218</f>
        <v>0</v>
      </c>
      <c r="L1824" s="405"/>
      <c r="M1824" s="421"/>
      <c r="N1824" s="400"/>
      <c r="O1824" s="347">
        <f>-TrialBalance!L218</f>
        <v>0</v>
      </c>
      <c r="Q1824" s="442"/>
      <c r="R1824" s="403" t="str">
        <f t="shared" si="135"/>
        <v>DELETE</v>
      </c>
    </row>
    <row r="1825" spans="2:18" ht="9" customHeight="1" x14ac:dyDescent="0.45">
      <c r="B1825" s="323"/>
      <c r="C1825" s="417"/>
      <c r="L1825" s="405"/>
      <c r="M1825" s="421"/>
      <c r="N1825" s="400"/>
      <c r="O1825" s="349"/>
      <c r="Q1825" s="442"/>
      <c r="R1825" s="403" t="str">
        <f t="shared" ref="R1825:R1834" si="136">R$1827</f>
        <v>DELETE</v>
      </c>
    </row>
    <row r="1826" spans="2:18" ht="9" customHeight="1" x14ac:dyDescent="0.45">
      <c r="B1826" s="323"/>
      <c r="C1826" s="417"/>
      <c r="L1826" s="405"/>
      <c r="M1826" s="421"/>
      <c r="N1826" s="400"/>
      <c r="O1826" s="347"/>
      <c r="Q1826" s="442"/>
      <c r="R1826" s="403" t="str">
        <f t="shared" si="136"/>
        <v>DELETE</v>
      </c>
    </row>
    <row r="1827" spans="2:18" ht="31.5" customHeight="1" x14ac:dyDescent="0.45">
      <c r="B1827" s="323"/>
      <c r="C1827" s="417"/>
      <c r="L1827" s="405"/>
      <c r="M1827" s="421"/>
      <c r="N1827" s="400"/>
      <c r="O1827" s="347">
        <f>SUM(O1808:O1826)</f>
        <v>0</v>
      </c>
      <c r="Q1827" s="442"/>
      <c r="R1827" s="403" t="str">
        <f t="shared" ref="R1827" si="137">IF(O1827=0,"DELETE"," ")</f>
        <v>DELETE</v>
      </c>
    </row>
    <row r="1828" spans="2:18" ht="9" customHeight="1" thickBot="1" x14ac:dyDescent="0.5">
      <c r="B1828" s="323"/>
      <c r="C1828" s="417"/>
      <c r="L1828" s="405"/>
      <c r="M1828" s="421"/>
      <c r="N1828" s="400"/>
      <c r="O1828" s="351"/>
      <c r="Q1828" s="442"/>
      <c r="R1828" s="403" t="str">
        <f t="shared" si="136"/>
        <v>DELETE</v>
      </c>
    </row>
    <row r="1829" spans="2:18" ht="9" customHeight="1" thickTop="1" x14ac:dyDescent="0.45">
      <c r="B1829" s="323"/>
      <c r="C1829" s="417"/>
      <c r="L1829" s="405"/>
      <c r="M1829" s="421"/>
      <c r="N1829" s="400"/>
      <c r="O1829" s="363"/>
      <c r="Q1829" s="442"/>
      <c r="R1829" s="403" t="str">
        <f t="shared" si="136"/>
        <v>DELETE</v>
      </c>
    </row>
    <row r="1830" spans="2:18" ht="31.5" customHeight="1" x14ac:dyDescent="0.45">
      <c r="B1830" s="323"/>
      <c r="C1830" s="417"/>
      <c r="D1830" s="400" t="str">
        <f>IF(COUNTIF(TrialBalance!L202:L218,"&lt;0")=0," ",IF(COUNTIF(TrialBalance!L202:L218,"&lt;0")&gt;1,"Unsecured interest free loans with no fixed repayment terms","Unsecured interest free loan with no fixed repayment terms"))</f>
        <v xml:space="preserve"> </v>
      </c>
      <c r="L1830" s="405"/>
      <c r="M1830" s="421"/>
      <c r="N1830" s="400"/>
      <c r="O1830" s="347"/>
      <c r="Q1830" s="442"/>
      <c r="R1830" s="403" t="str">
        <f t="shared" si="136"/>
        <v>DELETE</v>
      </c>
    </row>
    <row r="1831" spans="2:18" ht="31.5" customHeight="1" x14ac:dyDescent="0.45">
      <c r="B1831" s="323"/>
      <c r="C1831" s="417"/>
      <c r="M1831" s="347"/>
      <c r="N1831" s="298"/>
      <c r="O1831" s="347"/>
      <c r="Q1831" s="442"/>
      <c r="R1831" s="403" t="str">
        <f t="shared" si="136"/>
        <v>DELETE</v>
      </c>
    </row>
    <row r="1832" spans="2:18" ht="31.5" customHeight="1" x14ac:dyDescent="0.45">
      <c r="B1832" s="323"/>
      <c r="C1832" s="417"/>
      <c r="M1832" s="347"/>
      <c r="N1832" s="298"/>
      <c r="O1832" s="347"/>
      <c r="Q1832" s="442"/>
      <c r="R1832" s="403" t="str">
        <f t="shared" si="136"/>
        <v>DELETE</v>
      </c>
    </row>
    <row r="1833" spans="2:18" ht="31.5" customHeight="1" x14ac:dyDescent="0.45">
      <c r="B1833" s="324"/>
      <c r="C1833" s="465"/>
      <c r="D1833" s="429"/>
      <c r="E1833" s="429"/>
      <c r="F1833" s="429"/>
      <c r="G1833" s="429"/>
      <c r="H1833" s="429"/>
      <c r="I1833" s="429"/>
      <c r="J1833" s="429"/>
      <c r="K1833" s="429"/>
      <c r="L1833" s="429"/>
      <c r="M1833" s="349"/>
      <c r="N1833" s="300"/>
      <c r="O1833" s="349"/>
      <c r="P1833" s="433"/>
      <c r="Q1833" s="446"/>
      <c r="R1833" s="403" t="str">
        <f t="shared" si="136"/>
        <v>DELETE</v>
      </c>
    </row>
    <row r="1834" spans="2:18" ht="31.5" customHeight="1" x14ac:dyDescent="0.45">
      <c r="B1834" s="325"/>
      <c r="C1834" s="417"/>
      <c r="M1834" s="347"/>
      <c r="N1834" s="298"/>
      <c r="O1834" s="347"/>
      <c r="R1834" s="403" t="str">
        <f t="shared" si="136"/>
        <v>DELETE</v>
      </c>
    </row>
    <row r="1835" spans="2:18" ht="31.5" customHeight="1" x14ac:dyDescent="0.45">
      <c r="B1835" s="422"/>
      <c r="M1835" s="426"/>
      <c r="N1835" s="406"/>
      <c r="O1835" s="426"/>
      <c r="R1835" s="403" t="str">
        <f t="shared" ref="R1835:R1847" si="138">R$1853</f>
        <v>DELETE</v>
      </c>
    </row>
    <row r="1836" spans="2:18" ht="31.5" customHeight="1" x14ac:dyDescent="0.45">
      <c r="B1836" s="422"/>
      <c r="D1836" s="417" t="str">
        <f>Criteria!E9</f>
        <v>HOLDING COMPANY 268 (PROPRIETARY) LIMITED</v>
      </c>
      <c r="M1836" s="426"/>
      <c r="N1836" s="406"/>
      <c r="O1836" s="347" t="s">
        <v>96</v>
      </c>
      <c r="Q1836" s="292">
        <f>MAX($Q$114:Q1835)+1</f>
        <v>46</v>
      </c>
      <c r="R1836" s="403" t="str">
        <f t="shared" si="138"/>
        <v>DELETE</v>
      </c>
    </row>
    <row r="1837" spans="2:18" ht="31.5" customHeight="1" x14ac:dyDescent="0.45">
      <c r="B1837" s="422"/>
      <c r="D1837" s="417" t="str">
        <f>Criteria!E10</f>
        <v>CONSOLIDATED FINANCIAL STATEMENTS</v>
      </c>
      <c r="M1837" s="426"/>
      <c r="N1837" s="406"/>
      <c r="O1837" s="426"/>
      <c r="R1837" s="403" t="str">
        <f>IF(R$1853="DELETE","DELETE",IF(D1837=0,"DELETE"," "))</f>
        <v>DELETE</v>
      </c>
    </row>
    <row r="1838" spans="2:18" ht="31.5" customHeight="1" x14ac:dyDescent="0.45">
      <c r="B1838" s="422"/>
      <c r="M1838" s="426"/>
      <c r="N1838" s="406"/>
      <c r="O1838" s="426"/>
      <c r="R1838" s="403" t="str">
        <f t="shared" si="138"/>
        <v>DELETE</v>
      </c>
    </row>
    <row r="1839" spans="2:18" ht="31.5" customHeight="1" x14ac:dyDescent="0.45">
      <c r="B1839" s="422"/>
      <c r="D1839" s="417" t="s">
        <v>377</v>
      </c>
      <c r="M1839" s="426"/>
      <c r="N1839" s="406"/>
      <c r="O1839" s="426"/>
      <c r="R1839" s="403" t="str">
        <f t="shared" si="138"/>
        <v>DELETE</v>
      </c>
    </row>
    <row r="1840" spans="2:18" ht="31.5" customHeight="1" x14ac:dyDescent="0.45">
      <c r="B1840" s="422"/>
      <c r="D1840" s="417" t="str">
        <f>Criteria!E20</f>
        <v>29 FEBRUARY 2024</v>
      </c>
      <c r="J1840" s="400" t="s">
        <v>247</v>
      </c>
      <c r="M1840" s="426"/>
      <c r="N1840" s="406"/>
      <c r="O1840" s="426"/>
      <c r="R1840" s="403" t="str">
        <f t="shared" si="138"/>
        <v>DELETE</v>
      </c>
    </row>
    <row r="1841" spans="2:23" ht="31.5" customHeight="1" x14ac:dyDescent="0.45">
      <c r="B1841" s="422"/>
      <c r="D1841" s="417"/>
      <c r="M1841" s="426"/>
      <c r="N1841" s="406"/>
      <c r="O1841" s="426"/>
      <c r="R1841" s="403" t="str">
        <f t="shared" si="138"/>
        <v>DELETE</v>
      </c>
    </row>
    <row r="1842" spans="2:23" ht="31.5" customHeight="1" x14ac:dyDescent="0.45">
      <c r="B1842" s="326"/>
      <c r="C1842" s="458"/>
      <c r="D1842" s="439"/>
      <c r="E1842" s="439"/>
      <c r="F1842" s="439"/>
      <c r="G1842" s="439"/>
      <c r="H1842" s="439"/>
      <c r="I1842" s="439"/>
      <c r="J1842" s="439"/>
      <c r="K1842" s="439"/>
      <c r="L1842" s="439"/>
      <c r="M1842" s="362"/>
      <c r="N1842" s="299"/>
      <c r="O1842" s="362"/>
      <c r="P1842" s="448"/>
      <c r="Q1842" s="440"/>
      <c r="R1842" s="403" t="str">
        <f t="shared" si="138"/>
        <v>DELETE</v>
      </c>
    </row>
    <row r="1843" spans="2:23" ht="31.5" customHeight="1" x14ac:dyDescent="0.45">
      <c r="B1843" s="323"/>
      <c r="C1843" s="417"/>
      <c r="L1843" s="405"/>
      <c r="M1843" s="421"/>
      <c r="N1843" s="400"/>
      <c r="O1843" s="344">
        <f>Criteria!E22</f>
        <v>2024</v>
      </c>
      <c r="Q1843" s="442"/>
      <c r="R1843" s="403" t="str">
        <f t="shared" si="138"/>
        <v>DELETE</v>
      </c>
    </row>
    <row r="1844" spans="2:23" ht="31.5" customHeight="1" x14ac:dyDescent="0.45">
      <c r="B1844" s="323"/>
      <c r="C1844" s="417"/>
      <c r="L1844" s="405"/>
      <c r="M1844" s="421"/>
      <c r="N1844" s="400"/>
      <c r="O1844" s="347"/>
      <c r="Q1844" s="442"/>
      <c r="R1844" s="403" t="str">
        <f t="shared" si="138"/>
        <v>DELETE</v>
      </c>
    </row>
    <row r="1845" spans="2:23" ht="31.5" customHeight="1" x14ac:dyDescent="0.45">
      <c r="B1845" s="323">
        <f>MAX(B$559:B1844)+1</f>
        <v>24</v>
      </c>
      <c r="C1845" s="417" t="s">
        <v>251</v>
      </c>
      <c r="L1845" s="405"/>
      <c r="M1845" s="421"/>
      <c r="N1845" s="400"/>
      <c r="O1845" s="347"/>
      <c r="Q1845" s="442"/>
      <c r="R1845" s="403" t="str">
        <f t="shared" si="138"/>
        <v>DELETE</v>
      </c>
    </row>
    <row r="1846" spans="2:23" ht="31.5" customHeight="1" x14ac:dyDescent="0.45">
      <c r="B1846" s="323"/>
      <c r="C1846" s="417"/>
      <c r="D1846" s="400" t="s">
        <v>1190</v>
      </c>
      <c r="L1846" s="405"/>
      <c r="M1846" s="421"/>
      <c r="N1846" s="400"/>
      <c r="O1846" s="347"/>
      <c r="Q1846" s="442"/>
      <c r="R1846" s="403" t="str">
        <f t="shared" si="138"/>
        <v>DELETE</v>
      </c>
    </row>
    <row r="1847" spans="2:23" ht="31.5" customHeight="1" x14ac:dyDescent="0.45">
      <c r="B1847" s="323"/>
      <c r="C1847" s="417"/>
      <c r="L1847" s="405"/>
      <c r="M1847" s="421"/>
      <c r="N1847" s="400"/>
      <c r="O1847" s="347"/>
      <c r="Q1847" s="442"/>
      <c r="R1847" s="403" t="str">
        <f t="shared" si="138"/>
        <v>DELETE</v>
      </c>
    </row>
    <row r="1848" spans="2:23" ht="31.5" customHeight="1" x14ac:dyDescent="0.45">
      <c r="B1848" s="323"/>
      <c r="C1848" s="417"/>
      <c r="D1848" s="400" t="s">
        <v>1191</v>
      </c>
      <c r="L1848" s="405"/>
      <c r="M1848" s="421"/>
      <c r="N1848" s="400"/>
      <c r="O1848" s="347"/>
      <c r="Q1848" s="442"/>
      <c r="R1848" s="403" t="str">
        <f>R1849</f>
        <v>DELETE</v>
      </c>
    </row>
    <row r="1849" spans="2:23" ht="31.5" customHeight="1" x14ac:dyDescent="0.45">
      <c r="B1849" s="323"/>
      <c r="C1849" s="417"/>
      <c r="D1849" s="400" t="s">
        <v>1192</v>
      </c>
      <c r="L1849" s="405"/>
      <c r="M1849" s="421"/>
      <c r="N1849" s="400"/>
      <c r="O1849" s="347">
        <f>-TrialBalance!L220-TrialBalance!L222-TrialBalance!L224-TrialBalance!L226</f>
        <v>0</v>
      </c>
      <c r="Q1849" s="442"/>
      <c r="R1849" s="403" t="str">
        <f>IF(W1849&gt;0," ","DELETE")</f>
        <v>DELETE</v>
      </c>
      <c r="W1849" s="378">
        <f>IF(TrialBalance!L220=0,IF(TrialBalance!L224=0,IF(TrialBalance!L226=0,0,1),1),1)</f>
        <v>0</v>
      </c>
    </row>
    <row r="1850" spans="2:23" ht="31.5" customHeight="1" x14ac:dyDescent="0.45">
      <c r="B1850" s="323"/>
      <c r="C1850" s="417"/>
      <c r="D1850" s="400" t="s">
        <v>752</v>
      </c>
      <c r="L1850" s="405"/>
      <c r="M1850" s="421"/>
      <c r="N1850" s="400"/>
      <c r="O1850" s="347">
        <f>-TrialBalance!L221-TrialBalance!L223-TrialBalance!L225-TrialBalance!L227</f>
        <v>0</v>
      </c>
      <c r="Q1850" s="442"/>
      <c r="R1850" s="403" t="str">
        <f>IF(W1850&gt;0," ","DELETE")</f>
        <v>DELETE</v>
      </c>
      <c r="W1850" s="378">
        <f>IF(TrialBalance!L221=0,IF(TrialBalance!L225=0,IF(TrialBalance!L227=0,0,1),1),1)</f>
        <v>0</v>
      </c>
    </row>
    <row r="1851" spans="2:23" ht="9" customHeight="1" x14ac:dyDescent="0.45">
      <c r="B1851" s="323"/>
      <c r="C1851" s="417"/>
      <c r="L1851" s="405"/>
      <c r="M1851" s="421"/>
      <c r="N1851" s="400"/>
      <c r="O1851" s="349"/>
      <c r="Q1851" s="442"/>
      <c r="R1851" s="403" t="str">
        <f t="shared" ref="R1851:R1858" si="139">R$1853</f>
        <v>DELETE</v>
      </c>
    </row>
    <row r="1852" spans="2:23" ht="9" customHeight="1" x14ac:dyDescent="0.45">
      <c r="B1852" s="323"/>
      <c r="C1852" s="417"/>
      <c r="L1852" s="405"/>
      <c r="M1852" s="421"/>
      <c r="N1852" s="400"/>
      <c r="O1852" s="347"/>
      <c r="Q1852" s="442"/>
      <c r="R1852" s="403" t="str">
        <f t="shared" si="139"/>
        <v>DELETE</v>
      </c>
    </row>
    <row r="1853" spans="2:23" ht="31.5" customHeight="1" x14ac:dyDescent="0.45">
      <c r="B1853" s="323"/>
      <c r="C1853" s="417"/>
      <c r="L1853" s="405"/>
      <c r="M1853" s="421"/>
      <c r="N1853" s="400"/>
      <c r="O1853" s="347">
        <f>SUM(O1849:O1851)</f>
        <v>0</v>
      </c>
      <c r="Q1853" s="442"/>
      <c r="R1853" s="403" t="str">
        <f>IF(R1849=" "," ",IF(R1850=" "," ","DELETE"))</f>
        <v>DELETE</v>
      </c>
      <c r="U1853" s="378" t="b">
        <f>O1853=O1887</f>
        <v>1</v>
      </c>
    </row>
    <row r="1854" spans="2:23" ht="9" customHeight="1" thickBot="1" x14ac:dyDescent="0.5">
      <c r="B1854" s="323"/>
      <c r="C1854" s="417"/>
      <c r="L1854" s="405"/>
      <c r="M1854" s="421"/>
      <c r="N1854" s="400"/>
      <c r="O1854" s="351"/>
      <c r="Q1854" s="442"/>
      <c r="R1854" s="403" t="str">
        <f t="shared" si="139"/>
        <v>DELETE</v>
      </c>
    </row>
    <row r="1855" spans="2:23" ht="9" customHeight="1" thickTop="1" x14ac:dyDescent="0.45">
      <c r="B1855" s="323"/>
      <c r="C1855" s="417"/>
      <c r="L1855" s="405"/>
      <c r="M1855" s="421"/>
      <c r="N1855" s="400"/>
      <c r="O1855" s="363"/>
      <c r="Q1855" s="442"/>
      <c r="R1855" s="403" t="str">
        <f t="shared" si="139"/>
        <v>DELETE</v>
      </c>
    </row>
    <row r="1856" spans="2:23" ht="31.5" customHeight="1" x14ac:dyDescent="0.45">
      <c r="B1856" s="323"/>
      <c r="C1856" s="417"/>
      <c r="L1856" s="405"/>
      <c r="M1856" s="421"/>
      <c r="N1856" s="400"/>
      <c r="O1856" s="347"/>
      <c r="Q1856" s="442"/>
      <c r="R1856" s="403" t="str">
        <f t="shared" si="139"/>
        <v>DELETE</v>
      </c>
    </row>
    <row r="1857" spans="2:23" ht="31.5" customHeight="1" x14ac:dyDescent="0.45">
      <c r="B1857" s="323"/>
      <c r="C1857" s="417"/>
      <c r="D1857" s="400" t="s">
        <v>420</v>
      </c>
      <c r="L1857" s="405"/>
      <c r="M1857" s="421"/>
      <c r="N1857" s="400"/>
      <c r="O1857" s="347"/>
      <c r="Q1857" s="442"/>
      <c r="R1857" s="403" t="str">
        <f t="shared" si="139"/>
        <v>DELETE</v>
      </c>
    </row>
    <row r="1858" spans="2:23" ht="31.5" customHeight="1" x14ac:dyDescent="0.45">
      <c r="B1858" s="323"/>
      <c r="C1858" s="417"/>
      <c r="D1858" s="297" t="str">
        <f>IF(W1858=2,"Deferred tax liability at the beginning of the year","Deferred tax asset at the beginning of the year")</f>
        <v>Deferred tax liability at the beginning of the year</v>
      </c>
      <c r="L1858" s="405"/>
      <c r="M1858" s="421"/>
      <c r="N1858" s="400"/>
      <c r="O1858" s="347">
        <f>SUM(S1860:S1863)</f>
        <v>0</v>
      </c>
      <c r="Q1858" s="442"/>
      <c r="R1858" s="403" t="str">
        <f t="shared" si="139"/>
        <v>DELETE</v>
      </c>
      <c r="W1858" s="378">
        <f>IF(O1858&lt;0,1,2)</f>
        <v>2</v>
      </c>
    </row>
    <row r="1859" spans="2:23" ht="9" customHeight="1" x14ac:dyDescent="0.45">
      <c r="B1859" s="323"/>
      <c r="C1859" s="417"/>
      <c r="D1859" s="297"/>
      <c r="M1859" s="347"/>
      <c r="N1859" s="298"/>
      <c r="O1859" s="347"/>
      <c r="Q1859" s="442"/>
      <c r="R1859" s="403" t="str">
        <f>R$1858</f>
        <v>DELETE</v>
      </c>
    </row>
    <row r="1860" spans="2:23" ht="9" customHeight="1" x14ac:dyDescent="0.45">
      <c r="B1860" s="323"/>
      <c r="C1860" s="417"/>
      <c r="D1860" s="297"/>
      <c r="M1860" s="363"/>
      <c r="N1860" s="314"/>
      <c r="O1860" s="372"/>
      <c r="Q1860" s="442"/>
      <c r="R1860" s="403" t="str">
        <f>R$1858</f>
        <v>DELETE</v>
      </c>
    </row>
    <row r="1861" spans="2:23" ht="31.5" customHeight="1" x14ac:dyDescent="0.45">
      <c r="B1861" s="323"/>
      <c r="C1861" s="417"/>
      <c r="D1861" s="297"/>
      <c r="E1861" s="400" t="s">
        <v>1193</v>
      </c>
      <c r="M1861" s="363"/>
      <c r="N1861" s="314"/>
      <c r="O1861" s="373">
        <f>-TrialBalance!L220</f>
        <v>0</v>
      </c>
      <c r="Q1861" s="442"/>
      <c r="R1861" s="403" t="str">
        <f>IF(R1853="DELETE","DELETE",IF(R1862="DELETE"," ",IF(O1861=0,"DELETE"," ")))</f>
        <v>DELETE</v>
      </c>
      <c r="S1861" s="380">
        <f>O1861</f>
        <v>0</v>
      </c>
    </row>
    <row r="1862" spans="2:23" ht="31.5" customHeight="1" x14ac:dyDescent="0.45">
      <c r="B1862" s="323"/>
      <c r="C1862" s="417"/>
      <c r="D1862" s="297"/>
      <c r="E1862" s="400" t="s">
        <v>752</v>
      </c>
      <c r="M1862" s="363"/>
      <c r="N1862" s="314"/>
      <c r="O1862" s="373">
        <f>-TrialBalance!L221</f>
        <v>0</v>
      </c>
      <c r="Q1862" s="442"/>
      <c r="R1862" s="403" t="str">
        <f>IF(R1853="DELETE","DELETE",IF(O1862=0,"DELETE"," "))</f>
        <v>DELETE</v>
      </c>
      <c r="S1862" s="380">
        <f>O1862</f>
        <v>0</v>
      </c>
    </row>
    <row r="1863" spans="2:23" ht="9" customHeight="1" x14ac:dyDescent="0.45">
      <c r="B1863" s="323"/>
      <c r="C1863" s="417"/>
      <c r="D1863" s="297"/>
      <c r="M1863" s="363"/>
      <c r="N1863" s="314"/>
      <c r="O1863" s="374"/>
      <c r="Q1863" s="442"/>
      <c r="R1863" s="403" t="str">
        <f t="shared" ref="R1863:R1864" si="140">R$1858</f>
        <v>DELETE</v>
      </c>
    </row>
    <row r="1864" spans="2:23" ht="9" customHeight="1" x14ac:dyDescent="0.45">
      <c r="B1864" s="323"/>
      <c r="C1864" s="417"/>
      <c r="D1864" s="297"/>
      <c r="M1864" s="363"/>
      <c r="N1864" s="314"/>
      <c r="O1864" s="347"/>
      <c r="Q1864" s="442"/>
      <c r="R1864" s="403" t="str">
        <f t="shared" si="140"/>
        <v>DELETE</v>
      </c>
    </row>
    <row r="1865" spans="2:23" ht="31.5" customHeight="1" x14ac:dyDescent="0.45">
      <c r="B1865" s="323"/>
      <c r="C1865" s="417"/>
      <c r="D1865" s="297" t="s">
        <v>1109</v>
      </c>
      <c r="M1865" s="363"/>
      <c r="N1865" s="314"/>
      <c r="O1865" s="347">
        <f>SUM(S1867:S1870)</f>
        <v>0</v>
      </c>
      <c r="Q1865" s="442"/>
      <c r="R1865" s="403" t="str">
        <f>IF(O1865=0,"DELETE"," ")</f>
        <v>DELETE</v>
      </c>
    </row>
    <row r="1866" spans="2:23" ht="9" customHeight="1" x14ac:dyDescent="0.45">
      <c r="B1866" s="323"/>
      <c r="C1866" s="417"/>
      <c r="D1866" s="297"/>
      <c r="M1866" s="363"/>
      <c r="N1866" s="314"/>
      <c r="O1866" s="347"/>
      <c r="Q1866" s="442"/>
      <c r="R1866" s="403" t="str">
        <f>R$1865</f>
        <v>DELETE</v>
      </c>
    </row>
    <row r="1867" spans="2:23" ht="9" customHeight="1" x14ac:dyDescent="0.45">
      <c r="B1867" s="323"/>
      <c r="C1867" s="417"/>
      <c r="D1867" s="297"/>
      <c r="M1867" s="363"/>
      <c r="N1867" s="314"/>
      <c r="O1867" s="372"/>
      <c r="Q1867" s="442"/>
      <c r="R1867" s="403" t="str">
        <f>R$1865</f>
        <v>DELETE</v>
      </c>
    </row>
    <row r="1868" spans="2:23" ht="31.5" customHeight="1" x14ac:dyDescent="0.45">
      <c r="B1868" s="323"/>
      <c r="C1868" s="417"/>
      <c r="D1868" s="297"/>
      <c r="E1868" s="400" t="s">
        <v>1193</v>
      </c>
      <c r="M1868" s="363"/>
      <c r="N1868" s="314"/>
      <c r="O1868" s="373">
        <f>-TrialBalance!L222</f>
        <v>0</v>
      </c>
      <c r="Q1868" s="442"/>
      <c r="R1868" s="403" t="str">
        <f>IF(O1868=0,"DELETE"," ")</f>
        <v>DELETE</v>
      </c>
      <c r="S1868" s="380">
        <f>O1868</f>
        <v>0</v>
      </c>
    </row>
    <row r="1869" spans="2:23" ht="31.5" customHeight="1" x14ac:dyDescent="0.45">
      <c r="B1869" s="323"/>
      <c r="C1869" s="417"/>
      <c r="D1869" s="297"/>
      <c r="E1869" s="400" t="s">
        <v>752</v>
      </c>
      <c r="M1869" s="363"/>
      <c r="N1869" s="314"/>
      <c r="O1869" s="373">
        <f>-TrialBalance!L223</f>
        <v>0</v>
      </c>
      <c r="Q1869" s="442"/>
      <c r="R1869" s="403" t="str">
        <f>IF(O1869=0,"DELETE"," ")</f>
        <v>DELETE</v>
      </c>
      <c r="S1869" s="380">
        <f>O1869</f>
        <v>0</v>
      </c>
    </row>
    <row r="1870" spans="2:23" ht="9" customHeight="1" x14ac:dyDescent="0.45">
      <c r="B1870" s="323"/>
      <c r="C1870" s="417"/>
      <c r="D1870" s="297"/>
      <c r="M1870" s="363"/>
      <c r="N1870" s="314"/>
      <c r="O1870" s="374"/>
      <c r="Q1870" s="442"/>
      <c r="R1870" s="403" t="str">
        <f t="shared" ref="R1870:R1871" si="141">R$1865</f>
        <v>DELETE</v>
      </c>
    </row>
    <row r="1871" spans="2:23" ht="9" customHeight="1" x14ac:dyDescent="0.45">
      <c r="B1871" s="323"/>
      <c r="C1871" s="417"/>
      <c r="D1871" s="297"/>
      <c r="M1871" s="363"/>
      <c r="N1871" s="314"/>
      <c r="O1871" s="347"/>
      <c r="Q1871" s="442"/>
      <c r="R1871" s="403" t="str">
        <f t="shared" si="141"/>
        <v>DELETE</v>
      </c>
    </row>
    <row r="1872" spans="2:23" ht="31.5" customHeight="1" x14ac:dyDescent="0.45">
      <c r="B1872" s="323"/>
      <c r="C1872" s="417"/>
      <c r="D1872" s="297" t="s">
        <v>838</v>
      </c>
      <c r="M1872" s="498"/>
      <c r="N1872" s="494"/>
      <c r="O1872" s="347">
        <f>SUM(S1874:S1877)</f>
        <v>0</v>
      </c>
      <c r="Q1872" s="442"/>
      <c r="R1872" s="403" t="str">
        <f>IF(O1872=0,"DELETE"," ")</f>
        <v>DELETE</v>
      </c>
    </row>
    <row r="1873" spans="2:23" ht="9" customHeight="1" x14ac:dyDescent="0.45">
      <c r="B1873" s="323"/>
      <c r="C1873" s="417"/>
      <c r="D1873" s="297"/>
      <c r="M1873" s="498"/>
      <c r="N1873" s="494"/>
      <c r="O1873" s="350"/>
      <c r="Q1873" s="442"/>
      <c r="R1873" s="403" t="str">
        <f>R$1872</f>
        <v>DELETE</v>
      </c>
    </row>
    <row r="1874" spans="2:23" ht="9" customHeight="1" x14ac:dyDescent="0.45">
      <c r="B1874" s="323"/>
      <c r="C1874" s="417"/>
      <c r="D1874" s="297"/>
      <c r="M1874" s="498"/>
      <c r="N1874" s="494"/>
      <c r="O1874" s="499"/>
      <c r="Q1874" s="442"/>
      <c r="R1874" s="403" t="str">
        <f>R$1872</f>
        <v>DELETE</v>
      </c>
    </row>
    <row r="1875" spans="2:23" ht="31.5" customHeight="1" x14ac:dyDescent="0.45">
      <c r="B1875" s="323"/>
      <c r="C1875" s="417"/>
      <c r="D1875" s="297"/>
      <c r="E1875" s="400" t="s">
        <v>1193</v>
      </c>
      <c r="M1875" s="498"/>
      <c r="N1875" s="494"/>
      <c r="O1875" s="376">
        <f>-TrialBalance!L224</f>
        <v>0</v>
      </c>
      <c r="Q1875" s="442"/>
      <c r="R1875" s="403" t="str">
        <f t="shared" ref="R1875:R1876" si="142">IF(O1875=0,"DELETE"," ")</f>
        <v>DELETE</v>
      </c>
      <c r="S1875" s="380">
        <f>O1875</f>
        <v>0</v>
      </c>
    </row>
    <row r="1876" spans="2:23" ht="31.5" customHeight="1" x14ac:dyDescent="0.45">
      <c r="B1876" s="323"/>
      <c r="C1876" s="417"/>
      <c r="D1876" s="297"/>
      <c r="E1876" s="400" t="s">
        <v>752</v>
      </c>
      <c r="M1876" s="498"/>
      <c r="N1876" s="494"/>
      <c r="O1876" s="376">
        <f>-TrialBalance!L225</f>
        <v>0</v>
      </c>
      <c r="Q1876" s="442"/>
      <c r="R1876" s="403" t="str">
        <f t="shared" si="142"/>
        <v>DELETE</v>
      </c>
      <c r="S1876" s="380">
        <f>O1876</f>
        <v>0</v>
      </c>
    </row>
    <row r="1877" spans="2:23" ht="9" customHeight="1" x14ac:dyDescent="0.45">
      <c r="B1877" s="323"/>
      <c r="C1877" s="417"/>
      <c r="D1877" s="297"/>
      <c r="M1877" s="498"/>
      <c r="N1877" s="494"/>
      <c r="O1877" s="500"/>
      <c r="Q1877" s="442"/>
      <c r="R1877" s="403" t="str">
        <f t="shared" ref="R1877:R1878" si="143">R$1872</f>
        <v>DELETE</v>
      </c>
    </row>
    <row r="1878" spans="2:23" ht="9" customHeight="1" x14ac:dyDescent="0.45">
      <c r="B1878" s="323"/>
      <c r="C1878" s="417"/>
      <c r="D1878" s="297"/>
      <c r="M1878" s="498"/>
      <c r="N1878" s="494"/>
      <c r="O1878" s="350"/>
      <c r="Q1878" s="442"/>
      <c r="R1878" s="403" t="str">
        <f t="shared" si="143"/>
        <v>DELETE</v>
      </c>
    </row>
    <row r="1879" spans="2:23" ht="31.5" customHeight="1" x14ac:dyDescent="0.45">
      <c r="B1879" s="323"/>
      <c r="C1879" s="417"/>
      <c r="D1879" s="297" t="s">
        <v>839</v>
      </c>
      <c r="M1879" s="498"/>
      <c r="N1879" s="494"/>
      <c r="O1879" s="347">
        <f>SUM(S1881:S1884)</f>
        <v>0</v>
      </c>
      <c r="Q1879" s="442"/>
      <c r="R1879" s="403" t="str">
        <f>IF(O1879=0,"DELETE"," ")</f>
        <v>DELETE</v>
      </c>
    </row>
    <row r="1880" spans="2:23" ht="9" customHeight="1" x14ac:dyDescent="0.45">
      <c r="B1880" s="323"/>
      <c r="C1880" s="417"/>
      <c r="D1880" s="297"/>
      <c r="M1880" s="498"/>
      <c r="N1880" s="494"/>
      <c r="O1880" s="350"/>
      <c r="Q1880" s="442"/>
      <c r="R1880" s="403" t="str">
        <f>R$1879</f>
        <v>DELETE</v>
      </c>
    </row>
    <row r="1881" spans="2:23" ht="9" customHeight="1" x14ac:dyDescent="0.45">
      <c r="B1881" s="323"/>
      <c r="C1881" s="417"/>
      <c r="D1881" s="297"/>
      <c r="M1881" s="498"/>
      <c r="N1881" s="494"/>
      <c r="O1881" s="499"/>
      <c r="Q1881" s="442"/>
      <c r="R1881" s="403" t="str">
        <f>R$1879</f>
        <v>DELETE</v>
      </c>
    </row>
    <row r="1882" spans="2:23" ht="31.5" customHeight="1" x14ac:dyDescent="0.45">
      <c r="B1882" s="323"/>
      <c r="C1882" s="417"/>
      <c r="D1882" s="297"/>
      <c r="E1882" s="400" t="s">
        <v>1193</v>
      </c>
      <c r="M1882" s="498"/>
      <c r="N1882" s="494"/>
      <c r="O1882" s="376">
        <f>-TrialBalance!L226</f>
        <v>0</v>
      </c>
      <c r="Q1882" s="442"/>
      <c r="R1882" s="403" t="str">
        <f t="shared" ref="R1882:R1883" si="144">IF(O1882=0,"DELETE"," ")</f>
        <v>DELETE</v>
      </c>
      <c r="S1882" s="380">
        <f>O1882</f>
        <v>0</v>
      </c>
    </row>
    <row r="1883" spans="2:23" ht="31.5" customHeight="1" x14ac:dyDescent="0.45">
      <c r="B1883" s="323"/>
      <c r="C1883" s="417"/>
      <c r="D1883" s="297"/>
      <c r="E1883" s="400" t="s">
        <v>752</v>
      </c>
      <c r="M1883" s="498"/>
      <c r="N1883" s="494"/>
      <c r="O1883" s="376">
        <f>-TrialBalance!L227</f>
        <v>0</v>
      </c>
      <c r="Q1883" s="442"/>
      <c r="R1883" s="403" t="str">
        <f t="shared" si="144"/>
        <v>DELETE</v>
      </c>
      <c r="S1883" s="380">
        <f>O1883</f>
        <v>0</v>
      </c>
    </row>
    <row r="1884" spans="2:23" ht="9" customHeight="1" x14ac:dyDescent="0.45">
      <c r="B1884" s="323"/>
      <c r="C1884" s="417"/>
      <c r="D1884" s="297"/>
      <c r="M1884" s="498"/>
      <c r="N1884" s="494"/>
      <c r="O1884" s="500"/>
      <c r="Q1884" s="442"/>
      <c r="R1884" s="403" t="str">
        <f>R$1879</f>
        <v>DELETE</v>
      </c>
    </row>
    <row r="1885" spans="2:23" ht="9" customHeight="1" x14ac:dyDescent="0.45">
      <c r="B1885" s="323"/>
      <c r="C1885" s="417"/>
      <c r="L1885" s="405"/>
      <c r="M1885" s="421"/>
      <c r="N1885" s="400"/>
      <c r="O1885" s="349"/>
      <c r="Q1885" s="442"/>
      <c r="R1885" s="403" t="str">
        <f t="shared" ref="R1885:R1890" si="145">R$1853</f>
        <v>DELETE</v>
      </c>
    </row>
    <row r="1886" spans="2:23" ht="9" customHeight="1" x14ac:dyDescent="0.45">
      <c r="B1886" s="323"/>
      <c r="C1886" s="417"/>
      <c r="L1886" s="405"/>
      <c r="M1886" s="421"/>
      <c r="N1886" s="400"/>
      <c r="O1886" s="347"/>
      <c r="Q1886" s="442"/>
      <c r="R1886" s="403" t="str">
        <f t="shared" si="145"/>
        <v>DELETE</v>
      </c>
    </row>
    <row r="1887" spans="2:23" ht="31.5" customHeight="1" x14ac:dyDescent="0.45">
      <c r="B1887" s="323"/>
      <c r="C1887" s="417"/>
      <c r="D1887" s="297" t="str">
        <f>IF(W1887=2,"Deferred tax liability at the end of the year","Deferred tax asset at the end of the year")</f>
        <v>Deferred tax liability at the end of the year</v>
      </c>
      <c r="L1887" s="405"/>
      <c r="M1887" s="421"/>
      <c r="N1887" s="400"/>
      <c r="O1887" s="347">
        <f>SUM(S1860:S1884)</f>
        <v>0</v>
      </c>
      <c r="Q1887" s="442"/>
      <c r="R1887" s="403" t="str">
        <f t="shared" si="145"/>
        <v>DELETE</v>
      </c>
      <c r="U1887" s="378" t="b">
        <f>O1887=SUM(O1890:O1893)</f>
        <v>1</v>
      </c>
      <c r="W1887" s="378">
        <f>IF(O1887&lt;0,1,2)</f>
        <v>2</v>
      </c>
    </row>
    <row r="1888" spans="2:23" ht="9" customHeight="1" thickBot="1" x14ac:dyDescent="0.5">
      <c r="B1888" s="323"/>
      <c r="C1888" s="417"/>
      <c r="L1888" s="405"/>
      <c r="M1888" s="421"/>
      <c r="N1888" s="400"/>
      <c r="O1888" s="351"/>
      <c r="Q1888" s="442"/>
      <c r="R1888" s="403" t="str">
        <f t="shared" si="145"/>
        <v>DELETE</v>
      </c>
    </row>
    <row r="1889" spans="2:19" ht="9" customHeight="1" thickTop="1" x14ac:dyDescent="0.45">
      <c r="B1889" s="323"/>
      <c r="C1889" s="417"/>
      <c r="L1889" s="405"/>
      <c r="M1889" s="421"/>
      <c r="N1889" s="400"/>
      <c r="O1889" s="347"/>
      <c r="Q1889" s="442"/>
      <c r="R1889" s="403" t="str">
        <f t="shared" si="145"/>
        <v>DELETE</v>
      </c>
    </row>
    <row r="1890" spans="2:19" ht="9" customHeight="1" x14ac:dyDescent="0.45">
      <c r="B1890" s="323"/>
      <c r="C1890" s="417"/>
      <c r="L1890" s="405"/>
      <c r="M1890" s="421"/>
      <c r="N1890" s="400"/>
      <c r="O1890" s="372"/>
      <c r="Q1890" s="442"/>
      <c r="R1890" s="403" t="str">
        <f t="shared" si="145"/>
        <v>DELETE</v>
      </c>
    </row>
    <row r="1891" spans="2:19" ht="31.5" customHeight="1" x14ac:dyDescent="0.45">
      <c r="B1891" s="323"/>
      <c r="C1891" s="417"/>
      <c r="E1891" s="400" t="s">
        <v>1193</v>
      </c>
      <c r="L1891" s="405"/>
      <c r="M1891" s="421"/>
      <c r="N1891" s="400"/>
      <c r="O1891" s="373">
        <f>-TrialBalance!L220-TrialBalance!L222-TrialBalance!L224-TrialBalance!L226</f>
        <v>0</v>
      </c>
      <c r="Q1891" s="442"/>
      <c r="R1891" s="403" t="str">
        <f>IF(R1853="DELETE","DELETE",IF(R1892="DELETE"," ",IF(O1891=0,"DELETE"," ")))</f>
        <v>DELETE</v>
      </c>
      <c r="S1891" s="380">
        <f>O1891</f>
        <v>0</v>
      </c>
    </row>
    <row r="1892" spans="2:19" ht="31.5" customHeight="1" x14ac:dyDescent="0.45">
      <c r="B1892" s="323"/>
      <c r="C1892" s="417"/>
      <c r="E1892" s="400" t="s">
        <v>752</v>
      </c>
      <c r="L1892" s="405"/>
      <c r="M1892" s="421"/>
      <c r="N1892" s="400"/>
      <c r="O1892" s="373">
        <f>-TrialBalance!L221-TrialBalance!L223-TrialBalance!L225-TrialBalance!L227</f>
        <v>0</v>
      </c>
      <c r="Q1892" s="442"/>
      <c r="R1892" s="403" t="str">
        <f>IF(R1853="DELETE","DELETE",IF(O1892=0,"DELETE"," "))</f>
        <v>DELETE</v>
      </c>
      <c r="S1892" s="380">
        <f>O1892</f>
        <v>0</v>
      </c>
    </row>
    <row r="1893" spans="2:19" ht="9" customHeight="1" x14ac:dyDescent="0.45">
      <c r="B1893" s="323"/>
      <c r="C1893" s="417"/>
      <c r="L1893" s="405"/>
      <c r="M1893" s="421"/>
      <c r="N1893" s="400"/>
      <c r="O1893" s="374"/>
      <c r="Q1893" s="442"/>
      <c r="R1893" s="403" t="str">
        <f t="shared" ref="R1893:R1898" si="146">R$1853</f>
        <v>DELETE</v>
      </c>
    </row>
    <row r="1894" spans="2:19" ht="9" customHeight="1" x14ac:dyDescent="0.45">
      <c r="B1894" s="323"/>
      <c r="C1894" s="417"/>
      <c r="L1894" s="405"/>
      <c r="M1894" s="421"/>
      <c r="N1894" s="400"/>
      <c r="O1894" s="347"/>
      <c r="Q1894" s="442"/>
      <c r="R1894" s="403" t="str">
        <f t="shared" si="146"/>
        <v>DELETE</v>
      </c>
    </row>
    <row r="1895" spans="2:19" ht="31.5" customHeight="1" x14ac:dyDescent="0.45">
      <c r="B1895" s="323"/>
      <c r="C1895" s="417"/>
      <c r="L1895" s="405"/>
      <c r="M1895" s="421"/>
      <c r="N1895" s="400"/>
      <c r="O1895" s="347"/>
      <c r="Q1895" s="442"/>
      <c r="R1895" s="403" t="str">
        <f t="shared" si="146"/>
        <v>DELETE</v>
      </c>
    </row>
    <row r="1896" spans="2:19" ht="31.5" customHeight="1" x14ac:dyDescent="0.45">
      <c r="B1896" s="323"/>
      <c r="C1896" s="417"/>
      <c r="M1896" s="347"/>
      <c r="N1896" s="298"/>
      <c r="O1896" s="347"/>
      <c r="Q1896" s="442"/>
      <c r="R1896" s="403" t="str">
        <f t="shared" si="146"/>
        <v>DELETE</v>
      </c>
    </row>
    <row r="1897" spans="2:19" ht="31.5" customHeight="1" x14ac:dyDescent="0.45">
      <c r="B1897" s="324"/>
      <c r="C1897" s="465"/>
      <c r="D1897" s="429"/>
      <c r="E1897" s="429"/>
      <c r="F1897" s="429"/>
      <c r="G1897" s="429"/>
      <c r="H1897" s="429"/>
      <c r="I1897" s="429"/>
      <c r="J1897" s="429"/>
      <c r="K1897" s="429"/>
      <c r="L1897" s="429"/>
      <c r="M1897" s="349"/>
      <c r="N1897" s="300"/>
      <c r="O1897" s="349"/>
      <c r="P1897" s="433"/>
      <c r="Q1897" s="446"/>
      <c r="R1897" s="403" t="str">
        <f t="shared" si="146"/>
        <v>DELETE</v>
      </c>
    </row>
    <row r="1898" spans="2:19" ht="31.5" customHeight="1" x14ac:dyDescent="0.45">
      <c r="B1898" s="422"/>
      <c r="M1898" s="426"/>
      <c r="N1898" s="406"/>
      <c r="O1898" s="426"/>
      <c r="R1898" s="403" t="str">
        <f t="shared" si="146"/>
        <v>DELETE</v>
      </c>
    </row>
    <row r="1899" spans="2:19" ht="31.5" customHeight="1" x14ac:dyDescent="0.45">
      <c r="B1899" s="422"/>
      <c r="M1899" s="426"/>
      <c r="N1899" s="406"/>
      <c r="O1899" s="426"/>
      <c r="R1899" s="403" t="str">
        <f>R$1918</f>
        <v>DELETE</v>
      </c>
    </row>
    <row r="1900" spans="2:19" ht="31.5" customHeight="1" x14ac:dyDescent="0.45">
      <c r="B1900" s="422"/>
      <c r="D1900" s="417" t="str">
        <f>Criteria!E9</f>
        <v>HOLDING COMPANY 268 (PROPRIETARY) LIMITED</v>
      </c>
      <c r="M1900" s="426"/>
      <c r="N1900" s="406"/>
      <c r="O1900" s="347" t="s">
        <v>96</v>
      </c>
      <c r="Q1900" s="292">
        <f>MAX($Q$114:Q1899)+1</f>
        <v>47</v>
      </c>
      <c r="R1900" s="403" t="str">
        <f t="shared" ref="R1900:R1909" si="147">R$1918</f>
        <v>DELETE</v>
      </c>
    </row>
    <row r="1901" spans="2:19" ht="31.5" customHeight="1" x14ac:dyDescent="0.45">
      <c r="B1901" s="422"/>
      <c r="D1901" s="417" t="str">
        <f>Criteria!E10</f>
        <v>CONSOLIDATED FINANCIAL STATEMENTS</v>
      </c>
      <c r="M1901" s="426"/>
      <c r="N1901" s="406"/>
      <c r="O1901" s="426"/>
      <c r="R1901" s="403" t="str">
        <f>IF(R$1918="DELETE","DELETE",IF(D1901=0,"DELETE"," "))</f>
        <v>DELETE</v>
      </c>
    </row>
    <row r="1902" spans="2:19" ht="31.5" customHeight="1" x14ac:dyDescent="0.45">
      <c r="B1902" s="422"/>
      <c r="M1902" s="426"/>
      <c r="N1902" s="406"/>
      <c r="O1902" s="426"/>
      <c r="R1902" s="403" t="str">
        <f t="shared" si="147"/>
        <v>DELETE</v>
      </c>
    </row>
    <row r="1903" spans="2:19" ht="31.5" customHeight="1" x14ac:dyDescent="0.45">
      <c r="B1903" s="422"/>
      <c r="D1903" s="417" t="s">
        <v>377</v>
      </c>
      <c r="M1903" s="426"/>
      <c r="N1903" s="406"/>
      <c r="O1903" s="426"/>
      <c r="R1903" s="403" t="str">
        <f t="shared" si="147"/>
        <v>DELETE</v>
      </c>
    </row>
    <row r="1904" spans="2:19" ht="31.5" customHeight="1" x14ac:dyDescent="0.45">
      <c r="B1904" s="422"/>
      <c r="D1904" s="417" t="str">
        <f>Criteria!E20</f>
        <v>29 FEBRUARY 2024</v>
      </c>
      <c r="J1904" s="400" t="s">
        <v>247</v>
      </c>
      <c r="M1904" s="426"/>
      <c r="N1904" s="406"/>
      <c r="O1904" s="426"/>
      <c r="R1904" s="403" t="str">
        <f t="shared" si="147"/>
        <v>DELETE</v>
      </c>
    </row>
    <row r="1905" spans="2:18" ht="31.5" customHeight="1" x14ac:dyDescent="0.45">
      <c r="B1905" s="422"/>
      <c r="D1905" s="417"/>
      <c r="M1905" s="426"/>
      <c r="N1905" s="406"/>
      <c r="O1905" s="426"/>
      <c r="R1905" s="403" t="str">
        <f t="shared" si="147"/>
        <v>DELETE</v>
      </c>
    </row>
    <row r="1906" spans="2:18" ht="31.5" customHeight="1" x14ac:dyDescent="0.45">
      <c r="B1906" s="326"/>
      <c r="C1906" s="458"/>
      <c r="D1906" s="439"/>
      <c r="E1906" s="439"/>
      <c r="F1906" s="439"/>
      <c r="G1906" s="439"/>
      <c r="H1906" s="439"/>
      <c r="I1906" s="439"/>
      <c r="J1906" s="439"/>
      <c r="K1906" s="439"/>
      <c r="L1906" s="439"/>
      <c r="M1906" s="362"/>
      <c r="N1906" s="299"/>
      <c r="O1906" s="362"/>
      <c r="P1906" s="448"/>
      <c r="Q1906" s="440"/>
      <c r="R1906" s="403" t="str">
        <f t="shared" si="147"/>
        <v>DELETE</v>
      </c>
    </row>
    <row r="1907" spans="2:18" ht="31.5" customHeight="1" x14ac:dyDescent="0.45">
      <c r="B1907" s="323"/>
      <c r="C1907" s="417"/>
      <c r="L1907" s="405"/>
      <c r="M1907" s="421"/>
      <c r="N1907" s="400"/>
      <c r="O1907" s="344">
        <f>Criteria!E22</f>
        <v>2024</v>
      </c>
      <c r="Q1907" s="442"/>
      <c r="R1907" s="403" t="str">
        <f t="shared" si="147"/>
        <v>DELETE</v>
      </c>
    </row>
    <row r="1908" spans="2:18" ht="31.5" customHeight="1" x14ac:dyDescent="0.45">
      <c r="B1908" s="323"/>
      <c r="C1908" s="417"/>
      <c r="L1908" s="405"/>
      <c r="M1908" s="421"/>
      <c r="N1908" s="400"/>
      <c r="O1908" s="347"/>
      <c r="Q1908" s="442"/>
      <c r="R1908" s="403" t="str">
        <f t="shared" si="147"/>
        <v>DELETE</v>
      </c>
    </row>
    <row r="1909" spans="2:18" ht="31.5" customHeight="1" x14ac:dyDescent="0.45">
      <c r="B1909" s="323">
        <f>MAX(B$559:B1908)+1</f>
        <v>25</v>
      </c>
      <c r="C1909" s="417" t="s">
        <v>421</v>
      </c>
      <c r="L1909" s="405"/>
      <c r="M1909" s="421"/>
      <c r="N1909" s="400"/>
      <c r="O1909" s="347"/>
      <c r="Q1909" s="442"/>
      <c r="R1909" s="403" t="str">
        <f t="shared" si="147"/>
        <v>DELETE</v>
      </c>
    </row>
    <row r="1910" spans="2:18" ht="31.5" customHeight="1" x14ac:dyDescent="0.45">
      <c r="B1910" s="323"/>
      <c r="C1910" s="417"/>
      <c r="D1910" s="400" t="s">
        <v>422</v>
      </c>
      <c r="L1910" s="405"/>
      <c r="M1910" s="421"/>
      <c r="N1910" s="400"/>
      <c r="O1910" s="347">
        <f>-TrialBalance!L379-TrialBalance!L378</f>
        <v>0</v>
      </c>
      <c r="Q1910" s="442"/>
      <c r="R1910" s="403" t="str">
        <f t="shared" ref="R1910:R1915" si="148">IF(O1910=0,"DELETE"," ")</f>
        <v>DELETE</v>
      </c>
    </row>
    <row r="1911" spans="2:18" ht="31.5" customHeight="1" x14ac:dyDescent="0.45">
      <c r="B1911" s="323"/>
      <c r="C1911" s="417"/>
      <c r="D1911" s="400" t="s">
        <v>579</v>
      </c>
      <c r="L1911" s="405"/>
      <c r="M1911" s="421"/>
      <c r="N1911" s="400"/>
      <c r="O1911" s="347">
        <f>-TrialBalance!L380</f>
        <v>0</v>
      </c>
      <c r="Q1911" s="442"/>
      <c r="R1911" s="403" t="str">
        <f t="shared" si="148"/>
        <v>DELETE</v>
      </c>
    </row>
    <row r="1912" spans="2:18" ht="31.5" customHeight="1" x14ac:dyDescent="0.45">
      <c r="B1912" s="323"/>
      <c r="C1912" s="417"/>
      <c r="D1912" s="400" t="s">
        <v>754</v>
      </c>
      <c r="L1912" s="405"/>
      <c r="M1912" s="421"/>
      <c r="N1912" s="400"/>
      <c r="O1912" s="347">
        <f>-TrialBalance!L381</f>
        <v>0</v>
      </c>
      <c r="Q1912" s="442"/>
      <c r="R1912" s="403" t="str">
        <f t="shared" si="148"/>
        <v>DELETE</v>
      </c>
    </row>
    <row r="1913" spans="2:18" ht="31.5" customHeight="1" x14ac:dyDescent="0.45">
      <c r="B1913" s="323"/>
      <c r="C1913" s="417"/>
      <c r="D1913" s="400" t="s">
        <v>580</v>
      </c>
      <c r="L1913" s="405"/>
      <c r="M1913" s="421"/>
      <c r="N1913" s="400"/>
      <c r="O1913" s="347">
        <f>-TrialBalance!L382</f>
        <v>0</v>
      </c>
      <c r="Q1913" s="442"/>
      <c r="R1913" s="403" t="str">
        <f t="shared" si="148"/>
        <v>DELETE</v>
      </c>
    </row>
    <row r="1914" spans="2:18" ht="31.5" customHeight="1" x14ac:dyDescent="0.45">
      <c r="B1914" s="323"/>
      <c r="C1914" s="417"/>
      <c r="D1914" s="400" t="s">
        <v>749</v>
      </c>
      <c r="L1914" s="405"/>
      <c r="M1914" s="421"/>
      <c r="N1914" s="400"/>
      <c r="O1914" s="347">
        <f>-TrialBalance!L383</f>
        <v>0</v>
      </c>
      <c r="Q1914" s="442"/>
      <c r="R1914" s="403" t="str">
        <f t="shared" si="148"/>
        <v>DELETE</v>
      </c>
    </row>
    <row r="1915" spans="2:18" ht="31.5" customHeight="1" x14ac:dyDescent="0.45">
      <c r="B1915" s="323"/>
      <c r="C1915" s="417"/>
      <c r="D1915" s="400" t="s">
        <v>565</v>
      </c>
      <c r="L1915" s="405"/>
      <c r="M1915" s="421"/>
      <c r="N1915" s="400"/>
      <c r="O1915" s="347">
        <f>IF(TrialBalance!L398&lt;0,-TrialBalance!L398,0)</f>
        <v>0</v>
      </c>
      <c r="Q1915" s="442"/>
      <c r="R1915" s="403" t="str">
        <f t="shared" si="148"/>
        <v>DELETE</v>
      </c>
    </row>
    <row r="1916" spans="2:18" ht="9" customHeight="1" x14ac:dyDescent="0.45">
      <c r="B1916" s="323"/>
      <c r="C1916" s="417"/>
      <c r="L1916" s="405"/>
      <c r="M1916" s="421"/>
      <c r="N1916" s="400"/>
      <c r="O1916" s="349"/>
      <c r="Q1916" s="442"/>
      <c r="R1916" s="403" t="str">
        <f t="shared" ref="R1916:R1924" si="149">R$1918</f>
        <v>DELETE</v>
      </c>
    </row>
    <row r="1917" spans="2:18" ht="9" customHeight="1" x14ac:dyDescent="0.45">
      <c r="B1917" s="323"/>
      <c r="C1917" s="417"/>
      <c r="L1917" s="405"/>
      <c r="M1917" s="421"/>
      <c r="N1917" s="400"/>
      <c r="O1917" s="347"/>
      <c r="Q1917" s="442"/>
      <c r="R1917" s="403" t="str">
        <f t="shared" si="149"/>
        <v>DELETE</v>
      </c>
    </row>
    <row r="1918" spans="2:18" ht="31.5" customHeight="1" x14ac:dyDescent="0.45">
      <c r="B1918" s="323"/>
      <c r="C1918" s="417"/>
      <c r="L1918" s="405"/>
      <c r="M1918" s="421"/>
      <c r="N1918" s="400"/>
      <c r="O1918" s="347">
        <f>SUM(O1910:O1917)</f>
        <v>0</v>
      </c>
      <c r="Q1918" s="442"/>
      <c r="R1918" s="403" t="str">
        <f t="shared" ref="R1918" si="150">IF(O1918=0,"DELETE"," ")</f>
        <v>DELETE</v>
      </c>
    </row>
    <row r="1919" spans="2:18" ht="9" customHeight="1" thickBot="1" x14ac:dyDescent="0.5">
      <c r="B1919" s="323"/>
      <c r="C1919" s="417"/>
      <c r="L1919" s="405"/>
      <c r="M1919" s="421"/>
      <c r="N1919" s="400"/>
      <c r="O1919" s="351"/>
      <c r="Q1919" s="442"/>
      <c r="R1919" s="403" t="str">
        <f t="shared" si="149"/>
        <v>DELETE</v>
      </c>
    </row>
    <row r="1920" spans="2:18" ht="9" customHeight="1" thickTop="1" x14ac:dyDescent="0.45">
      <c r="B1920" s="323"/>
      <c r="C1920" s="417"/>
      <c r="L1920" s="405"/>
      <c r="M1920" s="421"/>
      <c r="N1920" s="400"/>
      <c r="O1920" s="363"/>
      <c r="Q1920" s="442"/>
      <c r="R1920" s="403" t="str">
        <f t="shared" si="149"/>
        <v>DELETE</v>
      </c>
    </row>
    <row r="1921" spans="2:18" ht="31.5" customHeight="1" x14ac:dyDescent="0.45">
      <c r="B1921" s="323"/>
      <c r="C1921" s="417"/>
      <c r="L1921" s="405"/>
      <c r="M1921" s="421"/>
      <c r="N1921" s="400"/>
      <c r="O1921" s="347"/>
      <c r="Q1921" s="442"/>
      <c r="R1921" s="403" t="str">
        <f t="shared" si="149"/>
        <v>DELETE</v>
      </c>
    </row>
    <row r="1922" spans="2:18" ht="31.5" customHeight="1" x14ac:dyDescent="0.45">
      <c r="B1922" s="323"/>
      <c r="C1922" s="417"/>
      <c r="M1922" s="347"/>
      <c r="N1922" s="298"/>
      <c r="O1922" s="347"/>
      <c r="Q1922" s="442"/>
      <c r="R1922" s="403" t="str">
        <f t="shared" si="149"/>
        <v>DELETE</v>
      </c>
    </row>
    <row r="1923" spans="2:18" ht="31.5" customHeight="1" x14ac:dyDescent="0.45">
      <c r="B1923" s="324"/>
      <c r="C1923" s="465"/>
      <c r="D1923" s="429"/>
      <c r="E1923" s="429"/>
      <c r="F1923" s="429"/>
      <c r="G1923" s="429"/>
      <c r="H1923" s="429"/>
      <c r="I1923" s="429"/>
      <c r="J1923" s="429"/>
      <c r="K1923" s="429"/>
      <c r="L1923" s="429"/>
      <c r="M1923" s="349"/>
      <c r="N1923" s="300"/>
      <c r="O1923" s="349"/>
      <c r="P1923" s="433"/>
      <c r="Q1923" s="446"/>
      <c r="R1923" s="403" t="str">
        <f t="shared" si="149"/>
        <v>DELETE</v>
      </c>
    </row>
    <row r="1924" spans="2:18" ht="31.5" customHeight="1" x14ac:dyDescent="0.45">
      <c r="B1924" s="325"/>
      <c r="C1924" s="417"/>
      <c r="M1924" s="347"/>
      <c r="N1924" s="298"/>
      <c r="O1924" s="347"/>
      <c r="R1924" s="403" t="str">
        <f t="shared" si="149"/>
        <v>DELETE</v>
      </c>
    </row>
    <row r="1925" spans="2:18" ht="31.5" customHeight="1" x14ac:dyDescent="0.45">
      <c r="B1925" s="422"/>
      <c r="M1925" s="426"/>
      <c r="N1925" s="406"/>
      <c r="O1925" s="426"/>
      <c r="R1925" s="403" t="str">
        <f>R$1944</f>
        <v>DELETE</v>
      </c>
    </row>
    <row r="1926" spans="2:18" ht="31.5" customHeight="1" x14ac:dyDescent="0.45">
      <c r="B1926" s="422"/>
      <c r="D1926" s="417" t="str">
        <f>Criteria!E9</f>
        <v>HOLDING COMPANY 268 (PROPRIETARY) LIMITED</v>
      </c>
      <c r="M1926" s="426"/>
      <c r="N1926" s="406"/>
      <c r="O1926" s="347" t="s">
        <v>96</v>
      </c>
      <c r="Q1926" s="292">
        <f>MAX($Q$114:Q1925)+1</f>
        <v>48</v>
      </c>
      <c r="R1926" s="403" t="str">
        <f t="shared" ref="R1926:R1930" si="151">R$1944</f>
        <v>DELETE</v>
      </c>
    </row>
    <row r="1927" spans="2:18" ht="31.5" customHeight="1" x14ac:dyDescent="0.45">
      <c r="B1927" s="422"/>
      <c r="D1927" s="417" t="str">
        <f>Criteria!E10</f>
        <v>CONSOLIDATED FINANCIAL STATEMENTS</v>
      </c>
      <c r="M1927" s="426"/>
      <c r="N1927" s="406"/>
      <c r="O1927" s="426"/>
      <c r="R1927" s="403" t="str">
        <f>IF(R$1944="DELETE","DELETE",IF(D1927=0,"DELETE"," "))</f>
        <v>DELETE</v>
      </c>
    </row>
    <row r="1928" spans="2:18" ht="31.5" customHeight="1" x14ac:dyDescent="0.45">
      <c r="B1928" s="422"/>
      <c r="M1928" s="426"/>
      <c r="N1928" s="406"/>
      <c r="O1928" s="426"/>
      <c r="R1928" s="403" t="str">
        <f t="shared" si="151"/>
        <v>DELETE</v>
      </c>
    </row>
    <row r="1929" spans="2:18" ht="31.5" customHeight="1" x14ac:dyDescent="0.45">
      <c r="B1929" s="422"/>
      <c r="D1929" s="417" t="s">
        <v>377</v>
      </c>
      <c r="M1929" s="426"/>
      <c r="N1929" s="406"/>
      <c r="O1929" s="426"/>
      <c r="R1929" s="403" t="str">
        <f t="shared" si="151"/>
        <v>DELETE</v>
      </c>
    </row>
    <row r="1930" spans="2:18" ht="31.5" customHeight="1" x14ac:dyDescent="0.45">
      <c r="B1930" s="422"/>
      <c r="D1930" s="417" t="str">
        <f>Criteria!E20</f>
        <v>29 FEBRUARY 2024</v>
      </c>
      <c r="J1930" s="400" t="s">
        <v>247</v>
      </c>
      <c r="M1930" s="426"/>
      <c r="N1930" s="406"/>
      <c r="O1930" s="426"/>
      <c r="R1930" s="403" t="str">
        <f t="shared" si="151"/>
        <v>DELETE</v>
      </c>
    </row>
    <row r="1931" spans="2:18" ht="31.5" customHeight="1" x14ac:dyDescent="0.45">
      <c r="B1931" s="422"/>
      <c r="M1931" s="437"/>
      <c r="N1931" s="461"/>
      <c r="O1931" s="437"/>
      <c r="R1931" s="403" t="str">
        <f>R$1944</f>
        <v>DELETE</v>
      </c>
    </row>
    <row r="1932" spans="2:18" ht="31.5" customHeight="1" x14ac:dyDescent="0.45">
      <c r="B1932" s="457"/>
      <c r="C1932" s="439"/>
      <c r="D1932" s="439"/>
      <c r="E1932" s="439"/>
      <c r="F1932" s="439"/>
      <c r="G1932" s="439"/>
      <c r="H1932" s="439"/>
      <c r="I1932" s="439"/>
      <c r="J1932" s="439"/>
      <c r="K1932" s="439"/>
      <c r="L1932" s="439"/>
      <c r="M1932" s="469"/>
      <c r="N1932" s="470"/>
      <c r="O1932" s="469"/>
      <c r="P1932" s="448"/>
      <c r="Q1932" s="440"/>
      <c r="R1932" s="403" t="str">
        <f>R$1944</f>
        <v>DELETE</v>
      </c>
    </row>
    <row r="1933" spans="2:18" ht="31.5" customHeight="1" x14ac:dyDescent="0.45">
      <c r="B1933" s="459"/>
      <c r="L1933" s="405"/>
      <c r="M1933" s="421"/>
      <c r="N1933" s="400"/>
      <c r="O1933" s="344">
        <f>Criteria!E22</f>
        <v>2024</v>
      </c>
      <c r="Q1933" s="442"/>
      <c r="R1933" s="403" t="str">
        <f>R$1944</f>
        <v>DELETE</v>
      </c>
    </row>
    <row r="1934" spans="2:18" ht="31.5" customHeight="1" x14ac:dyDescent="0.45">
      <c r="B1934" s="323"/>
      <c r="C1934" s="417"/>
      <c r="L1934" s="405"/>
      <c r="M1934" s="421"/>
      <c r="N1934" s="400"/>
      <c r="O1934" s="347"/>
      <c r="Q1934" s="442"/>
      <c r="R1934" s="403" t="str">
        <f>R$1944</f>
        <v>DELETE</v>
      </c>
    </row>
    <row r="1935" spans="2:18" ht="31.5" customHeight="1" x14ac:dyDescent="0.45">
      <c r="B1935" s="323">
        <f>MAX(B$559:B1934)+1</f>
        <v>26</v>
      </c>
      <c r="C1935" s="417" t="str">
        <f>IF(COUNTIF(TrialBalance!L366:L371,"&lt;0")&gt;1,"BANK OVERDRAFTS","BANK OVERDRAFT")</f>
        <v>BANK OVERDRAFT</v>
      </c>
      <c r="L1935" s="405"/>
      <c r="M1935" s="421"/>
      <c r="N1935" s="400"/>
      <c r="O1935" s="347"/>
      <c r="Q1935" s="442"/>
      <c r="R1935" s="403" t="str">
        <f>R$1944</f>
        <v>DELETE</v>
      </c>
    </row>
    <row r="1936" spans="2:18" ht="31.5" customHeight="1" x14ac:dyDescent="0.45">
      <c r="B1936" s="323"/>
      <c r="C1936" s="417"/>
      <c r="D1936" s="400">
        <f>TrialBalance!C366</f>
        <v>0</v>
      </c>
      <c r="L1936" s="405"/>
      <c r="M1936" s="421"/>
      <c r="N1936" s="400"/>
      <c r="O1936" s="347">
        <f>IF(TrialBalance!L366&lt;0,-TrialBalance!L366,0)</f>
        <v>0</v>
      </c>
      <c r="Q1936" s="442"/>
      <c r="R1936" s="403" t="str">
        <f t="shared" ref="R1936:R1941" si="152">IF(O1936=0,"DELETE"," ")</f>
        <v>DELETE</v>
      </c>
    </row>
    <row r="1937" spans="2:18" ht="31.5" customHeight="1" x14ac:dyDescent="0.45">
      <c r="B1937" s="323"/>
      <c r="C1937" s="417"/>
      <c r="D1937" s="400">
        <f>TrialBalance!C367</f>
        <v>0</v>
      </c>
      <c r="L1937" s="405"/>
      <c r="M1937" s="421"/>
      <c r="N1937" s="400"/>
      <c r="O1937" s="347">
        <f>IF(TrialBalance!L367&lt;0,-TrialBalance!L367,0)</f>
        <v>0</v>
      </c>
      <c r="Q1937" s="442"/>
      <c r="R1937" s="403" t="str">
        <f t="shared" si="152"/>
        <v>DELETE</v>
      </c>
    </row>
    <row r="1938" spans="2:18" ht="31.5" customHeight="1" x14ac:dyDescent="0.45">
      <c r="B1938" s="323"/>
      <c r="C1938" s="417"/>
      <c r="D1938" s="400">
        <f>TrialBalance!C368</f>
        <v>0</v>
      </c>
      <c r="L1938" s="405"/>
      <c r="M1938" s="421"/>
      <c r="N1938" s="400"/>
      <c r="O1938" s="347">
        <f>IF(TrialBalance!L368&lt;0,-TrialBalance!L368,0)</f>
        <v>0</v>
      </c>
      <c r="Q1938" s="442"/>
      <c r="R1938" s="403" t="str">
        <f t="shared" si="152"/>
        <v>DELETE</v>
      </c>
    </row>
    <row r="1939" spans="2:18" ht="31.5" customHeight="1" x14ac:dyDescent="0.45">
      <c r="B1939" s="323"/>
      <c r="C1939" s="417"/>
      <c r="D1939" s="400">
        <f>TrialBalance!C369</f>
        <v>0</v>
      </c>
      <c r="L1939" s="405"/>
      <c r="M1939" s="421"/>
      <c r="N1939" s="400"/>
      <c r="O1939" s="347">
        <f>IF(TrialBalance!L369&lt;0,-TrialBalance!L369,0)</f>
        <v>0</v>
      </c>
      <c r="Q1939" s="442"/>
      <c r="R1939" s="403" t="str">
        <f t="shared" si="152"/>
        <v>DELETE</v>
      </c>
    </row>
    <row r="1940" spans="2:18" ht="31.5" customHeight="1" x14ac:dyDescent="0.45">
      <c r="B1940" s="323"/>
      <c r="C1940" s="417"/>
      <c r="D1940" s="400">
        <f>TrialBalance!C370</f>
        <v>0</v>
      </c>
      <c r="L1940" s="405"/>
      <c r="M1940" s="421"/>
      <c r="N1940" s="400"/>
      <c r="O1940" s="347">
        <f>IF(TrialBalance!L370&lt;0,-TrialBalance!L370,0)</f>
        <v>0</v>
      </c>
      <c r="Q1940" s="442"/>
      <c r="R1940" s="403" t="str">
        <f t="shared" si="152"/>
        <v>DELETE</v>
      </c>
    </row>
    <row r="1941" spans="2:18" ht="31.5" customHeight="1" x14ac:dyDescent="0.45">
      <c r="B1941" s="323"/>
      <c r="C1941" s="417"/>
      <c r="D1941" s="400">
        <f>TrialBalance!C371</f>
        <v>0</v>
      </c>
      <c r="L1941" s="405"/>
      <c r="M1941" s="421"/>
      <c r="N1941" s="400"/>
      <c r="O1941" s="347">
        <f>IF(TrialBalance!L371&lt;0,-TrialBalance!L371,0)</f>
        <v>0</v>
      </c>
      <c r="Q1941" s="442"/>
      <c r="R1941" s="403" t="str">
        <f t="shared" si="152"/>
        <v>DELETE</v>
      </c>
    </row>
    <row r="1942" spans="2:18" ht="9" customHeight="1" x14ac:dyDescent="0.45">
      <c r="B1942" s="323"/>
      <c r="C1942" s="417"/>
      <c r="L1942" s="405"/>
      <c r="M1942" s="421"/>
      <c r="N1942" s="400"/>
      <c r="O1942" s="349"/>
      <c r="Q1942" s="442"/>
      <c r="R1942" s="403" t="str">
        <f t="shared" ref="R1942:R1950" si="153">R$1944</f>
        <v>DELETE</v>
      </c>
    </row>
    <row r="1943" spans="2:18" ht="9" customHeight="1" x14ac:dyDescent="0.45">
      <c r="B1943" s="323"/>
      <c r="C1943" s="417"/>
      <c r="L1943" s="405"/>
      <c r="M1943" s="421"/>
      <c r="N1943" s="400"/>
      <c r="O1943" s="347"/>
      <c r="Q1943" s="442"/>
      <c r="R1943" s="403" t="str">
        <f t="shared" si="153"/>
        <v>DELETE</v>
      </c>
    </row>
    <row r="1944" spans="2:18" ht="31.5" customHeight="1" x14ac:dyDescent="0.45">
      <c r="B1944" s="323"/>
      <c r="C1944" s="417"/>
      <c r="L1944" s="405"/>
      <c r="M1944" s="421"/>
      <c r="N1944" s="400"/>
      <c r="O1944" s="347">
        <f>SUM(O1936:O1943)</f>
        <v>0</v>
      </c>
      <c r="Q1944" s="442"/>
      <c r="R1944" s="403" t="str">
        <f t="shared" ref="R1944" si="154">IF(O1944=0,"DELETE"," ")</f>
        <v>DELETE</v>
      </c>
    </row>
    <row r="1945" spans="2:18" ht="9" customHeight="1" thickBot="1" x14ac:dyDescent="0.5">
      <c r="B1945" s="323"/>
      <c r="C1945" s="417"/>
      <c r="L1945" s="405"/>
      <c r="M1945" s="421"/>
      <c r="N1945" s="400"/>
      <c r="O1945" s="351"/>
      <c r="Q1945" s="442"/>
      <c r="R1945" s="403" t="str">
        <f t="shared" si="153"/>
        <v>DELETE</v>
      </c>
    </row>
    <row r="1946" spans="2:18" ht="9" customHeight="1" thickTop="1" x14ac:dyDescent="0.45">
      <c r="B1946" s="323"/>
      <c r="C1946" s="417"/>
      <c r="L1946" s="405"/>
      <c r="M1946" s="421"/>
      <c r="N1946" s="400"/>
      <c r="O1946" s="363"/>
      <c r="Q1946" s="442"/>
      <c r="R1946" s="403" t="str">
        <f t="shared" si="153"/>
        <v>DELETE</v>
      </c>
    </row>
    <row r="1947" spans="2:18" ht="31.5" customHeight="1" x14ac:dyDescent="0.45">
      <c r="B1947" s="323"/>
      <c r="C1947" s="417"/>
      <c r="L1947" s="405"/>
      <c r="M1947" s="421"/>
      <c r="N1947" s="400"/>
      <c r="O1947" s="347"/>
      <c r="Q1947" s="442"/>
      <c r="R1947" s="403" t="str">
        <f t="shared" si="153"/>
        <v>DELETE</v>
      </c>
    </row>
    <row r="1948" spans="2:18" ht="31.5" customHeight="1" x14ac:dyDescent="0.45">
      <c r="B1948" s="323"/>
      <c r="C1948" s="417"/>
      <c r="M1948" s="347"/>
      <c r="N1948" s="298"/>
      <c r="O1948" s="347"/>
      <c r="Q1948" s="442"/>
      <c r="R1948" s="403" t="str">
        <f t="shared" si="153"/>
        <v>DELETE</v>
      </c>
    </row>
    <row r="1949" spans="2:18" ht="31.5" customHeight="1" x14ac:dyDescent="0.45">
      <c r="B1949" s="324"/>
      <c r="C1949" s="465"/>
      <c r="D1949" s="429"/>
      <c r="E1949" s="429"/>
      <c r="F1949" s="429"/>
      <c r="G1949" s="429"/>
      <c r="H1949" s="429"/>
      <c r="I1949" s="429"/>
      <c r="J1949" s="429"/>
      <c r="K1949" s="429"/>
      <c r="L1949" s="429"/>
      <c r="M1949" s="349"/>
      <c r="N1949" s="300"/>
      <c r="O1949" s="349"/>
      <c r="P1949" s="433"/>
      <c r="Q1949" s="446"/>
      <c r="R1949" s="403" t="str">
        <f t="shared" si="153"/>
        <v>DELETE</v>
      </c>
    </row>
    <row r="1950" spans="2:18" ht="31.5" customHeight="1" x14ac:dyDescent="0.45">
      <c r="B1950" s="422"/>
      <c r="M1950" s="426"/>
      <c r="N1950" s="406"/>
      <c r="O1950" s="426"/>
      <c r="R1950" s="403" t="str">
        <f t="shared" si="153"/>
        <v>DELETE</v>
      </c>
    </row>
    <row r="1951" spans="2:18" ht="31.5" customHeight="1" x14ac:dyDescent="0.45">
      <c r="B1951" s="422"/>
      <c r="M1951" s="426"/>
      <c r="N1951" s="406"/>
      <c r="O1951" s="426"/>
      <c r="R1951" s="403" t="str">
        <f>R$1967</f>
        <v>DELETE</v>
      </c>
    </row>
    <row r="1952" spans="2:18" ht="31.5" customHeight="1" x14ac:dyDescent="0.45">
      <c r="B1952" s="422"/>
      <c r="D1952" s="417" t="str">
        <f>Criteria!E9</f>
        <v>HOLDING COMPANY 268 (PROPRIETARY) LIMITED</v>
      </c>
      <c r="M1952" s="426"/>
      <c r="N1952" s="406"/>
      <c r="O1952" s="347" t="s">
        <v>96</v>
      </c>
      <c r="Q1952" s="292">
        <f>MAX($Q$114:Q1951)+1</f>
        <v>49</v>
      </c>
      <c r="R1952" s="403" t="str">
        <f t="shared" ref="R1952:R1961" si="155">R$1967</f>
        <v>DELETE</v>
      </c>
    </row>
    <row r="1953" spans="2:22" ht="31.5" customHeight="1" x14ac:dyDescent="0.45">
      <c r="B1953" s="422"/>
      <c r="D1953" s="417" t="str">
        <f>Criteria!E10</f>
        <v>CONSOLIDATED FINANCIAL STATEMENTS</v>
      </c>
      <c r="M1953" s="426"/>
      <c r="N1953" s="406"/>
      <c r="O1953" s="426"/>
      <c r="R1953" s="403" t="str">
        <f>IF(R$1967="DELETE","DELETE",IF(D1953=0,"DELETE"," "))</f>
        <v>DELETE</v>
      </c>
    </row>
    <row r="1954" spans="2:22" ht="31.5" customHeight="1" x14ac:dyDescent="0.45">
      <c r="B1954" s="422"/>
      <c r="M1954" s="426"/>
      <c r="N1954" s="406"/>
      <c r="O1954" s="426"/>
      <c r="R1954" s="403" t="str">
        <f t="shared" si="155"/>
        <v>DELETE</v>
      </c>
    </row>
    <row r="1955" spans="2:22" ht="31.5" customHeight="1" x14ac:dyDescent="0.45">
      <c r="B1955" s="422"/>
      <c r="D1955" s="417" t="s">
        <v>377</v>
      </c>
      <c r="M1955" s="426"/>
      <c r="N1955" s="406"/>
      <c r="O1955" s="426"/>
      <c r="R1955" s="403" t="str">
        <f t="shared" si="155"/>
        <v>DELETE</v>
      </c>
    </row>
    <row r="1956" spans="2:22" ht="31.5" customHeight="1" x14ac:dyDescent="0.45">
      <c r="B1956" s="422"/>
      <c r="D1956" s="417" t="str">
        <f>Criteria!E20</f>
        <v>29 FEBRUARY 2024</v>
      </c>
      <c r="J1956" s="400" t="s">
        <v>247</v>
      </c>
      <c r="M1956" s="426"/>
      <c r="N1956" s="406"/>
      <c r="O1956" s="426"/>
      <c r="R1956" s="403" t="str">
        <f t="shared" si="155"/>
        <v>DELETE</v>
      </c>
    </row>
    <row r="1957" spans="2:22" ht="31.5" customHeight="1" x14ac:dyDescent="0.45">
      <c r="B1957" s="422"/>
      <c r="D1957" s="417"/>
      <c r="M1957" s="426"/>
      <c r="N1957" s="406"/>
      <c r="O1957" s="426"/>
      <c r="R1957" s="403" t="str">
        <f t="shared" si="155"/>
        <v>DELETE</v>
      </c>
    </row>
    <row r="1958" spans="2:22" ht="31.5" customHeight="1" x14ac:dyDescent="0.45">
      <c r="B1958" s="326"/>
      <c r="C1958" s="458"/>
      <c r="D1958" s="439"/>
      <c r="E1958" s="439"/>
      <c r="F1958" s="439"/>
      <c r="G1958" s="439"/>
      <c r="H1958" s="439"/>
      <c r="I1958" s="439"/>
      <c r="J1958" s="439"/>
      <c r="K1958" s="439"/>
      <c r="L1958" s="439"/>
      <c r="M1958" s="362"/>
      <c r="N1958" s="299"/>
      <c r="O1958" s="362"/>
      <c r="P1958" s="448"/>
      <c r="Q1958" s="440"/>
      <c r="R1958" s="403" t="str">
        <f t="shared" si="155"/>
        <v>DELETE</v>
      </c>
    </row>
    <row r="1959" spans="2:22" ht="31.5" customHeight="1" x14ac:dyDescent="0.45">
      <c r="B1959" s="323"/>
      <c r="C1959" s="417"/>
      <c r="L1959" s="405"/>
      <c r="M1959" s="421"/>
      <c r="N1959" s="400"/>
      <c r="O1959" s="344">
        <f>Criteria!E22</f>
        <v>2024</v>
      </c>
      <c r="Q1959" s="442"/>
      <c r="R1959" s="403" t="str">
        <f t="shared" si="155"/>
        <v>DELETE</v>
      </c>
    </row>
    <row r="1960" spans="2:22" ht="31.5" customHeight="1" x14ac:dyDescent="0.45">
      <c r="B1960" s="323"/>
      <c r="C1960" s="417"/>
      <c r="L1960" s="405"/>
      <c r="M1960" s="421"/>
      <c r="N1960" s="400"/>
      <c r="O1960" s="347"/>
      <c r="Q1960" s="442"/>
      <c r="R1960" s="403" t="str">
        <f t="shared" si="155"/>
        <v>DELETE</v>
      </c>
    </row>
    <row r="1961" spans="2:22" ht="31.5" customHeight="1" x14ac:dyDescent="0.45">
      <c r="B1961" s="323">
        <f>MAX(B$559:B1960)+1</f>
        <v>27</v>
      </c>
      <c r="C1961" s="417" t="str">
        <f>IF(COUNTIF(TrialBalance!L374:L376,"&lt;0")&gt;1,"SHORT TERM LOANS","SHORT TERM LOAN")</f>
        <v>SHORT TERM LOAN</v>
      </c>
      <c r="L1961" s="405"/>
      <c r="M1961" s="421"/>
      <c r="N1961" s="400"/>
      <c r="O1961" s="347"/>
      <c r="Q1961" s="442"/>
      <c r="R1961" s="403" t="str">
        <f t="shared" si="155"/>
        <v>DELETE</v>
      </c>
    </row>
    <row r="1962" spans="2:22" ht="31.5" customHeight="1" x14ac:dyDescent="0.45">
      <c r="B1962" s="323"/>
      <c r="C1962" s="417"/>
      <c r="D1962" s="400">
        <f>TrialBalance!C374</f>
        <v>0</v>
      </c>
      <c r="L1962" s="405"/>
      <c r="M1962" s="421"/>
      <c r="N1962" s="400"/>
      <c r="O1962" s="347">
        <f>-TrialBalance!L374</f>
        <v>0</v>
      </c>
      <c r="Q1962" s="442"/>
      <c r="R1962" s="403" t="str">
        <f t="shared" ref="R1962:R1964" si="156">IF(O1962=0,"DELETE"," ")</f>
        <v>DELETE</v>
      </c>
      <c r="S1962" s="380"/>
      <c r="T1962" s="380"/>
      <c r="U1962" s="381"/>
      <c r="V1962" s="381"/>
    </row>
    <row r="1963" spans="2:22" ht="31.5" customHeight="1" x14ac:dyDescent="0.45">
      <c r="B1963" s="323"/>
      <c r="C1963" s="417"/>
      <c r="D1963" s="400">
        <f>TrialBalance!C375</f>
        <v>0</v>
      </c>
      <c r="L1963" s="405"/>
      <c r="M1963" s="421"/>
      <c r="N1963" s="400"/>
      <c r="O1963" s="347">
        <f>-TrialBalance!L375</f>
        <v>0</v>
      </c>
      <c r="Q1963" s="442"/>
      <c r="R1963" s="403" t="str">
        <f t="shared" si="156"/>
        <v>DELETE</v>
      </c>
      <c r="S1963" s="380"/>
      <c r="T1963" s="380"/>
      <c r="U1963" s="381"/>
      <c r="V1963" s="381"/>
    </row>
    <row r="1964" spans="2:22" ht="31.5" customHeight="1" x14ac:dyDescent="0.45">
      <c r="B1964" s="323"/>
      <c r="C1964" s="417"/>
      <c r="D1964" s="400">
        <f>TrialBalance!C376</f>
        <v>0</v>
      </c>
      <c r="L1964" s="405"/>
      <c r="M1964" s="421"/>
      <c r="N1964" s="400"/>
      <c r="O1964" s="347">
        <f>-TrialBalance!L376</f>
        <v>0</v>
      </c>
      <c r="Q1964" s="442"/>
      <c r="R1964" s="403" t="str">
        <f t="shared" si="156"/>
        <v>DELETE</v>
      </c>
      <c r="S1964" s="380"/>
      <c r="T1964" s="380"/>
      <c r="U1964" s="381"/>
      <c r="V1964" s="381"/>
    </row>
    <row r="1965" spans="2:22" ht="9" customHeight="1" x14ac:dyDescent="0.45">
      <c r="B1965" s="323"/>
      <c r="C1965" s="417"/>
      <c r="L1965" s="405"/>
      <c r="M1965" s="421"/>
      <c r="N1965" s="400"/>
      <c r="O1965" s="349"/>
      <c r="Q1965" s="442"/>
      <c r="R1965" s="403" t="str">
        <f t="shared" ref="R1965:R1973" si="157">R$1967</f>
        <v>DELETE</v>
      </c>
    </row>
    <row r="1966" spans="2:22" ht="9" customHeight="1" x14ac:dyDescent="0.45">
      <c r="B1966" s="323"/>
      <c r="C1966" s="417"/>
      <c r="L1966" s="405"/>
      <c r="M1966" s="421"/>
      <c r="N1966" s="400"/>
      <c r="O1966" s="347"/>
      <c r="Q1966" s="442"/>
      <c r="R1966" s="403" t="str">
        <f t="shared" si="157"/>
        <v>DELETE</v>
      </c>
    </row>
    <row r="1967" spans="2:22" ht="31.5" customHeight="1" x14ac:dyDescent="0.45">
      <c r="B1967" s="323"/>
      <c r="C1967" s="417"/>
      <c r="L1967" s="405"/>
      <c r="M1967" s="421"/>
      <c r="N1967" s="400"/>
      <c r="O1967" s="347">
        <f>SUM(O1962:O1966)</f>
        <v>0</v>
      </c>
      <c r="Q1967" s="442"/>
      <c r="R1967" s="403" t="str">
        <f t="shared" ref="R1967" si="158">IF(O1967=0,"DELETE"," ")</f>
        <v>DELETE</v>
      </c>
    </row>
    <row r="1968" spans="2:22" ht="9" customHeight="1" thickBot="1" x14ac:dyDescent="0.5">
      <c r="B1968" s="323"/>
      <c r="C1968" s="417"/>
      <c r="L1968" s="405"/>
      <c r="M1968" s="421"/>
      <c r="N1968" s="400"/>
      <c r="O1968" s="351"/>
      <c r="Q1968" s="442"/>
      <c r="R1968" s="403" t="str">
        <f t="shared" si="157"/>
        <v>DELETE</v>
      </c>
    </row>
    <row r="1969" spans="2:18" ht="9" customHeight="1" thickTop="1" x14ac:dyDescent="0.45">
      <c r="B1969" s="323"/>
      <c r="C1969" s="417"/>
      <c r="L1969" s="405"/>
      <c r="M1969" s="421"/>
      <c r="N1969" s="400"/>
      <c r="O1969" s="363"/>
      <c r="Q1969" s="442"/>
      <c r="R1969" s="403" t="str">
        <f t="shared" si="157"/>
        <v>DELETE</v>
      </c>
    </row>
    <row r="1970" spans="2:18" ht="31.5" customHeight="1" x14ac:dyDescent="0.45">
      <c r="B1970" s="323"/>
      <c r="C1970" s="417"/>
      <c r="L1970" s="405"/>
      <c r="M1970" s="421"/>
      <c r="N1970" s="400"/>
      <c r="O1970" s="347"/>
      <c r="Q1970" s="442"/>
      <c r="R1970" s="403" t="str">
        <f t="shared" si="157"/>
        <v>DELETE</v>
      </c>
    </row>
    <row r="1971" spans="2:18" ht="31.5" customHeight="1" x14ac:dyDescent="0.45">
      <c r="B1971" s="323"/>
      <c r="C1971" s="417"/>
      <c r="M1971" s="347"/>
      <c r="N1971" s="298"/>
      <c r="O1971" s="347"/>
      <c r="Q1971" s="442"/>
      <c r="R1971" s="403" t="str">
        <f t="shared" si="157"/>
        <v>DELETE</v>
      </c>
    </row>
    <row r="1972" spans="2:18" ht="31.5" customHeight="1" x14ac:dyDescent="0.45">
      <c r="B1972" s="324"/>
      <c r="C1972" s="465"/>
      <c r="D1972" s="429"/>
      <c r="E1972" s="429"/>
      <c r="F1972" s="429"/>
      <c r="G1972" s="429"/>
      <c r="H1972" s="429"/>
      <c r="I1972" s="429"/>
      <c r="J1972" s="429"/>
      <c r="K1972" s="429"/>
      <c r="L1972" s="429"/>
      <c r="M1972" s="349"/>
      <c r="N1972" s="300"/>
      <c r="O1972" s="349"/>
      <c r="P1972" s="433"/>
      <c r="Q1972" s="446"/>
      <c r="R1972" s="403" t="str">
        <f t="shared" si="157"/>
        <v>DELETE</v>
      </c>
    </row>
    <row r="1973" spans="2:18" ht="31.5" customHeight="1" x14ac:dyDescent="0.45">
      <c r="B1973" s="422"/>
      <c r="M1973" s="426"/>
      <c r="N1973" s="406"/>
      <c r="O1973" s="426"/>
      <c r="R1973" s="403" t="str">
        <f t="shared" si="157"/>
        <v>DELETE</v>
      </c>
    </row>
    <row r="1974" spans="2:18" ht="31.5" customHeight="1" x14ac:dyDescent="0.45">
      <c r="B1974" s="422"/>
      <c r="M1974" s="426"/>
      <c r="N1974" s="406"/>
      <c r="O1974" s="426"/>
      <c r="R1974" s="403" t="str">
        <f>R$1992</f>
        <v>DELETE</v>
      </c>
    </row>
    <row r="1975" spans="2:18" ht="31.5" customHeight="1" x14ac:dyDescent="0.45">
      <c r="B1975" s="422"/>
      <c r="D1975" s="417" t="str">
        <f>Criteria!E9</f>
        <v>HOLDING COMPANY 268 (PROPRIETARY) LIMITED</v>
      </c>
      <c r="M1975" s="426"/>
      <c r="N1975" s="406"/>
      <c r="O1975" s="347" t="s">
        <v>96</v>
      </c>
      <c r="Q1975" s="292">
        <f>MAX($Q$114:Q1974)+1</f>
        <v>50</v>
      </c>
      <c r="R1975" s="403" t="str">
        <f t="shared" ref="R1975:R1984" si="159">R$1992</f>
        <v>DELETE</v>
      </c>
    </row>
    <row r="1976" spans="2:18" ht="31.5" customHeight="1" x14ac:dyDescent="0.45">
      <c r="B1976" s="422"/>
      <c r="D1976" s="417" t="str">
        <f>Criteria!E10</f>
        <v>CONSOLIDATED FINANCIAL STATEMENTS</v>
      </c>
      <c r="M1976" s="426"/>
      <c r="N1976" s="406"/>
      <c r="O1976" s="426"/>
      <c r="R1976" s="403" t="str">
        <f>IF(R$1992="DELETE","DELETE",IF(D1976=0,"DELETE"," "))</f>
        <v>DELETE</v>
      </c>
    </row>
    <row r="1977" spans="2:18" ht="31.5" customHeight="1" x14ac:dyDescent="0.45">
      <c r="B1977" s="422"/>
      <c r="M1977" s="426"/>
      <c r="N1977" s="406"/>
      <c r="O1977" s="426"/>
      <c r="R1977" s="403" t="str">
        <f t="shared" si="159"/>
        <v>DELETE</v>
      </c>
    </row>
    <row r="1978" spans="2:18" ht="31.5" customHeight="1" x14ac:dyDescent="0.45">
      <c r="B1978" s="422"/>
      <c r="D1978" s="417" t="s">
        <v>377</v>
      </c>
      <c r="M1978" s="426"/>
      <c r="N1978" s="406"/>
      <c r="O1978" s="426"/>
      <c r="R1978" s="403" t="str">
        <f t="shared" si="159"/>
        <v>DELETE</v>
      </c>
    </row>
    <row r="1979" spans="2:18" ht="31.5" customHeight="1" x14ac:dyDescent="0.45">
      <c r="B1979" s="422"/>
      <c r="D1979" s="417" t="str">
        <f>Criteria!E20</f>
        <v>29 FEBRUARY 2024</v>
      </c>
      <c r="J1979" s="400" t="s">
        <v>247</v>
      </c>
      <c r="M1979" s="426"/>
      <c r="N1979" s="406"/>
      <c r="O1979" s="426"/>
      <c r="R1979" s="403" t="str">
        <f t="shared" si="159"/>
        <v>DELETE</v>
      </c>
    </row>
    <row r="1980" spans="2:18" ht="31.5" customHeight="1" x14ac:dyDescent="0.45">
      <c r="B1980" s="422"/>
      <c r="D1980" s="417"/>
      <c r="M1980" s="426"/>
      <c r="N1980" s="406"/>
      <c r="O1980" s="426"/>
      <c r="R1980" s="403" t="str">
        <f t="shared" si="159"/>
        <v>DELETE</v>
      </c>
    </row>
    <row r="1981" spans="2:18" ht="31.5" customHeight="1" x14ac:dyDescent="0.45">
      <c r="B1981" s="326"/>
      <c r="C1981" s="458"/>
      <c r="D1981" s="439"/>
      <c r="E1981" s="439"/>
      <c r="F1981" s="439"/>
      <c r="G1981" s="439"/>
      <c r="H1981" s="439"/>
      <c r="I1981" s="439"/>
      <c r="J1981" s="439"/>
      <c r="K1981" s="439"/>
      <c r="L1981" s="439"/>
      <c r="M1981" s="362"/>
      <c r="N1981" s="299"/>
      <c r="O1981" s="362"/>
      <c r="P1981" s="448"/>
      <c r="Q1981" s="440"/>
      <c r="R1981" s="403" t="str">
        <f t="shared" si="159"/>
        <v>DELETE</v>
      </c>
    </row>
    <row r="1982" spans="2:18" ht="31.5" customHeight="1" x14ac:dyDescent="0.45">
      <c r="B1982" s="323"/>
      <c r="C1982" s="417"/>
      <c r="L1982" s="405"/>
      <c r="M1982" s="421"/>
      <c r="N1982" s="400"/>
      <c r="O1982" s="344">
        <f>Criteria!E22</f>
        <v>2024</v>
      </c>
      <c r="Q1982" s="442"/>
      <c r="R1982" s="403" t="str">
        <f t="shared" si="159"/>
        <v>DELETE</v>
      </c>
    </row>
    <row r="1983" spans="2:18" ht="31.5" customHeight="1" x14ac:dyDescent="0.45">
      <c r="B1983" s="323"/>
      <c r="C1983" s="417"/>
      <c r="L1983" s="405"/>
      <c r="M1983" s="421"/>
      <c r="N1983" s="400"/>
      <c r="O1983" s="347"/>
      <c r="Q1983" s="442"/>
      <c r="R1983" s="403" t="str">
        <f t="shared" si="159"/>
        <v>DELETE</v>
      </c>
    </row>
    <row r="1984" spans="2:18" ht="31.5" customHeight="1" x14ac:dyDescent="0.45">
      <c r="B1984" s="323">
        <f>MAX(B$559:B1983)+1</f>
        <v>28</v>
      </c>
      <c r="C1984" s="417" t="str">
        <f>IF(COUNTIF(TrialBalance!L392:L396,"&lt;0")&gt;1,"PROVISIONS","PROVISION")</f>
        <v>PROVISION</v>
      </c>
      <c r="L1984" s="405"/>
      <c r="M1984" s="421"/>
      <c r="N1984" s="400"/>
      <c r="O1984" s="347"/>
      <c r="Q1984" s="442"/>
      <c r="R1984" s="403" t="str">
        <f t="shared" si="159"/>
        <v>DELETE</v>
      </c>
    </row>
    <row r="1985" spans="2:18" ht="31.5" customHeight="1" x14ac:dyDescent="0.45">
      <c r="B1985" s="323"/>
      <c r="C1985" s="417"/>
      <c r="D1985" s="400" t="str">
        <f>TrialBalance!C392</f>
        <v>Dividends' tax provision</v>
      </c>
      <c r="L1985" s="405"/>
      <c r="M1985" s="421"/>
      <c r="N1985" s="400"/>
      <c r="O1985" s="347">
        <f>-TrialBalance!L392</f>
        <v>0</v>
      </c>
      <c r="Q1985" s="442"/>
      <c r="R1985" s="403" t="str">
        <f t="shared" ref="R1985:R1989" si="160">IF(O1985=0,"DELETE"," ")</f>
        <v>DELETE</v>
      </c>
    </row>
    <row r="1986" spans="2:18" ht="31.5" customHeight="1" x14ac:dyDescent="0.45">
      <c r="B1986" s="323"/>
      <c r="C1986" s="417"/>
      <c r="D1986" s="400" t="str">
        <f>TrialBalance!C393</f>
        <v>Dividends payable</v>
      </c>
      <c r="L1986" s="405"/>
      <c r="M1986" s="421"/>
      <c r="N1986" s="400"/>
      <c r="O1986" s="347">
        <f>-TrialBalance!L393</f>
        <v>0</v>
      </c>
      <c r="Q1986" s="442"/>
      <c r="R1986" s="403" t="str">
        <f t="shared" si="160"/>
        <v>DELETE</v>
      </c>
    </row>
    <row r="1987" spans="2:18" ht="31.5" customHeight="1" x14ac:dyDescent="0.45">
      <c r="B1987" s="323"/>
      <c r="C1987" s="417"/>
      <c r="D1987" s="400" t="str">
        <f>TrialBalance!C394</f>
        <v>Provision for future expenses</v>
      </c>
      <c r="L1987" s="405"/>
      <c r="M1987" s="421"/>
      <c r="N1987" s="400"/>
      <c r="O1987" s="347">
        <f>-TrialBalance!L394</f>
        <v>0</v>
      </c>
      <c r="Q1987" s="442"/>
      <c r="R1987" s="403" t="str">
        <f t="shared" si="160"/>
        <v>DELETE</v>
      </c>
    </row>
    <row r="1988" spans="2:18" ht="31.5" customHeight="1" x14ac:dyDescent="0.45">
      <c r="B1988" s="323"/>
      <c r="C1988" s="417"/>
      <c r="D1988" s="400" t="str">
        <f>TrialBalance!C395</f>
        <v>Provision for insurance</v>
      </c>
      <c r="L1988" s="405"/>
      <c r="M1988" s="421"/>
      <c r="N1988" s="400"/>
      <c r="O1988" s="347">
        <f>-TrialBalance!L395</f>
        <v>0</v>
      </c>
      <c r="Q1988" s="442"/>
      <c r="R1988" s="403" t="str">
        <f t="shared" si="160"/>
        <v>DELETE</v>
      </c>
    </row>
    <row r="1989" spans="2:18" ht="31.5" customHeight="1" x14ac:dyDescent="0.45">
      <c r="B1989" s="323"/>
      <c r="C1989" s="417"/>
      <c r="D1989" s="400" t="str">
        <f>TrialBalance!C396</f>
        <v>Provision for salary bonus</v>
      </c>
      <c r="L1989" s="405"/>
      <c r="M1989" s="421"/>
      <c r="N1989" s="400"/>
      <c r="O1989" s="347">
        <f>-TrialBalance!L396</f>
        <v>0</v>
      </c>
      <c r="Q1989" s="442"/>
      <c r="R1989" s="403" t="str">
        <f t="shared" si="160"/>
        <v>DELETE</v>
      </c>
    </row>
    <row r="1990" spans="2:18" ht="9" customHeight="1" x14ac:dyDescent="0.45">
      <c r="B1990" s="323"/>
      <c r="C1990" s="417"/>
      <c r="L1990" s="405"/>
      <c r="M1990" s="421"/>
      <c r="N1990" s="400"/>
      <c r="O1990" s="349"/>
      <c r="Q1990" s="442"/>
      <c r="R1990" s="403" t="str">
        <f t="shared" ref="R1990:R1998" si="161">R$1992</f>
        <v>DELETE</v>
      </c>
    </row>
    <row r="1991" spans="2:18" ht="9" customHeight="1" x14ac:dyDescent="0.45">
      <c r="B1991" s="323"/>
      <c r="C1991" s="417"/>
      <c r="L1991" s="405"/>
      <c r="M1991" s="421"/>
      <c r="N1991" s="400"/>
      <c r="O1991" s="347"/>
      <c r="Q1991" s="442"/>
      <c r="R1991" s="403" t="str">
        <f t="shared" si="161"/>
        <v>DELETE</v>
      </c>
    </row>
    <row r="1992" spans="2:18" ht="31.5" customHeight="1" x14ac:dyDescent="0.45">
      <c r="B1992" s="323"/>
      <c r="C1992" s="417"/>
      <c r="L1992" s="405"/>
      <c r="M1992" s="421"/>
      <c r="N1992" s="400"/>
      <c r="O1992" s="347">
        <f>SUM(O1985:O1991)</f>
        <v>0</v>
      </c>
      <c r="Q1992" s="442"/>
      <c r="R1992" s="403" t="str">
        <f t="shared" ref="R1992" si="162">IF(O1992=0,"DELETE"," ")</f>
        <v>DELETE</v>
      </c>
    </row>
    <row r="1993" spans="2:18" ht="9" customHeight="1" thickBot="1" x14ac:dyDescent="0.5">
      <c r="B1993" s="323"/>
      <c r="C1993" s="417"/>
      <c r="L1993" s="405"/>
      <c r="M1993" s="421"/>
      <c r="N1993" s="400"/>
      <c r="O1993" s="351"/>
      <c r="Q1993" s="442"/>
      <c r="R1993" s="403" t="str">
        <f t="shared" si="161"/>
        <v>DELETE</v>
      </c>
    </row>
    <row r="1994" spans="2:18" ht="9" customHeight="1" thickTop="1" x14ac:dyDescent="0.45">
      <c r="B1994" s="323"/>
      <c r="C1994" s="417"/>
      <c r="L1994" s="405"/>
      <c r="M1994" s="421"/>
      <c r="N1994" s="400"/>
      <c r="O1994" s="363"/>
      <c r="Q1994" s="442"/>
      <c r="R1994" s="403" t="str">
        <f t="shared" si="161"/>
        <v>DELETE</v>
      </c>
    </row>
    <row r="1995" spans="2:18" ht="31.5" customHeight="1" x14ac:dyDescent="0.45">
      <c r="B1995" s="323"/>
      <c r="C1995" s="417"/>
      <c r="L1995" s="405"/>
      <c r="M1995" s="421"/>
      <c r="N1995" s="400"/>
      <c r="O1995" s="347"/>
      <c r="Q1995" s="442"/>
      <c r="R1995" s="403" t="str">
        <f t="shared" si="161"/>
        <v>DELETE</v>
      </c>
    </row>
    <row r="1996" spans="2:18" ht="31.5" customHeight="1" x14ac:dyDescent="0.45">
      <c r="B1996" s="323"/>
      <c r="C1996" s="417"/>
      <c r="M1996" s="347"/>
      <c r="N1996" s="298"/>
      <c r="O1996" s="347"/>
      <c r="Q1996" s="442"/>
      <c r="R1996" s="403" t="str">
        <f t="shared" si="161"/>
        <v>DELETE</v>
      </c>
    </row>
    <row r="1997" spans="2:18" ht="31.5" customHeight="1" x14ac:dyDescent="0.45">
      <c r="B1997" s="324"/>
      <c r="C1997" s="465"/>
      <c r="D1997" s="429"/>
      <c r="E1997" s="429"/>
      <c r="F1997" s="429"/>
      <c r="G1997" s="429"/>
      <c r="H1997" s="429"/>
      <c r="I1997" s="429"/>
      <c r="J1997" s="429"/>
      <c r="K1997" s="429"/>
      <c r="L1997" s="429"/>
      <c r="M1997" s="349"/>
      <c r="N1997" s="300"/>
      <c r="O1997" s="349"/>
      <c r="P1997" s="433"/>
      <c r="Q1997" s="446"/>
      <c r="R1997" s="403" t="str">
        <f t="shared" si="161"/>
        <v>DELETE</v>
      </c>
    </row>
    <row r="1998" spans="2:18" ht="31.5" customHeight="1" x14ac:dyDescent="0.45">
      <c r="B1998" s="325"/>
      <c r="C1998" s="417"/>
      <c r="M1998" s="347"/>
      <c r="N1998" s="298"/>
      <c r="O1998" s="347"/>
      <c r="R1998" s="403" t="str">
        <f t="shared" si="161"/>
        <v>DELETE</v>
      </c>
    </row>
    <row r="1999" spans="2:18" ht="31.5" customHeight="1" x14ac:dyDescent="0.45">
      <c r="B1999" s="325"/>
      <c r="C1999" s="417"/>
      <c r="M1999" s="347"/>
      <c r="N1999" s="298"/>
      <c r="O1999" s="347"/>
      <c r="R1999" s="403" t="str">
        <f t="shared" ref="R1999:R2009" si="163">R$2019</f>
        <v>DELETE</v>
      </c>
    </row>
    <row r="2000" spans="2:18" ht="31.5" customHeight="1" x14ac:dyDescent="0.45">
      <c r="B2000" s="325"/>
      <c r="C2000" s="417"/>
      <c r="D2000" s="417" t="str">
        <f>Criteria!E9</f>
        <v>HOLDING COMPANY 268 (PROPRIETARY) LIMITED</v>
      </c>
      <c r="M2000" s="426"/>
      <c r="N2000" s="406"/>
      <c r="O2000" s="347" t="s">
        <v>96</v>
      </c>
      <c r="Q2000" s="292">
        <f>MAX($Q$114:Q1999)+1</f>
        <v>51</v>
      </c>
      <c r="R2000" s="403" t="str">
        <f t="shared" si="163"/>
        <v>DELETE</v>
      </c>
    </row>
    <row r="2001" spans="2:23" ht="31.5" customHeight="1" x14ac:dyDescent="0.45">
      <c r="B2001" s="325"/>
      <c r="C2001" s="417"/>
      <c r="D2001" s="417" t="str">
        <f>Criteria!E10</f>
        <v>CONSOLIDATED FINANCIAL STATEMENTS</v>
      </c>
      <c r="M2001" s="426"/>
      <c r="N2001" s="406"/>
      <c r="O2001" s="426"/>
      <c r="R2001" s="403" t="str">
        <f>IF(R$2019="DELETE","DELETE",IF(D2001=0,"DELETE"," "))</f>
        <v>DELETE</v>
      </c>
    </row>
    <row r="2002" spans="2:23" ht="31.5" customHeight="1" x14ac:dyDescent="0.45">
      <c r="B2002" s="325"/>
      <c r="C2002" s="417"/>
      <c r="M2002" s="426"/>
      <c r="N2002" s="406"/>
      <c r="O2002" s="426"/>
      <c r="R2002" s="403" t="str">
        <f t="shared" si="163"/>
        <v>DELETE</v>
      </c>
    </row>
    <row r="2003" spans="2:23" ht="31.5" customHeight="1" x14ac:dyDescent="0.45">
      <c r="B2003" s="325"/>
      <c r="C2003" s="417"/>
      <c r="D2003" s="417" t="s">
        <v>377</v>
      </c>
      <c r="M2003" s="426"/>
      <c r="N2003" s="406"/>
      <c r="O2003" s="426"/>
      <c r="R2003" s="403" t="str">
        <f t="shared" si="163"/>
        <v>DELETE</v>
      </c>
    </row>
    <row r="2004" spans="2:23" ht="31.5" customHeight="1" x14ac:dyDescent="0.45">
      <c r="B2004" s="325"/>
      <c r="C2004" s="417"/>
      <c r="D2004" s="417" t="str">
        <f>Criteria!E20</f>
        <v>29 FEBRUARY 2024</v>
      </c>
      <c r="J2004" s="400" t="s">
        <v>247</v>
      </c>
      <c r="M2004" s="426"/>
      <c r="N2004" s="406"/>
      <c r="O2004" s="426"/>
      <c r="R2004" s="403" t="str">
        <f t="shared" si="163"/>
        <v>DELETE</v>
      </c>
    </row>
    <row r="2005" spans="2:23" ht="31.5" customHeight="1" x14ac:dyDescent="0.45">
      <c r="B2005" s="325"/>
      <c r="C2005" s="417"/>
      <c r="M2005" s="347"/>
      <c r="N2005" s="298"/>
      <c r="O2005" s="347"/>
      <c r="R2005" s="403" t="str">
        <f t="shared" si="163"/>
        <v>DELETE</v>
      </c>
    </row>
    <row r="2006" spans="2:23" ht="31.5" customHeight="1" x14ac:dyDescent="0.45">
      <c r="B2006" s="326"/>
      <c r="C2006" s="458"/>
      <c r="D2006" s="439"/>
      <c r="E2006" s="439"/>
      <c r="F2006" s="439"/>
      <c r="G2006" s="439"/>
      <c r="H2006" s="439"/>
      <c r="I2006" s="439"/>
      <c r="J2006" s="439"/>
      <c r="K2006" s="439"/>
      <c r="L2006" s="439"/>
      <c r="M2006" s="362"/>
      <c r="N2006" s="299"/>
      <c r="O2006" s="362"/>
      <c r="P2006" s="448"/>
      <c r="Q2006" s="440"/>
      <c r="R2006" s="403" t="str">
        <f t="shared" si="163"/>
        <v>DELETE</v>
      </c>
    </row>
    <row r="2007" spans="2:23" ht="31.5" customHeight="1" x14ac:dyDescent="0.45">
      <c r="B2007" s="323"/>
      <c r="C2007" s="417"/>
      <c r="M2007" s="363"/>
      <c r="N2007" s="314"/>
      <c r="O2007" s="344">
        <f>Criteria!E22</f>
        <v>2024</v>
      </c>
      <c r="P2007" s="425"/>
      <c r="Q2007" s="442"/>
      <c r="R2007" s="403" t="str">
        <f t="shared" si="163"/>
        <v>DELETE</v>
      </c>
    </row>
    <row r="2008" spans="2:23" ht="31.5" customHeight="1" x14ac:dyDescent="0.45">
      <c r="B2008" s="323"/>
      <c r="C2008" s="417"/>
      <c r="M2008" s="363"/>
      <c r="N2008" s="314"/>
      <c r="O2008" s="363"/>
      <c r="P2008" s="425"/>
      <c r="Q2008" s="442"/>
      <c r="R2008" s="403" t="str">
        <f t="shared" si="163"/>
        <v>DELETE</v>
      </c>
    </row>
    <row r="2009" spans="2:23" ht="31.5" customHeight="1" x14ac:dyDescent="0.45">
      <c r="B2009" s="323">
        <f>MAX(B$559:B2008)+1</f>
        <v>29</v>
      </c>
      <c r="C2009" s="315" t="str">
        <f>IF(W2019=2,"CURRENT TAX LIABILITY","CURRENT TAX ASSET")</f>
        <v>CURRENT TAX LIABILITY</v>
      </c>
      <c r="D2009" s="405"/>
      <c r="M2009" s="314"/>
      <c r="N2009" s="314"/>
      <c r="O2009" s="363"/>
      <c r="P2009" s="425"/>
      <c r="Q2009" s="442"/>
      <c r="R2009" s="403" t="str">
        <f t="shared" si="163"/>
        <v>DELETE</v>
      </c>
    </row>
    <row r="2010" spans="2:23" ht="31.5" customHeight="1" x14ac:dyDescent="0.45">
      <c r="B2010" s="323"/>
      <c r="C2010" s="417"/>
      <c r="D2010" s="297" t="str">
        <f>IF(W2010=2,"Current tax liability at the beginning of the year","Current tax asset at the beginning of the year")</f>
        <v>Current tax liability at the beginning of the year</v>
      </c>
      <c r="M2010" s="314"/>
      <c r="N2010" s="314"/>
      <c r="O2010" s="363">
        <f>-TrialBalance!L385</f>
        <v>0</v>
      </c>
      <c r="P2010" s="425"/>
      <c r="Q2010" s="442"/>
      <c r="R2010" s="403" t="str">
        <f t="shared" ref="R2010:R2016" si="164">IF(O2010=0,"DELETE"," ")</f>
        <v>DELETE</v>
      </c>
      <c r="W2010" s="378">
        <f>IF(O2010&lt;0,1,2)</f>
        <v>2</v>
      </c>
    </row>
    <row r="2011" spans="2:23" ht="31.5" customHeight="1" x14ac:dyDescent="0.45">
      <c r="B2011" s="323"/>
      <c r="C2011" s="417"/>
      <c r="D2011" s="400" t="s">
        <v>1194</v>
      </c>
      <c r="M2011" s="314"/>
      <c r="N2011" s="314"/>
      <c r="O2011" s="363">
        <f>-TrialBalance!L386</f>
        <v>0</v>
      </c>
      <c r="P2011" s="425"/>
      <c r="Q2011" s="442"/>
      <c r="R2011" s="403" t="str">
        <f t="shared" si="164"/>
        <v>DELETE</v>
      </c>
    </row>
    <row r="2012" spans="2:23" ht="31.5" customHeight="1" x14ac:dyDescent="0.45">
      <c r="B2012" s="323"/>
      <c r="C2012" s="417"/>
      <c r="D2012" s="400" t="s">
        <v>1195</v>
      </c>
      <c r="M2012" s="314"/>
      <c r="N2012" s="314"/>
      <c r="O2012" s="363">
        <f>-TrialBalance!L387</f>
        <v>0</v>
      </c>
      <c r="P2012" s="425"/>
      <c r="Q2012" s="442"/>
      <c r="R2012" s="403" t="str">
        <f t="shared" si="164"/>
        <v>DELETE</v>
      </c>
    </row>
    <row r="2013" spans="2:23" ht="31.5" customHeight="1" x14ac:dyDescent="0.45">
      <c r="B2013" s="323"/>
      <c r="C2013" s="417"/>
      <c r="D2013" s="400" t="s">
        <v>1196</v>
      </c>
      <c r="M2013" s="314"/>
      <c r="N2013" s="314"/>
      <c r="O2013" s="363">
        <f>-TrialBalance!L388</f>
        <v>0</v>
      </c>
      <c r="P2013" s="425"/>
      <c r="Q2013" s="442"/>
      <c r="R2013" s="403" t="str">
        <f t="shared" si="164"/>
        <v>DELETE</v>
      </c>
    </row>
    <row r="2014" spans="2:23" ht="31.5" customHeight="1" x14ac:dyDescent="0.45">
      <c r="B2014" s="323"/>
      <c r="C2014" s="417"/>
      <c r="D2014" s="400" t="s">
        <v>1197</v>
      </c>
      <c r="M2014" s="314"/>
      <c r="N2014" s="314"/>
      <c r="O2014" s="363">
        <f>-TrialBalance!L389</f>
        <v>0</v>
      </c>
      <c r="P2014" s="425"/>
      <c r="Q2014" s="442"/>
      <c r="R2014" s="403" t="str">
        <f t="shared" si="164"/>
        <v>DELETE</v>
      </c>
    </row>
    <row r="2015" spans="2:23" ht="31.5" customHeight="1" x14ac:dyDescent="0.45">
      <c r="B2015" s="323"/>
      <c r="C2015" s="417"/>
      <c r="D2015" s="400" t="s">
        <v>1198</v>
      </c>
      <c r="M2015" s="314"/>
      <c r="N2015" s="314"/>
      <c r="O2015" s="363">
        <f>-TrialBalance!L390</f>
        <v>0</v>
      </c>
      <c r="P2015" s="425"/>
      <c r="Q2015" s="442"/>
      <c r="R2015" s="403" t="str">
        <f t="shared" si="164"/>
        <v>DELETE</v>
      </c>
    </row>
    <row r="2016" spans="2:23" ht="31.5" customHeight="1" x14ac:dyDescent="0.45">
      <c r="B2016" s="323"/>
      <c r="C2016" s="417"/>
      <c r="D2016" s="400" t="s">
        <v>1199</v>
      </c>
      <c r="M2016" s="314"/>
      <c r="N2016" s="314"/>
      <c r="O2016" s="363">
        <f>-TrialBalance!L391</f>
        <v>0</v>
      </c>
      <c r="P2016" s="425"/>
      <c r="Q2016" s="442"/>
      <c r="R2016" s="403" t="str">
        <f t="shared" si="164"/>
        <v>DELETE</v>
      </c>
    </row>
    <row r="2017" spans="2:23" ht="9" customHeight="1" x14ac:dyDescent="0.45">
      <c r="B2017" s="323"/>
      <c r="C2017" s="417"/>
      <c r="M2017" s="314"/>
      <c r="N2017" s="314"/>
      <c r="O2017" s="349"/>
      <c r="P2017" s="425"/>
      <c r="Q2017" s="442"/>
      <c r="R2017" s="403" t="str">
        <f>R$2019</f>
        <v>DELETE</v>
      </c>
    </row>
    <row r="2018" spans="2:23" ht="9" customHeight="1" x14ac:dyDescent="0.45">
      <c r="B2018" s="323"/>
      <c r="C2018" s="417"/>
      <c r="M2018" s="314"/>
      <c r="N2018" s="314"/>
      <c r="O2018" s="363"/>
      <c r="P2018" s="425"/>
      <c r="Q2018" s="442"/>
      <c r="R2018" s="403" t="str">
        <f>R$2019</f>
        <v>DELETE</v>
      </c>
    </row>
    <row r="2019" spans="2:23" ht="31.5" customHeight="1" x14ac:dyDescent="0.45">
      <c r="B2019" s="323"/>
      <c r="C2019" s="417"/>
      <c r="D2019" s="297" t="str">
        <f>IF(W2019=2,"Current tax liability at the end of the year","Current tax asset at the end of the year")</f>
        <v>Current tax liability at the end of the year</v>
      </c>
      <c r="M2019" s="314"/>
      <c r="N2019" s="314"/>
      <c r="O2019" s="363">
        <f>SUM(O2010:O2017)</f>
        <v>0</v>
      </c>
      <c r="P2019" s="425"/>
      <c r="Q2019" s="442"/>
      <c r="R2019" s="403" t="str">
        <f>IF(O2019=0,IF(COUNTIF(O2010:O2016,"&gt;0")&gt;0," ","DELETE")," ")</f>
        <v>DELETE</v>
      </c>
      <c r="W2019" s="378">
        <f>IF(O2019&lt;0,1,2)</f>
        <v>2</v>
      </c>
    </row>
    <row r="2020" spans="2:23" ht="9" customHeight="1" thickBot="1" x14ac:dyDescent="0.5">
      <c r="B2020" s="323"/>
      <c r="C2020" s="417"/>
      <c r="M2020" s="314"/>
      <c r="N2020" s="314"/>
      <c r="O2020" s="351"/>
      <c r="P2020" s="425"/>
      <c r="Q2020" s="442"/>
      <c r="R2020" s="403" t="str">
        <f t="shared" ref="R2020:R2025" si="165">R$2019</f>
        <v>DELETE</v>
      </c>
    </row>
    <row r="2021" spans="2:23" ht="9" customHeight="1" thickTop="1" x14ac:dyDescent="0.45">
      <c r="B2021" s="323"/>
      <c r="C2021" s="417"/>
      <c r="M2021" s="314"/>
      <c r="N2021" s="314"/>
      <c r="O2021" s="363"/>
      <c r="P2021" s="425"/>
      <c r="Q2021" s="442"/>
      <c r="R2021" s="403" t="str">
        <f t="shared" si="165"/>
        <v>DELETE</v>
      </c>
    </row>
    <row r="2022" spans="2:23" ht="31.5" customHeight="1" x14ac:dyDescent="0.45">
      <c r="B2022" s="323"/>
      <c r="C2022" s="417"/>
      <c r="M2022" s="363"/>
      <c r="N2022" s="314"/>
      <c r="O2022" s="363"/>
      <c r="P2022" s="425"/>
      <c r="Q2022" s="442"/>
      <c r="R2022" s="403" t="str">
        <f t="shared" si="165"/>
        <v>DELETE</v>
      </c>
    </row>
    <row r="2023" spans="2:23" ht="31.5" customHeight="1" x14ac:dyDescent="0.45">
      <c r="B2023" s="323"/>
      <c r="C2023" s="417"/>
      <c r="M2023" s="363"/>
      <c r="N2023" s="314"/>
      <c r="O2023" s="363"/>
      <c r="P2023" s="425"/>
      <c r="Q2023" s="442"/>
      <c r="R2023" s="403" t="str">
        <f t="shared" si="165"/>
        <v>DELETE</v>
      </c>
    </row>
    <row r="2024" spans="2:23" ht="31.5" customHeight="1" x14ac:dyDescent="0.45">
      <c r="B2024" s="324"/>
      <c r="C2024" s="465"/>
      <c r="D2024" s="429"/>
      <c r="E2024" s="429"/>
      <c r="F2024" s="429"/>
      <c r="G2024" s="429"/>
      <c r="H2024" s="429"/>
      <c r="I2024" s="429"/>
      <c r="J2024" s="429"/>
      <c r="K2024" s="429"/>
      <c r="L2024" s="429"/>
      <c r="M2024" s="349"/>
      <c r="N2024" s="300"/>
      <c r="O2024" s="349"/>
      <c r="P2024" s="433"/>
      <c r="Q2024" s="446"/>
      <c r="R2024" s="403" t="str">
        <f t="shared" si="165"/>
        <v>DELETE</v>
      </c>
    </row>
    <row r="2025" spans="2:23" ht="31.5" customHeight="1" x14ac:dyDescent="0.45">
      <c r="B2025" s="325"/>
      <c r="C2025" s="417"/>
      <c r="M2025" s="347"/>
      <c r="N2025" s="298"/>
      <c r="O2025" s="347"/>
      <c r="R2025" s="403" t="str">
        <f t="shared" si="165"/>
        <v>DELETE</v>
      </c>
    </row>
    <row r="2026" spans="2:23" ht="31.5" customHeight="1" x14ac:dyDescent="0.45">
      <c r="B2026" s="325"/>
      <c r="C2026" s="417"/>
      <c r="M2026" s="347"/>
      <c r="N2026" s="298"/>
      <c r="O2026" s="347"/>
      <c r="R2026" s="403" t="str">
        <f t="shared" ref="R2026:R2038" si="166">R$2044</f>
        <v>DELETE</v>
      </c>
    </row>
    <row r="2027" spans="2:23" ht="31.5" customHeight="1" x14ac:dyDescent="0.45">
      <c r="B2027" s="325"/>
      <c r="C2027" s="417"/>
      <c r="D2027" s="417" t="str">
        <f>Criteria!E9</f>
        <v>HOLDING COMPANY 268 (PROPRIETARY) LIMITED</v>
      </c>
      <c r="M2027" s="426"/>
      <c r="N2027" s="406"/>
      <c r="O2027" s="347" t="s">
        <v>96</v>
      </c>
      <c r="Q2027" s="292">
        <f>MAX($Q$114:Q2026)+1</f>
        <v>52</v>
      </c>
      <c r="R2027" s="403" t="str">
        <f t="shared" si="166"/>
        <v>DELETE</v>
      </c>
    </row>
    <row r="2028" spans="2:23" ht="31.5" customHeight="1" x14ac:dyDescent="0.45">
      <c r="B2028" s="325"/>
      <c r="C2028" s="417"/>
      <c r="D2028" s="417" t="str">
        <f>Criteria!E10</f>
        <v>CONSOLIDATED FINANCIAL STATEMENTS</v>
      </c>
      <c r="M2028" s="426"/>
      <c r="N2028" s="406"/>
      <c r="O2028" s="426"/>
      <c r="R2028" s="403" t="str">
        <f>IF(R$2044="DELETE","DELETE",IF(D2028=0,"DELETE"," "))</f>
        <v>DELETE</v>
      </c>
    </row>
    <row r="2029" spans="2:23" ht="31.5" customHeight="1" x14ac:dyDescent="0.45">
      <c r="B2029" s="325"/>
      <c r="C2029" s="417"/>
      <c r="M2029" s="426"/>
      <c r="N2029" s="406"/>
      <c r="O2029" s="426"/>
      <c r="R2029" s="403" t="str">
        <f t="shared" si="166"/>
        <v>DELETE</v>
      </c>
    </row>
    <row r="2030" spans="2:23" ht="31.5" customHeight="1" x14ac:dyDescent="0.45">
      <c r="B2030" s="325"/>
      <c r="C2030" s="417"/>
      <c r="D2030" s="417" t="s">
        <v>377</v>
      </c>
      <c r="M2030" s="426"/>
      <c r="N2030" s="406"/>
      <c r="O2030" s="426"/>
      <c r="R2030" s="403" t="str">
        <f t="shared" si="166"/>
        <v>DELETE</v>
      </c>
    </row>
    <row r="2031" spans="2:23" ht="31.5" customHeight="1" x14ac:dyDescent="0.45">
      <c r="B2031" s="325"/>
      <c r="C2031" s="417"/>
      <c r="D2031" s="417" t="str">
        <f>Criteria!E20</f>
        <v>29 FEBRUARY 2024</v>
      </c>
      <c r="J2031" s="400" t="s">
        <v>247</v>
      </c>
      <c r="M2031" s="426"/>
      <c r="N2031" s="406"/>
      <c r="O2031" s="426"/>
      <c r="R2031" s="403" t="str">
        <f t="shared" si="166"/>
        <v>DELETE</v>
      </c>
    </row>
    <row r="2032" spans="2:23" ht="31.5" customHeight="1" x14ac:dyDescent="0.45">
      <c r="B2032" s="325"/>
      <c r="C2032" s="417"/>
      <c r="M2032" s="347"/>
      <c r="N2032" s="298"/>
      <c r="O2032" s="347"/>
      <c r="R2032" s="403" t="str">
        <f t="shared" si="166"/>
        <v>DELETE</v>
      </c>
    </row>
    <row r="2033" spans="2:18" ht="31.5" customHeight="1" x14ac:dyDescent="0.45">
      <c r="B2033" s="326"/>
      <c r="C2033" s="458"/>
      <c r="D2033" s="439"/>
      <c r="E2033" s="439"/>
      <c r="F2033" s="439"/>
      <c r="G2033" s="439"/>
      <c r="H2033" s="439"/>
      <c r="I2033" s="439"/>
      <c r="J2033" s="439"/>
      <c r="K2033" s="439"/>
      <c r="L2033" s="439"/>
      <c r="M2033" s="362"/>
      <c r="N2033" s="299"/>
      <c r="O2033" s="362"/>
      <c r="P2033" s="448"/>
      <c r="Q2033" s="440"/>
      <c r="R2033" s="403" t="str">
        <f t="shared" si="166"/>
        <v>DELETE</v>
      </c>
    </row>
    <row r="2034" spans="2:18" ht="31.5" customHeight="1" x14ac:dyDescent="0.45">
      <c r="B2034" s="323"/>
      <c r="C2034" s="417"/>
      <c r="M2034" s="363"/>
      <c r="N2034" s="314"/>
      <c r="O2034" s="344">
        <f>Criteria!E22</f>
        <v>2024</v>
      </c>
      <c r="P2034" s="425"/>
      <c r="Q2034" s="442"/>
      <c r="R2034" s="403" t="str">
        <f t="shared" si="166"/>
        <v>DELETE</v>
      </c>
    </row>
    <row r="2035" spans="2:18" ht="31.5" customHeight="1" x14ac:dyDescent="0.45">
      <c r="B2035" s="323"/>
      <c r="C2035" s="417"/>
      <c r="M2035" s="363"/>
      <c r="N2035" s="314"/>
      <c r="O2035" s="363"/>
      <c r="P2035" s="425"/>
      <c r="Q2035" s="442"/>
      <c r="R2035" s="403" t="str">
        <f t="shared" si="166"/>
        <v>DELETE</v>
      </c>
    </row>
    <row r="2036" spans="2:18" ht="31.5" customHeight="1" x14ac:dyDescent="0.45">
      <c r="B2036" s="323">
        <f>MAX(B$559:B2035)+1</f>
        <v>30</v>
      </c>
      <c r="C2036" s="417" t="s">
        <v>1118</v>
      </c>
      <c r="M2036" s="363"/>
      <c r="N2036" s="314"/>
      <c r="O2036" s="363"/>
      <c r="P2036" s="425"/>
      <c r="Q2036" s="442"/>
      <c r="R2036" s="403" t="str">
        <f t="shared" si="166"/>
        <v>DELETE</v>
      </c>
    </row>
    <row r="2037" spans="2:18" ht="31.5" customHeight="1" x14ac:dyDescent="0.45">
      <c r="B2037" s="323"/>
      <c r="C2037" s="417"/>
      <c r="D2037" s="400" t="s">
        <v>1119</v>
      </c>
      <c r="M2037" s="363"/>
      <c r="N2037" s="314"/>
      <c r="O2037" s="363"/>
      <c r="P2037" s="425"/>
      <c r="Q2037" s="442"/>
      <c r="R2037" s="403" t="str">
        <f t="shared" si="166"/>
        <v>DELETE</v>
      </c>
    </row>
    <row r="2038" spans="2:18" ht="31.5" customHeight="1" x14ac:dyDescent="0.45">
      <c r="B2038" s="323"/>
      <c r="C2038" s="417"/>
      <c r="M2038" s="363"/>
      <c r="N2038" s="314"/>
      <c r="O2038" s="363"/>
      <c r="P2038" s="425"/>
      <c r="Q2038" s="442"/>
      <c r="R2038" s="403" t="str">
        <f t="shared" si="166"/>
        <v>DELETE</v>
      </c>
    </row>
    <row r="2039" spans="2:18" ht="31.5" customHeight="1" x14ac:dyDescent="0.45">
      <c r="B2039" s="323"/>
      <c r="C2039" s="417"/>
      <c r="E2039" s="400" t="s">
        <v>1114</v>
      </c>
      <c r="M2039" s="363"/>
      <c r="N2039" s="314"/>
      <c r="O2039" s="363">
        <f>Criteria!F353</f>
        <v>0</v>
      </c>
      <c r="P2039" s="425"/>
      <c r="Q2039" s="442"/>
      <c r="R2039" s="403" t="str">
        <f t="shared" ref="R2039:R2040" si="167">IF(O2039=0,"DELETE"," ")</f>
        <v>DELETE</v>
      </c>
    </row>
    <row r="2040" spans="2:18" ht="31.5" customHeight="1" x14ac:dyDescent="0.45">
      <c r="B2040" s="323"/>
      <c r="C2040" s="417"/>
      <c r="E2040" s="400" t="s">
        <v>1120</v>
      </c>
      <c r="M2040" s="363"/>
      <c r="N2040" s="314"/>
      <c r="O2040" s="363">
        <f>Criteria!F354</f>
        <v>0</v>
      </c>
      <c r="P2040" s="425"/>
      <c r="Q2040" s="442"/>
      <c r="R2040" s="403" t="str">
        <f t="shared" si="167"/>
        <v>DELETE</v>
      </c>
    </row>
    <row r="2041" spans="2:18" ht="31.5" customHeight="1" x14ac:dyDescent="0.45">
      <c r="B2041" s="323"/>
      <c r="C2041" s="417"/>
      <c r="E2041" s="400" t="s">
        <v>1116</v>
      </c>
      <c r="M2041" s="363"/>
      <c r="N2041" s="314"/>
      <c r="O2041" s="363">
        <f>Criteria!F355</f>
        <v>0</v>
      </c>
      <c r="P2041" s="425"/>
      <c r="Q2041" s="442"/>
      <c r="R2041" s="403" t="str">
        <f>IF(O2041=0,"DELETE"," ")</f>
        <v>DELETE</v>
      </c>
    </row>
    <row r="2042" spans="2:18" ht="9" customHeight="1" x14ac:dyDescent="0.45">
      <c r="B2042" s="323"/>
      <c r="C2042" s="417"/>
      <c r="M2042" s="363"/>
      <c r="N2042" s="314"/>
      <c r="O2042" s="349"/>
      <c r="P2042" s="425"/>
      <c r="Q2042" s="442"/>
      <c r="R2042" s="403" t="str">
        <f>R$2044</f>
        <v>DELETE</v>
      </c>
    </row>
    <row r="2043" spans="2:18" ht="9" customHeight="1" x14ac:dyDescent="0.45">
      <c r="B2043" s="323"/>
      <c r="C2043" s="417"/>
      <c r="M2043" s="363"/>
      <c r="N2043" s="314"/>
      <c r="O2043" s="363"/>
      <c r="P2043" s="425"/>
      <c r="Q2043" s="442"/>
      <c r="R2043" s="403" t="str">
        <f>R$2044</f>
        <v>DELETE</v>
      </c>
    </row>
    <row r="2044" spans="2:18" ht="31.5" customHeight="1" x14ac:dyDescent="0.45">
      <c r="B2044" s="323"/>
      <c r="C2044" s="417"/>
      <c r="M2044" s="363"/>
      <c r="N2044" s="314"/>
      <c r="O2044" s="363">
        <f>SUM(O2039:O2043)</f>
        <v>0</v>
      </c>
      <c r="P2044" s="425"/>
      <c r="Q2044" s="442"/>
      <c r="R2044" s="403" t="str">
        <f>IF(O2044=0,"DELETE"," ")</f>
        <v>DELETE</v>
      </c>
    </row>
    <row r="2045" spans="2:18" ht="9" customHeight="1" thickBot="1" x14ac:dyDescent="0.5">
      <c r="B2045" s="323"/>
      <c r="C2045" s="417"/>
      <c r="M2045" s="363"/>
      <c r="N2045" s="314"/>
      <c r="O2045" s="351"/>
      <c r="P2045" s="425"/>
      <c r="Q2045" s="442"/>
      <c r="R2045" s="403" t="str">
        <f t="shared" ref="R2045:R2050" si="168">R$2044</f>
        <v>DELETE</v>
      </c>
    </row>
    <row r="2046" spans="2:18" ht="9" customHeight="1" thickTop="1" x14ac:dyDescent="0.45">
      <c r="B2046" s="323"/>
      <c r="C2046" s="417"/>
      <c r="M2046" s="363"/>
      <c r="N2046" s="314"/>
      <c r="O2046" s="363"/>
      <c r="P2046" s="425"/>
      <c r="Q2046" s="442"/>
      <c r="R2046" s="403" t="str">
        <f t="shared" si="168"/>
        <v>DELETE</v>
      </c>
    </row>
    <row r="2047" spans="2:18" ht="31.5" customHeight="1" x14ac:dyDescent="0.45">
      <c r="B2047" s="323"/>
      <c r="C2047" s="417"/>
      <c r="M2047" s="363"/>
      <c r="N2047" s="314"/>
      <c r="O2047" s="363"/>
      <c r="P2047" s="425"/>
      <c r="Q2047" s="442"/>
      <c r="R2047" s="403" t="str">
        <f t="shared" si="168"/>
        <v>DELETE</v>
      </c>
    </row>
    <row r="2048" spans="2:18" ht="31.5" customHeight="1" x14ac:dyDescent="0.45">
      <c r="B2048" s="323"/>
      <c r="C2048" s="417"/>
      <c r="M2048" s="363"/>
      <c r="N2048" s="314"/>
      <c r="O2048" s="363"/>
      <c r="P2048" s="425"/>
      <c r="Q2048" s="442"/>
      <c r="R2048" s="403" t="str">
        <f t="shared" si="168"/>
        <v>DELETE</v>
      </c>
    </row>
    <row r="2049" spans="2:18" ht="31.5" customHeight="1" x14ac:dyDescent="0.45">
      <c r="B2049" s="324"/>
      <c r="C2049" s="465"/>
      <c r="D2049" s="429"/>
      <c r="E2049" s="429"/>
      <c r="F2049" s="429"/>
      <c r="G2049" s="429"/>
      <c r="H2049" s="429"/>
      <c r="I2049" s="429"/>
      <c r="J2049" s="429"/>
      <c r="K2049" s="429"/>
      <c r="L2049" s="429"/>
      <c r="M2049" s="349"/>
      <c r="N2049" s="300"/>
      <c r="O2049" s="349"/>
      <c r="P2049" s="433"/>
      <c r="Q2049" s="446"/>
      <c r="R2049" s="403" t="str">
        <f t="shared" si="168"/>
        <v>DELETE</v>
      </c>
    </row>
    <row r="2050" spans="2:18" ht="31.5" customHeight="1" x14ac:dyDescent="0.45">
      <c r="B2050" s="325"/>
      <c r="C2050" s="417"/>
      <c r="M2050" s="347"/>
      <c r="N2050" s="298"/>
      <c r="O2050" s="347"/>
      <c r="R2050" s="403" t="str">
        <f t="shared" si="168"/>
        <v>DELETE</v>
      </c>
    </row>
    <row r="2051" spans="2:18" ht="31.5" customHeight="1" x14ac:dyDescent="0.45">
      <c r="B2051" s="325"/>
      <c r="C2051" s="417"/>
      <c r="M2051" s="347"/>
      <c r="N2051" s="298"/>
      <c r="O2051" s="347"/>
      <c r="R2051" s="403" t="str">
        <f t="shared" ref="R2051:R2064" si="169">R$2070</f>
        <v>DELETE</v>
      </c>
    </row>
    <row r="2052" spans="2:18" ht="31.5" customHeight="1" x14ac:dyDescent="0.45">
      <c r="B2052" s="325"/>
      <c r="C2052" s="417"/>
      <c r="D2052" s="417" t="str">
        <f>Criteria!E9</f>
        <v>HOLDING COMPANY 268 (PROPRIETARY) LIMITED</v>
      </c>
      <c r="M2052" s="426"/>
      <c r="N2052" s="406"/>
      <c r="O2052" s="347" t="s">
        <v>96</v>
      </c>
      <c r="Q2052" s="292">
        <f>MAX($Q$114:Q2051)+1</f>
        <v>53</v>
      </c>
      <c r="R2052" s="403" t="str">
        <f t="shared" si="169"/>
        <v>DELETE</v>
      </c>
    </row>
    <row r="2053" spans="2:18" ht="31.5" customHeight="1" x14ac:dyDescent="0.45">
      <c r="B2053" s="325"/>
      <c r="C2053" s="417"/>
      <c r="D2053" s="417" t="str">
        <f>Criteria!E10</f>
        <v>CONSOLIDATED FINANCIAL STATEMENTS</v>
      </c>
      <c r="M2053" s="426"/>
      <c r="N2053" s="406"/>
      <c r="O2053" s="426"/>
      <c r="R2053" s="403" t="str">
        <f>IF(R$2070="DELETE","DELETE",IF(D2053=0,"DELETE"," "))</f>
        <v>DELETE</v>
      </c>
    </row>
    <row r="2054" spans="2:18" ht="31.5" customHeight="1" x14ac:dyDescent="0.45">
      <c r="B2054" s="325"/>
      <c r="C2054" s="417"/>
      <c r="M2054" s="426"/>
      <c r="N2054" s="406"/>
      <c r="O2054" s="426"/>
      <c r="R2054" s="403" t="str">
        <f t="shared" si="169"/>
        <v>DELETE</v>
      </c>
    </row>
    <row r="2055" spans="2:18" ht="31.5" customHeight="1" x14ac:dyDescent="0.45">
      <c r="B2055" s="325"/>
      <c r="C2055" s="417"/>
      <c r="D2055" s="417" t="s">
        <v>377</v>
      </c>
      <c r="M2055" s="426"/>
      <c r="N2055" s="406"/>
      <c r="O2055" s="426"/>
      <c r="R2055" s="403" t="str">
        <f t="shared" si="169"/>
        <v>DELETE</v>
      </c>
    </row>
    <row r="2056" spans="2:18" ht="31.5" customHeight="1" x14ac:dyDescent="0.45">
      <c r="B2056" s="325"/>
      <c r="C2056" s="417"/>
      <c r="D2056" s="417" t="str">
        <f>Criteria!E20</f>
        <v>29 FEBRUARY 2024</v>
      </c>
      <c r="J2056" s="400" t="s">
        <v>247</v>
      </c>
      <c r="M2056" s="426"/>
      <c r="N2056" s="406"/>
      <c r="O2056" s="426"/>
      <c r="R2056" s="403" t="str">
        <f t="shared" si="169"/>
        <v>DELETE</v>
      </c>
    </row>
    <row r="2057" spans="2:18" ht="31.5" customHeight="1" x14ac:dyDescent="0.45">
      <c r="B2057" s="325"/>
      <c r="C2057" s="417"/>
      <c r="M2057" s="347"/>
      <c r="N2057" s="298"/>
      <c r="O2057" s="347"/>
      <c r="R2057" s="403" t="str">
        <f t="shared" si="169"/>
        <v>DELETE</v>
      </c>
    </row>
    <row r="2058" spans="2:18" ht="31.5" customHeight="1" x14ac:dyDescent="0.45">
      <c r="B2058" s="326"/>
      <c r="C2058" s="458"/>
      <c r="D2058" s="439"/>
      <c r="E2058" s="439"/>
      <c r="F2058" s="439"/>
      <c r="G2058" s="439"/>
      <c r="H2058" s="439"/>
      <c r="I2058" s="439"/>
      <c r="J2058" s="439"/>
      <c r="K2058" s="439"/>
      <c r="L2058" s="439"/>
      <c r="M2058" s="362"/>
      <c r="N2058" s="299"/>
      <c r="O2058" s="362"/>
      <c r="P2058" s="448"/>
      <c r="Q2058" s="440"/>
      <c r="R2058" s="403" t="str">
        <f t="shared" si="169"/>
        <v>DELETE</v>
      </c>
    </row>
    <row r="2059" spans="2:18" ht="31.5" customHeight="1" x14ac:dyDescent="0.45">
      <c r="B2059" s="323"/>
      <c r="C2059" s="417"/>
      <c r="M2059" s="363"/>
      <c r="N2059" s="314"/>
      <c r="O2059" s="344">
        <f>Criteria!E22</f>
        <v>2024</v>
      </c>
      <c r="P2059" s="425"/>
      <c r="Q2059" s="442"/>
      <c r="R2059" s="403" t="str">
        <f t="shared" si="169"/>
        <v>DELETE</v>
      </c>
    </row>
    <row r="2060" spans="2:18" ht="31.5" customHeight="1" x14ac:dyDescent="0.45">
      <c r="B2060" s="323"/>
      <c r="C2060" s="417"/>
      <c r="M2060" s="363"/>
      <c r="N2060" s="314"/>
      <c r="O2060" s="363"/>
      <c r="P2060" s="425"/>
      <c r="Q2060" s="442"/>
      <c r="R2060" s="403" t="str">
        <f t="shared" si="169"/>
        <v>DELETE</v>
      </c>
    </row>
    <row r="2061" spans="2:18" ht="31.5" customHeight="1" x14ac:dyDescent="0.45">
      <c r="B2061" s="323">
        <f>MAX(B$559:B2060)+1</f>
        <v>31</v>
      </c>
      <c r="C2061" s="417" t="s">
        <v>1121</v>
      </c>
      <c r="M2061" s="363"/>
      <c r="N2061" s="314"/>
      <c r="O2061" s="363"/>
      <c r="P2061" s="425"/>
      <c r="Q2061" s="442"/>
      <c r="R2061" s="403" t="str">
        <f t="shared" si="169"/>
        <v>DELETE</v>
      </c>
    </row>
    <row r="2062" spans="2:18" ht="31.5" customHeight="1" x14ac:dyDescent="0.45">
      <c r="B2062" s="323"/>
      <c r="C2062" s="417"/>
      <c r="D2062" s="400" t="s">
        <v>1174</v>
      </c>
      <c r="M2062" s="363"/>
      <c r="N2062" s="314"/>
      <c r="O2062" s="363"/>
      <c r="P2062" s="425"/>
      <c r="Q2062" s="442"/>
      <c r="R2062" s="403" t="str">
        <f t="shared" si="169"/>
        <v>DELETE</v>
      </c>
    </row>
    <row r="2063" spans="2:18" ht="31.5" customHeight="1" x14ac:dyDescent="0.45">
      <c r="B2063" s="323"/>
      <c r="C2063" s="417"/>
      <c r="D2063" s="400" t="s">
        <v>1122</v>
      </c>
      <c r="M2063" s="363"/>
      <c r="N2063" s="314"/>
      <c r="O2063" s="363"/>
      <c r="P2063" s="425"/>
      <c r="Q2063" s="442"/>
      <c r="R2063" s="403" t="str">
        <f t="shared" si="169"/>
        <v>DELETE</v>
      </c>
    </row>
    <row r="2064" spans="2:18" ht="31.5" customHeight="1" x14ac:dyDescent="0.45">
      <c r="B2064" s="323"/>
      <c r="C2064" s="417"/>
      <c r="M2064" s="363"/>
      <c r="N2064" s="314"/>
      <c r="O2064" s="363"/>
      <c r="P2064" s="425"/>
      <c r="Q2064" s="442"/>
      <c r="R2064" s="403" t="str">
        <f t="shared" si="169"/>
        <v>DELETE</v>
      </c>
    </row>
    <row r="2065" spans="2:18" ht="31.5" customHeight="1" x14ac:dyDescent="0.45">
      <c r="B2065" s="323"/>
      <c r="C2065" s="417"/>
      <c r="E2065" s="400" t="s">
        <v>1114</v>
      </c>
      <c r="M2065" s="363"/>
      <c r="N2065" s="314"/>
      <c r="O2065" s="363">
        <f>Criteria!F360</f>
        <v>0</v>
      </c>
      <c r="P2065" s="425"/>
      <c r="Q2065" s="442"/>
      <c r="R2065" s="403" t="str">
        <f t="shared" ref="R2065:R2066" si="170">IF(O2065=0,"DELETE"," ")</f>
        <v>DELETE</v>
      </c>
    </row>
    <row r="2066" spans="2:18" ht="31.5" customHeight="1" x14ac:dyDescent="0.45">
      <c r="B2066" s="323"/>
      <c r="C2066" s="417"/>
      <c r="E2066" s="400" t="s">
        <v>1120</v>
      </c>
      <c r="M2066" s="363"/>
      <c r="N2066" s="314"/>
      <c r="O2066" s="363">
        <f>Criteria!F361</f>
        <v>0</v>
      </c>
      <c r="P2066" s="425"/>
      <c r="Q2066" s="442"/>
      <c r="R2066" s="403" t="str">
        <f t="shared" si="170"/>
        <v>DELETE</v>
      </c>
    </row>
    <row r="2067" spans="2:18" ht="31.5" customHeight="1" x14ac:dyDescent="0.45">
      <c r="B2067" s="323"/>
      <c r="C2067" s="417"/>
      <c r="E2067" s="400" t="s">
        <v>1116</v>
      </c>
      <c r="M2067" s="363"/>
      <c r="N2067" s="314"/>
      <c r="O2067" s="363">
        <f>Criteria!F362</f>
        <v>0</v>
      </c>
      <c r="P2067" s="425"/>
      <c r="Q2067" s="442"/>
      <c r="R2067" s="403" t="str">
        <f>IF(O2067=0,"DELETE"," ")</f>
        <v>DELETE</v>
      </c>
    </row>
    <row r="2068" spans="2:18" ht="9" customHeight="1" x14ac:dyDescent="0.45">
      <c r="B2068" s="323"/>
      <c r="C2068" s="417"/>
      <c r="M2068" s="363"/>
      <c r="N2068" s="314"/>
      <c r="O2068" s="349"/>
      <c r="P2068" s="425"/>
      <c r="Q2068" s="442"/>
      <c r="R2068" s="403" t="str">
        <f>R$2070</f>
        <v>DELETE</v>
      </c>
    </row>
    <row r="2069" spans="2:18" ht="9" customHeight="1" x14ac:dyDescent="0.45">
      <c r="B2069" s="323"/>
      <c r="C2069" s="417"/>
      <c r="M2069" s="363"/>
      <c r="N2069" s="314"/>
      <c r="O2069" s="363"/>
      <c r="P2069" s="425"/>
      <c r="Q2069" s="442"/>
      <c r="R2069" s="403" t="str">
        <f>R$2070</f>
        <v>DELETE</v>
      </c>
    </row>
    <row r="2070" spans="2:18" ht="31.5" customHeight="1" x14ac:dyDescent="0.45">
      <c r="B2070" s="323"/>
      <c r="C2070" s="417"/>
      <c r="M2070" s="363"/>
      <c r="N2070" s="314"/>
      <c r="O2070" s="363">
        <f>SUM(O2065:O2069)</f>
        <v>0</v>
      </c>
      <c r="P2070" s="425"/>
      <c r="Q2070" s="442"/>
      <c r="R2070" s="403" t="str">
        <f>IF(O2070=0,"DELETE"," ")</f>
        <v>DELETE</v>
      </c>
    </row>
    <row r="2071" spans="2:18" ht="9" customHeight="1" thickBot="1" x14ac:dyDescent="0.5">
      <c r="B2071" s="323"/>
      <c r="C2071" s="417"/>
      <c r="M2071" s="363"/>
      <c r="N2071" s="314"/>
      <c r="O2071" s="351"/>
      <c r="P2071" s="425"/>
      <c r="Q2071" s="442"/>
      <c r="R2071" s="403" t="str">
        <f t="shared" ref="R2071:R2076" si="171">R$2070</f>
        <v>DELETE</v>
      </c>
    </row>
    <row r="2072" spans="2:18" ht="9" customHeight="1" thickTop="1" x14ac:dyDescent="0.45">
      <c r="B2072" s="323"/>
      <c r="C2072" s="417"/>
      <c r="M2072" s="363"/>
      <c r="N2072" s="314"/>
      <c r="O2072" s="363"/>
      <c r="P2072" s="425"/>
      <c r="Q2072" s="442"/>
      <c r="R2072" s="403" t="str">
        <f t="shared" si="171"/>
        <v>DELETE</v>
      </c>
    </row>
    <row r="2073" spans="2:18" ht="31.5" customHeight="1" x14ac:dyDescent="0.45">
      <c r="B2073" s="323"/>
      <c r="C2073" s="417"/>
      <c r="M2073" s="363"/>
      <c r="N2073" s="314"/>
      <c r="O2073" s="363"/>
      <c r="P2073" s="425"/>
      <c r="Q2073" s="442"/>
      <c r="R2073" s="403" t="str">
        <f t="shared" si="171"/>
        <v>DELETE</v>
      </c>
    </row>
    <row r="2074" spans="2:18" ht="31.5" customHeight="1" x14ac:dyDescent="0.45">
      <c r="B2074" s="323"/>
      <c r="C2074" s="417"/>
      <c r="M2074" s="363"/>
      <c r="N2074" s="314"/>
      <c r="O2074" s="363"/>
      <c r="P2074" s="425"/>
      <c r="Q2074" s="442"/>
      <c r="R2074" s="403" t="str">
        <f t="shared" si="171"/>
        <v>DELETE</v>
      </c>
    </row>
    <row r="2075" spans="2:18" ht="31.5" customHeight="1" x14ac:dyDescent="0.45">
      <c r="B2075" s="324"/>
      <c r="C2075" s="465"/>
      <c r="D2075" s="429"/>
      <c r="E2075" s="429"/>
      <c r="F2075" s="429"/>
      <c r="G2075" s="429"/>
      <c r="H2075" s="429"/>
      <c r="I2075" s="429"/>
      <c r="J2075" s="429"/>
      <c r="K2075" s="429"/>
      <c r="L2075" s="429"/>
      <c r="M2075" s="349"/>
      <c r="N2075" s="300"/>
      <c r="O2075" s="349"/>
      <c r="P2075" s="433"/>
      <c r="Q2075" s="446"/>
      <c r="R2075" s="403" t="str">
        <f t="shared" si="171"/>
        <v>DELETE</v>
      </c>
    </row>
    <row r="2076" spans="2:18" ht="31.5" customHeight="1" x14ac:dyDescent="0.45">
      <c r="B2076" s="325"/>
      <c r="C2076" s="417"/>
      <c r="M2076" s="347"/>
      <c r="N2076" s="298"/>
      <c r="O2076" s="347"/>
      <c r="R2076" s="403" t="str">
        <f t="shared" si="171"/>
        <v>DELETE</v>
      </c>
    </row>
    <row r="2077" spans="2:18" ht="31.5" customHeight="1" x14ac:dyDescent="0.45">
      <c r="B2077" s="422"/>
      <c r="M2077" s="363"/>
      <c r="N2077" s="314"/>
      <c r="O2077" s="363"/>
      <c r="P2077" s="425"/>
    </row>
    <row r="2078" spans="2:18" ht="31.5" customHeight="1" x14ac:dyDescent="0.45">
      <c r="B2078" s="422"/>
      <c r="D2078" s="417" t="str">
        <f>Criteria!E9</f>
        <v>HOLDING COMPANY 268 (PROPRIETARY) LIMITED</v>
      </c>
      <c r="M2078" s="426"/>
      <c r="N2078" s="406"/>
      <c r="O2078" s="347" t="s">
        <v>96</v>
      </c>
      <c r="Q2078" s="292">
        <f>MAX($Q$114:Q2077)+1</f>
        <v>54</v>
      </c>
    </row>
    <row r="2079" spans="2:18" ht="31.5" customHeight="1" x14ac:dyDescent="0.45">
      <c r="B2079" s="422"/>
      <c r="D2079" s="417" t="str">
        <f>Criteria!E10</f>
        <v>CONSOLIDATED FINANCIAL STATEMENTS</v>
      </c>
      <c r="M2079" s="426"/>
      <c r="N2079" s="406"/>
      <c r="O2079" s="426"/>
      <c r="R2079" s="403" t="str">
        <f>IF(D2079=0,"DELETE"," ")</f>
        <v xml:space="preserve"> </v>
      </c>
    </row>
    <row r="2080" spans="2:18" ht="31.5" customHeight="1" x14ac:dyDescent="0.45">
      <c r="B2080" s="422"/>
      <c r="M2080" s="426"/>
      <c r="N2080" s="406"/>
      <c r="O2080" s="426"/>
    </row>
    <row r="2081" spans="2:18" ht="31.5" customHeight="1" x14ac:dyDescent="0.45">
      <c r="B2081" s="422"/>
      <c r="D2081" s="417" t="s">
        <v>377</v>
      </c>
      <c r="M2081" s="426"/>
      <c r="N2081" s="406"/>
      <c r="O2081" s="426"/>
    </row>
    <row r="2082" spans="2:18" ht="31.5" customHeight="1" x14ac:dyDescent="0.45">
      <c r="B2082" s="422"/>
      <c r="D2082" s="417" t="str">
        <f>Criteria!E20</f>
        <v>29 FEBRUARY 2024</v>
      </c>
      <c r="J2082" s="400" t="s">
        <v>247</v>
      </c>
      <c r="M2082" s="426"/>
      <c r="N2082" s="406"/>
      <c r="O2082" s="426"/>
    </row>
    <row r="2083" spans="2:18" ht="31.5" customHeight="1" x14ac:dyDescent="0.45">
      <c r="B2083" s="422"/>
      <c r="M2083" s="363"/>
      <c r="N2083" s="314"/>
      <c r="O2083" s="363"/>
      <c r="P2083" s="425"/>
    </row>
    <row r="2084" spans="2:18" ht="31.5" customHeight="1" x14ac:dyDescent="0.45">
      <c r="B2084" s="457"/>
      <c r="C2084" s="439"/>
      <c r="D2084" s="439"/>
      <c r="E2084" s="439"/>
      <c r="F2084" s="439"/>
      <c r="G2084" s="439"/>
      <c r="H2084" s="439"/>
      <c r="I2084" s="439"/>
      <c r="J2084" s="439"/>
      <c r="K2084" s="439"/>
      <c r="L2084" s="439"/>
      <c r="M2084" s="362"/>
      <c r="N2084" s="299"/>
      <c r="O2084" s="362"/>
      <c r="P2084" s="448"/>
      <c r="Q2084" s="440"/>
    </row>
    <row r="2085" spans="2:18" ht="31.5" customHeight="1" x14ac:dyDescent="0.45">
      <c r="B2085" s="323">
        <f>MAX(B$559:B2084)+1</f>
        <v>32</v>
      </c>
      <c r="C2085" s="315" t="s">
        <v>819</v>
      </c>
      <c r="M2085" s="363"/>
      <c r="N2085" s="314"/>
      <c r="O2085" s="363"/>
      <c r="P2085" s="425"/>
      <c r="Q2085" s="442"/>
    </row>
    <row r="2086" spans="2:18" ht="31.5" customHeight="1" x14ac:dyDescent="0.45">
      <c r="B2086" s="459"/>
      <c r="M2086" s="363"/>
      <c r="N2086" s="314"/>
      <c r="O2086" s="363"/>
      <c r="P2086" s="425"/>
      <c r="Q2086" s="442"/>
    </row>
    <row r="2087" spans="2:18" ht="31.5" customHeight="1" x14ac:dyDescent="0.45">
      <c r="B2087" s="459"/>
      <c r="C2087" s="400" t="s">
        <v>1175</v>
      </c>
      <c r="M2087" s="363"/>
      <c r="N2087" s="314"/>
      <c r="O2087" s="363"/>
      <c r="P2087" s="425"/>
      <c r="Q2087" s="442"/>
    </row>
    <row r="2088" spans="2:18" ht="31.5" customHeight="1" x14ac:dyDescent="0.45">
      <c r="B2088" s="459"/>
      <c r="M2088" s="363"/>
      <c r="N2088" s="314"/>
      <c r="O2088" s="363"/>
      <c r="P2088" s="425"/>
      <c r="Q2088" s="442"/>
    </row>
    <row r="2089" spans="2:18" ht="31.5" customHeight="1" x14ac:dyDescent="0.45">
      <c r="B2089" s="459"/>
      <c r="C2089" s="454" t="s">
        <v>829</v>
      </c>
      <c r="J2089" s="454" t="s">
        <v>820</v>
      </c>
      <c r="M2089" s="363"/>
      <c r="N2089" s="314"/>
      <c r="O2089" s="363"/>
      <c r="P2089" s="425"/>
      <c r="Q2089" s="442"/>
    </row>
    <row r="2090" spans="2:18" ht="31.5" customHeight="1" x14ac:dyDescent="0.45">
      <c r="B2090" s="459"/>
      <c r="D2090" s="400" t="str">
        <f>Criteria!E38</f>
        <v>A Director</v>
      </c>
      <c r="J2090" s="400" t="s">
        <v>821</v>
      </c>
      <c r="M2090" s="363"/>
      <c r="N2090" s="314"/>
      <c r="O2090" s="363"/>
      <c r="P2090" s="425"/>
      <c r="Q2090" s="442"/>
      <c r="R2090" s="403" t="str">
        <f>IF(D2090=0,"DELETE"," ")</f>
        <v xml:space="preserve"> </v>
      </c>
    </row>
    <row r="2091" spans="2:18" ht="31.5" customHeight="1" x14ac:dyDescent="0.45">
      <c r="B2091" s="459"/>
      <c r="D2091" s="400">
        <f>Criteria!E39</f>
        <v>0</v>
      </c>
      <c r="J2091" s="400" t="s">
        <v>821</v>
      </c>
      <c r="M2091" s="363"/>
      <c r="N2091" s="314"/>
      <c r="O2091" s="363"/>
      <c r="P2091" s="425"/>
      <c r="Q2091" s="442"/>
      <c r="R2091" s="403" t="str">
        <f t="shared" ref="R2091:R2094" si="172">IF(D2091=0,"DELETE"," ")</f>
        <v>DELETE</v>
      </c>
    </row>
    <row r="2092" spans="2:18" ht="31.5" customHeight="1" x14ac:dyDescent="0.45">
      <c r="B2092" s="459"/>
      <c r="D2092" s="400">
        <f>Criteria!E40</f>
        <v>0</v>
      </c>
      <c r="J2092" s="400" t="s">
        <v>821</v>
      </c>
      <c r="M2092" s="363"/>
      <c r="N2092" s="314"/>
      <c r="O2092" s="363"/>
      <c r="P2092" s="425"/>
      <c r="Q2092" s="442"/>
      <c r="R2092" s="403" t="str">
        <f t="shared" si="172"/>
        <v>DELETE</v>
      </c>
    </row>
    <row r="2093" spans="2:18" ht="31.5" customHeight="1" x14ac:dyDescent="0.45">
      <c r="B2093" s="459"/>
      <c r="D2093" s="400">
        <f>Criteria!E41</f>
        <v>0</v>
      </c>
      <c r="J2093" s="400" t="s">
        <v>821</v>
      </c>
      <c r="M2093" s="363"/>
      <c r="N2093" s="314"/>
      <c r="O2093" s="363"/>
      <c r="P2093" s="425"/>
      <c r="Q2093" s="442"/>
      <c r="R2093" s="403" t="str">
        <f t="shared" si="172"/>
        <v>DELETE</v>
      </c>
    </row>
    <row r="2094" spans="2:18" ht="31.5" customHeight="1" x14ac:dyDescent="0.45">
      <c r="B2094" s="459"/>
      <c r="D2094" s="400">
        <f>Criteria!E42</f>
        <v>0</v>
      </c>
      <c r="J2094" s="400" t="s">
        <v>821</v>
      </c>
      <c r="M2094" s="363"/>
      <c r="N2094" s="314"/>
      <c r="O2094" s="363"/>
      <c r="P2094" s="425"/>
      <c r="Q2094" s="442"/>
      <c r="R2094" s="403" t="str">
        <f t="shared" si="172"/>
        <v>DELETE</v>
      </c>
    </row>
    <row r="2095" spans="2:18" ht="31.5" customHeight="1" x14ac:dyDescent="0.45">
      <c r="B2095" s="459"/>
      <c r="M2095" s="363"/>
      <c r="N2095" s="314"/>
      <c r="O2095" s="363"/>
      <c r="P2095" s="425"/>
      <c r="Q2095" s="442"/>
    </row>
    <row r="2096" spans="2:18" ht="31.5" customHeight="1" x14ac:dyDescent="0.45">
      <c r="B2096" s="459"/>
      <c r="C2096" s="400" t="str">
        <f>CONCATENATE("The detail of ",IF(MAX(Criteria!I38:I42)&gt;1,"directors' remuneration","the director's remuneration")," are comprehensively disclosed in Note ",'FS2'!C881," of the Notes to")</f>
        <v>The detail of the director's remuneration are comprehensively disclosed in Note 5.1 of the Notes to</v>
      </c>
      <c r="M2096" s="363"/>
      <c r="N2096" s="314"/>
      <c r="O2096" s="363"/>
      <c r="P2096" s="425"/>
      <c r="Q2096" s="442"/>
    </row>
    <row r="2097" spans="2:18" ht="31.5" customHeight="1" x14ac:dyDescent="0.45">
      <c r="B2097" s="459"/>
      <c r="C2097" s="400" t="s">
        <v>902</v>
      </c>
      <c r="M2097" s="363"/>
      <c r="N2097" s="314"/>
      <c r="O2097" s="363"/>
      <c r="P2097" s="425"/>
      <c r="Q2097" s="442"/>
    </row>
    <row r="2098" spans="2:18" ht="31.5" customHeight="1" x14ac:dyDescent="0.45">
      <c r="B2098" s="459"/>
      <c r="M2098" s="363"/>
      <c r="N2098" s="314"/>
      <c r="O2098" s="363"/>
      <c r="P2098" s="425"/>
      <c r="Q2098" s="442"/>
    </row>
    <row r="2099" spans="2:18" ht="31.5" customHeight="1" x14ac:dyDescent="0.45">
      <c r="B2099" s="459"/>
      <c r="C2099" s="400" t="str">
        <f>IF(SUM(Criteria!G369:H369)&gt;0,"Related party balances and transactions with entities with control, joint control or significant influence","There were no related party balances outstanding at year end and no further transactions with entities")</f>
        <v>There were no related party balances outstanding at year end and no further transactions with entities</v>
      </c>
      <c r="M2099" s="363"/>
      <c r="N2099" s="314"/>
      <c r="O2099" s="363"/>
      <c r="P2099" s="425"/>
      <c r="Q2099" s="442"/>
    </row>
    <row r="2100" spans="2:18" ht="31.5" customHeight="1" x14ac:dyDescent="0.45">
      <c r="B2100" s="459"/>
      <c r="C2100" s="400" t="str">
        <f>IF(SUM(Criteria!G369:H369)&gt;0,"over the group are as follows:","with control, joint control or significant influence over the group.")</f>
        <v>with control, joint control or significant influence over the group.</v>
      </c>
      <c r="M2100" s="363"/>
      <c r="N2100" s="314"/>
      <c r="O2100" s="363"/>
      <c r="P2100" s="425"/>
      <c r="Q2100" s="442"/>
    </row>
    <row r="2101" spans="2:18" ht="31.5" customHeight="1" x14ac:dyDescent="0.45">
      <c r="B2101" s="459"/>
      <c r="L2101" s="514" t="s">
        <v>688</v>
      </c>
      <c r="M2101" s="514"/>
      <c r="N2101" s="514"/>
      <c r="O2101" s="516" t="s">
        <v>89</v>
      </c>
      <c r="P2101" s="516"/>
      <c r="Q2101" s="442"/>
      <c r="R2101" s="403" t="str">
        <f>IF(SUM(Criteria!G369:H369)&gt;0," ","DELETE")</f>
        <v>DELETE</v>
      </c>
    </row>
    <row r="2102" spans="2:18" ht="31.5" customHeight="1" x14ac:dyDescent="0.45">
      <c r="B2102" s="459"/>
      <c r="C2102" s="454" t="s">
        <v>822</v>
      </c>
      <c r="L2102" s="513" t="s">
        <v>826</v>
      </c>
      <c r="M2102" s="513"/>
      <c r="N2102" s="513"/>
      <c r="O2102" s="517" t="s">
        <v>823</v>
      </c>
      <c r="P2102" s="517"/>
      <c r="Q2102" s="442"/>
      <c r="R2102" s="403" t="str">
        <f>R2101</f>
        <v>DELETE</v>
      </c>
    </row>
    <row r="2103" spans="2:18" ht="31.5" customHeight="1" x14ac:dyDescent="0.45">
      <c r="B2103" s="459"/>
      <c r="M2103" s="363"/>
      <c r="N2103" s="314"/>
      <c r="O2103" s="363"/>
      <c r="P2103" s="425"/>
      <c r="Q2103" s="442"/>
    </row>
    <row r="2104" spans="2:18" ht="31.5" customHeight="1" x14ac:dyDescent="0.45">
      <c r="B2104" s="459"/>
      <c r="C2104" s="400">
        <f>Criteria!C369</f>
        <v>0</v>
      </c>
      <c r="M2104" s="363">
        <f>-Criteria!F369</f>
        <v>0</v>
      </c>
      <c r="N2104" s="314"/>
      <c r="O2104" s="363">
        <f>Criteria!E369</f>
        <v>0</v>
      </c>
      <c r="P2104" s="425"/>
      <c r="Q2104" s="442"/>
      <c r="R2104" s="403" t="str">
        <f>IF(M2104=0,IF(O2104=0,"DELETE"," ")," ")</f>
        <v>DELETE</v>
      </c>
    </row>
    <row r="2105" spans="2:18" ht="31.5" customHeight="1" x14ac:dyDescent="0.45">
      <c r="B2105" s="459"/>
      <c r="C2105" s="400">
        <f>Criteria!C370</f>
        <v>0</v>
      </c>
      <c r="M2105" s="363">
        <f>-Criteria!F370</f>
        <v>0</v>
      </c>
      <c r="N2105" s="314"/>
      <c r="O2105" s="363">
        <f>Criteria!E370</f>
        <v>0</v>
      </c>
      <c r="P2105" s="425"/>
      <c r="Q2105" s="442"/>
      <c r="R2105" s="403" t="str">
        <f t="shared" ref="R2105:R2113" si="173">IF(M2105=0,IF(O2105=0,"DELETE"," ")," ")</f>
        <v>DELETE</v>
      </c>
    </row>
    <row r="2106" spans="2:18" ht="31.5" customHeight="1" x14ac:dyDescent="0.45">
      <c r="B2106" s="459"/>
      <c r="C2106" s="400">
        <f>Criteria!C371</f>
        <v>0</v>
      </c>
      <c r="M2106" s="363">
        <f>-Criteria!F371</f>
        <v>0</v>
      </c>
      <c r="N2106" s="314"/>
      <c r="O2106" s="363">
        <f>Criteria!E371</f>
        <v>0</v>
      </c>
      <c r="P2106" s="425"/>
      <c r="Q2106" s="442"/>
      <c r="R2106" s="403" t="str">
        <f t="shared" si="173"/>
        <v>DELETE</v>
      </c>
    </row>
    <row r="2107" spans="2:18" ht="31.5" customHeight="1" x14ac:dyDescent="0.45">
      <c r="B2107" s="459"/>
      <c r="C2107" s="400">
        <f>Criteria!C372</f>
        <v>0</v>
      </c>
      <c r="M2107" s="363">
        <f>-Criteria!F372</f>
        <v>0</v>
      </c>
      <c r="N2107" s="314"/>
      <c r="O2107" s="363">
        <f>Criteria!E372</f>
        <v>0</v>
      </c>
      <c r="P2107" s="425"/>
      <c r="Q2107" s="442"/>
      <c r="R2107" s="403" t="str">
        <f t="shared" si="173"/>
        <v>DELETE</v>
      </c>
    </row>
    <row r="2108" spans="2:18" ht="31.5" customHeight="1" x14ac:dyDescent="0.45">
      <c r="B2108" s="459"/>
      <c r="C2108" s="400">
        <f>Criteria!C373</f>
        <v>0</v>
      </c>
      <c r="M2108" s="363">
        <f>-Criteria!F373</f>
        <v>0</v>
      </c>
      <c r="N2108" s="314"/>
      <c r="O2108" s="363">
        <f>Criteria!E373</f>
        <v>0</v>
      </c>
      <c r="P2108" s="425"/>
      <c r="Q2108" s="442"/>
      <c r="R2108" s="403" t="str">
        <f t="shared" si="173"/>
        <v>DELETE</v>
      </c>
    </row>
    <row r="2109" spans="2:18" ht="31.5" customHeight="1" x14ac:dyDescent="0.45">
      <c r="B2109" s="459"/>
      <c r="C2109" s="400">
        <f>Criteria!C374</f>
        <v>0</v>
      </c>
      <c r="M2109" s="363">
        <f>-Criteria!F374</f>
        <v>0</v>
      </c>
      <c r="N2109" s="314"/>
      <c r="O2109" s="363">
        <f>Criteria!E374</f>
        <v>0</v>
      </c>
      <c r="P2109" s="425"/>
      <c r="Q2109" s="442"/>
      <c r="R2109" s="403" t="str">
        <f t="shared" si="173"/>
        <v>DELETE</v>
      </c>
    </row>
    <row r="2110" spans="2:18" ht="31.5" customHeight="1" x14ac:dyDescent="0.45">
      <c r="B2110" s="459"/>
      <c r="C2110" s="400">
        <f>Criteria!C375</f>
        <v>0</v>
      </c>
      <c r="M2110" s="363">
        <f>-Criteria!F375</f>
        <v>0</v>
      </c>
      <c r="N2110" s="314"/>
      <c r="O2110" s="363">
        <f>Criteria!E375</f>
        <v>0</v>
      </c>
      <c r="P2110" s="425"/>
      <c r="Q2110" s="442"/>
      <c r="R2110" s="403" t="str">
        <f t="shared" si="173"/>
        <v>DELETE</v>
      </c>
    </row>
    <row r="2111" spans="2:18" ht="31.5" customHeight="1" x14ac:dyDescent="0.45">
      <c r="B2111" s="459"/>
      <c r="C2111" s="400">
        <f>Criteria!C376</f>
        <v>0</v>
      </c>
      <c r="M2111" s="363">
        <f>-Criteria!F376</f>
        <v>0</v>
      </c>
      <c r="N2111" s="314"/>
      <c r="O2111" s="363">
        <f>Criteria!E376</f>
        <v>0</v>
      </c>
      <c r="P2111" s="425"/>
      <c r="Q2111" s="442"/>
      <c r="R2111" s="403" t="str">
        <f t="shared" si="173"/>
        <v>DELETE</v>
      </c>
    </row>
    <row r="2112" spans="2:18" ht="31.5" customHeight="1" x14ac:dyDescent="0.45">
      <c r="B2112" s="459"/>
      <c r="C2112" s="400">
        <f>Criteria!C377</f>
        <v>0</v>
      </c>
      <c r="M2112" s="363">
        <f>-Criteria!F377</f>
        <v>0</v>
      </c>
      <c r="N2112" s="314"/>
      <c r="O2112" s="363">
        <f>Criteria!E377</f>
        <v>0</v>
      </c>
      <c r="P2112" s="425"/>
      <c r="Q2112" s="442"/>
      <c r="R2112" s="403" t="str">
        <f t="shared" si="173"/>
        <v>DELETE</v>
      </c>
    </row>
    <row r="2113" spans="2:22" ht="31.5" customHeight="1" x14ac:dyDescent="0.45">
      <c r="B2113" s="459"/>
      <c r="C2113" s="400">
        <f>Criteria!C378</f>
        <v>0</v>
      </c>
      <c r="M2113" s="363">
        <f>-Criteria!F378</f>
        <v>0</v>
      </c>
      <c r="N2113" s="314"/>
      <c r="O2113" s="363">
        <f>Criteria!E378</f>
        <v>0</v>
      </c>
      <c r="P2113" s="425"/>
      <c r="Q2113" s="442"/>
      <c r="R2113" s="403" t="str">
        <f t="shared" si="173"/>
        <v>DELETE</v>
      </c>
    </row>
    <row r="2114" spans="2:22" ht="31.5" customHeight="1" x14ac:dyDescent="0.45">
      <c r="B2114" s="459"/>
      <c r="M2114" s="363"/>
      <c r="N2114" s="314"/>
      <c r="O2114" s="363"/>
      <c r="P2114" s="425"/>
      <c r="Q2114" s="442"/>
    </row>
    <row r="2115" spans="2:22" ht="31.5" customHeight="1" x14ac:dyDescent="0.45">
      <c r="B2115" s="459"/>
      <c r="M2115" s="363"/>
      <c r="N2115" s="314"/>
      <c r="O2115" s="363"/>
      <c r="P2115" s="425"/>
      <c r="Q2115" s="442"/>
    </row>
    <row r="2116" spans="2:22" ht="31.5" customHeight="1" x14ac:dyDescent="0.45">
      <c r="B2116" s="455"/>
      <c r="C2116" s="429"/>
      <c r="D2116" s="429"/>
      <c r="E2116" s="429"/>
      <c r="F2116" s="429"/>
      <c r="G2116" s="429"/>
      <c r="H2116" s="429"/>
      <c r="I2116" s="429"/>
      <c r="J2116" s="429"/>
      <c r="K2116" s="429"/>
      <c r="L2116" s="429"/>
      <c r="M2116" s="349"/>
      <c r="N2116" s="300"/>
      <c r="O2116" s="349"/>
      <c r="P2116" s="433"/>
      <c r="Q2116" s="446"/>
    </row>
    <row r="2117" spans="2:22" ht="31.5" customHeight="1" x14ac:dyDescent="0.45">
      <c r="M2117" s="426"/>
      <c r="N2117" s="406"/>
      <c r="O2117" s="426"/>
    </row>
    <row r="2118" spans="2:22" ht="31.5" customHeight="1" x14ac:dyDescent="0.45">
      <c r="M2118" s="426"/>
      <c r="N2118" s="406"/>
      <c r="O2118" s="426"/>
    </row>
    <row r="2119" spans="2:22" ht="31.5" customHeight="1" x14ac:dyDescent="0.45">
      <c r="D2119" s="417" t="str">
        <f>Criteria!E9</f>
        <v>HOLDING COMPANY 268 (PROPRIETARY) LIMITED</v>
      </c>
      <c r="M2119" s="426"/>
      <c r="N2119" s="406"/>
      <c r="O2119" s="347" t="s">
        <v>96</v>
      </c>
      <c r="Q2119" s="292">
        <f>MAX($Q$114:Q2118)+1</f>
        <v>55</v>
      </c>
    </row>
    <row r="2120" spans="2:22" ht="31.5" customHeight="1" x14ac:dyDescent="0.45">
      <c r="D2120" s="417" t="str">
        <f>IF(Criteria!E13=0," ",CONCATENATE("T/A ",Criteria!E13))</f>
        <v>T/A INVESTMENTS IN FINANCIAL INSTRUMENTS</v>
      </c>
      <c r="M2120" s="426"/>
      <c r="N2120" s="406"/>
      <c r="O2120" s="426"/>
      <c r="R2120" s="403" t="str">
        <f>IF(Criteria!E13=0,"DELETE"," ")</f>
        <v xml:space="preserve"> </v>
      </c>
    </row>
    <row r="2121" spans="2:22" ht="31.5" customHeight="1" x14ac:dyDescent="0.45">
      <c r="M2121" s="426"/>
      <c r="N2121" s="406"/>
      <c r="O2121" s="426"/>
    </row>
    <row r="2122" spans="2:22" ht="31.5" customHeight="1" x14ac:dyDescent="0.45">
      <c r="D2122" s="417" t="s">
        <v>91</v>
      </c>
      <c r="M2122" s="426"/>
      <c r="N2122" s="406"/>
      <c r="O2122" s="426"/>
    </row>
    <row r="2123" spans="2:22" ht="31.5" customHeight="1" x14ac:dyDescent="0.45">
      <c r="D2123" s="417" t="str">
        <f>Criteria!E20</f>
        <v>29 FEBRUARY 2024</v>
      </c>
      <c r="M2123" s="426"/>
      <c r="N2123" s="406"/>
      <c r="O2123" s="426"/>
    </row>
    <row r="2124" spans="2:22" ht="31.5" customHeight="1" x14ac:dyDescent="0.45">
      <c r="M2124" s="426"/>
      <c r="N2124" s="406"/>
      <c r="O2124" s="426"/>
    </row>
    <row r="2125" spans="2:22" ht="31.5" customHeight="1" x14ac:dyDescent="0.45">
      <c r="B2125" s="438"/>
      <c r="C2125" s="439"/>
      <c r="D2125" s="439"/>
      <c r="E2125" s="439"/>
      <c r="F2125" s="439"/>
      <c r="G2125" s="439"/>
      <c r="H2125" s="439"/>
      <c r="I2125" s="439"/>
      <c r="J2125" s="439"/>
      <c r="K2125" s="439"/>
      <c r="L2125" s="439"/>
      <c r="M2125" s="469"/>
      <c r="N2125" s="470"/>
      <c r="O2125" s="469"/>
      <c r="P2125" s="448"/>
      <c r="Q2125" s="440"/>
    </row>
    <row r="2126" spans="2:22" ht="31.5" customHeight="1" x14ac:dyDescent="0.45">
      <c r="B2126" s="441"/>
      <c r="J2126" s="292"/>
      <c r="K2126" s="292" t="s">
        <v>104</v>
      </c>
      <c r="L2126" s="405"/>
      <c r="M2126" s="421"/>
      <c r="N2126" s="292"/>
      <c r="O2126" s="344">
        <f>Criteria!E22</f>
        <v>2024</v>
      </c>
      <c r="P2126" s="295"/>
      <c r="Q2126" s="442"/>
    </row>
    <row r="2127" spans="2:22" ht="31.5" customHeight="1" x14ac:dyDescent="0.45">
      <c r="B2127" s="441"/>
      <c r="J2127" s="292"/>
      <c r="K2127" s="292"/>
      <c r="L2127" s="405"/>
      <c r="M2127" s="421"/>
      <c r="N2127" s="292"/>
      <c r="O2127" s="347"/>
      <c r="P2127" s="295"/>
      <c r="Q2127" s="442"/>
    </row>
    <row r="2128" spans="2:22" ht="31.5" customHeight="1" x14ac:dyDescent="0.45">
      <c r="B2128" s="441"/>
      <c r="C2128" s="417" t="s">
        <v>112</v>
      </c>
      <c r="J2128" s="292"/>
      <c r="K2128" s="292"/>
      <c r="L2128" s="405"/>
      <c r="M2128" s="421"/>
      <c r="N2128" s="292"/>
      <c r="O2128" s="347">
        <f>-SUM(TrialBalance!L5:L10)</f>
        <v>0</v>
      </c>
      <c r="P2128" s="295"/>
      <c r="Q2128" s="442"/>
      <c r="R2128" s="403" t="str">
        <f>IF(O2128=0,IF(O2130=0," ","DELETE")," ")</f>
        <v xml:space="preserve"> </v>
      </c>
      <c r="S2128" s="380">
        <f>O2128</f>
        <v>0</v>
      </c>
      <c r="T2128" s="380"/>
      <c r="U2128" s="380"/>
      <c r="V2128" s="380"/>
    </row>
    <row r="2129" spans="2:22" ht="31.5" customHeight="1" x14ac:dyDescent="0.45">
      <c r="B2129" s="441"/>
      <c r="C2129" s="417"/>
      <c r="J2129" s="292"/>
      <c r="K2129" s="292"/>
      <c r="L2129" s="405"/>
      <c r="M2129" s="421"/>
      <c r="N2129" s="292"/>
      <c r="O2129" s="347"/>
      <c r="P2129" s="295"/>
      <c r="Q2129" s="442"/>
      <c r="R2129" s="403" t="str">
        <f>R2128</f>
        <v xml:space="preserve"> </v>
      </c>
      <c r="S2129" s="380"/>
      <c r="T2129" s="380"/>
      <c r="U2129" s="380"/>
      <c r="V2129" s="380"/>
    </row>
    <row r="2130" spans="2:22" ht="31.5" customHeight="1" x14ac:dyDescent="0.45">
      <c r="B2130" s="441"/>
      <c r="C2130" s="417" t="s">
        <v>525</v>
      </c>
      <c r="J2130" s="292"/>
      <c r="K2130" s="292"/>
      <c r="L2130" s="405"/>
      <c r="M2130" s="421"/>
      <c r="N2130" s="292"/>
      <c r="O2130" s="347">
        <f>-TrialBalance!L11</f>
        <v>0</v>
      </c>
      <c r="P2130" s="295"/>
      <c r="Q2130" s="442"/>
      <c r="R2130" s="403" t="str">
        <f t="shared" ref="R2130" si="174">IF(O2130=0,"DELETE"," ")</f>
        <v>DELETE</v>
      </c>
      <c r="S2130" s="380">
        <f>O2130</f>
        <v>0</v>
      </c>
      <c r="T2130" s="380"/>
      <c r="U2130" s="380"/>
      <c r="V2130" s="380"/>
    </row>
    <row r="2131" spans="2:22" ht="31.5" customHeight="1" x14ac:dyDescent="0.45">
      <c r="B2131" s="441"/>
      <c r="C2131" s="417"/>
      <c r="J2131" s="292"/>
      <c r="K2131" s="292"/>
      <c r="L2131" s="405"/>
      <c r="M2131" s="421"/>
      <c r="N2131" s="292"/>
      <c r="O2131" s="347"/>
      <c r="P2131" s="295"/>
      <c r="Q2131" s="442"/>
      <c r="R2131" s="403" t="str">
        <f>R2130</f>
        <v>DELETE</v>
      </c>
    </row>
    <row r="2132" spans="2:22" ht="31.5" customHeight="1" x14ac:dyDescent="0.45">
      <c r="B2132" s="441"/>
      <c r="C2132" s="417" t="s">
        <v>273</v>
      </c>
      <c r="J2132" s="292"/>
      <c r="K2132" s="292"/>
      <c r="L2132" s="405"/>
      <c r="M2132" s="421"/>
      <c r="N2132" s="292"/>
      <c r="O2132" s="347">
        <f>SUM(O2135:O2142)</f>
        <v>0</v>
      </c>
      <c r="P2132" s="295"/>
      <c r="Q2132" s="442"/>
      <c r="R2132" s="403" t="str">
        <f t="shared" ref="R2132" si="175">IF(O2132=0,"DELETE"," ")</f>
        <v>DELETE</v>
      </c>
      <c r="S2132" s="380">
        <f>-O2132</f>
        <v>0</v>
      </c>
      <c r="T2132" s="380"/>
      <c r="U2132" s="380"/>
      <c r="V2132" s="380"/>
    </row>
    <row r="2133" spans="2:22" ht="9" customHeight="1" x14ac:dyDescent="0.45">
      <c r="B2133" s="441"/>
      <c r="C2133" s="417"/>
      <c r="J2133" s="292"/>
      <c r="K2133" s="292"/>
      <c r="L2133" s="405"/>
      <c r="M2133" s="421"/>
      <c r="N2133" s="292"/>
      <c r="O2133" s="347"/>
      <c r="P2133" s="295"/>
      <c r="Q2133" s="442"/>
      <c r="R2133" s="403" t="str">
        <f>R2132</f>
        <v>DELETE</v>
      </c>
    </row>
    <row r="2134" spans="2:22" ht="9" customHeight="1" x14ac:dyDescent="0.45">
      <c r="B2134" s="441"/>
      <c r="C2134" s="417"/>
      <c r="J2134" s="292"/>
      <c r="K2134" s="292"/>
      <c r="L2134" s="405"/>
      <c r="M2134" s="421"/>
      <c r="N2134" s="292"/>
      <c r="O2134" s="372"/>
      <c r="P2134" s="295"/>
      <c r="Q2134" s="442"/>
      <c r="R2134" s="403" t="str">
        <f>R2133</f>
        <v>DELETE</v>
      </c>
    </row>
    <row r="2135" spans="2:22" ht="31.5" customHeight="1" x14ac:dyDescent="0.45">
      <c r="B2135" s="441"/>
      <c r="C2135" s="417"/>
      <c r="D2135" s="400" t="s">
        <v>527</v>
      </c>
      <c r="J2135" s="292"/>
      <c r="K2135" s="292"/>
      <c r="L2135" s="405"/>
      <c r="M2135" s="421"/>
      <c r="N2135" s="292"/>
      <c r="O2135" s="373">
        <f>SUM(TrialBalance!L13:L16)</f>
        <v>0</v>
      </c>
      <c r="P2135" s="295"/>
      <c r="Q2135" s="442"/>
      <c r="R2135" s="403" t="str">
        <f t="shared" ref="R2135:R2142" si="176">IF(O2135=0,"DELETE"," ")</f>
        <v>DELETE</v>
      </c>
    </row>
    <row r="2136" spans="2:22" ht="31.5" customHeight="1" x14ac:dyDescent="0.45">
      <c r="B2136" s="441"/>
      <c r="C2136" s="417"/>
      <c r="D2136" s="400" t="s">
        <v>274</v>
      </c>
      <c r="J2136" s="292"/>
      <c r="K2136" s="292"/>
      <c r="L2136" s="405"/>
      <c r="M2136" s="421"/>
      <c r="N2136" s="292"/>
      <c r="O2136" s="373">
        <f>TrialBalance!L17</f>
        <v>0</v>
      </c>
      <c r="P2136" s="295"/>
      <c r="Q2136" s="442"/>
      <c r="R2136" s="403" t="str">
        <f t="shared" si="176"/>
        <v>DELETE</v>
      </c>
    </row>
    <row r="2137" spans="2:22" ht="31.5" customHeight="1" x14ac:dyDescent="0.45">
      <c r="B2137" s="441"/>
      <c r="C2137" s="417"/>
      <c r="D2137" s="400">
        <f>TrialBalance!C18</f>
        <v>0</v>
      </c>
      <c r="J2137" s="292"/>
      <c r="K2137" s="292"/>
      <c r="L2137" s="405"/>
      <c r="M2137" s="421"/>
      <c r="N2137" s="292"/>
      <c r="O2137" s="373">
        <f>TrialBalance!L18</f>
        <v>0</v>
      </c>
      <c r="P2137" s="295"/>
      <c r="Q2137" s="442"/>
      <c r="R2137" s="403" t="str">
        <f t="shared" si="176"/>
        <v>DELETE</v>
      </c>
    </row>
    <row r="2138" spans="2:22" ht="31.5" customHeight="1" x14ac:dyDescent="0.45">
      <c r="B2138" s="441"/>
      <c r="C2138" s="417"/>
      <c r="D2138" s="400">
        <f>TrialBalance!C19</f>
        <v>0</v>
      </c>
      <c r="J2138" s="292"/>
      <c r="K2138" s="292"/>
      <c r="L2138" s="405"/>
      <c r="M2138" s="421"/>
      <c r="N2138" s="292"/>
      <c r="O2138" s="373">
        <f>TrialBalance!L19</f>
        <v>0</v>
      </c>
      <c r="P2138" s="295"/>
      <c r="Q2138" s="442"/>
      <c r="R2138" s="403" t="str">
        <f t="shared" si="176"/>
        <v>DELETE</v>
      </c>
    </row>
    <row r="2139" spans="2:22" ht="31.5" customHeight="1" x14ac:dyDescent="0.45">
      <c r="B2139" s="441"/>
      <c r="C2139" s="417"/>
      <c r="D2139" s="400">
        <f>TrialBalance!C20</f>
        <v>0</v>
      </c>
      <c r="J2139" s="292"/>
      <c r="K2139" s="292"/>
      <c r="L2139" s="405"/>
      <c r="M2139" s="421"/>
      <c r="N2139" s="292"/>
      <c r="O2139" s="373">
        <f>TrialBalance!L20</f>
        <v>0</v>
      </c>
      <c r="P2139" s="295"/>
      <c r="Q2139" s="442"/>
      <c r="R2139" s="403" t="str">
        <f t="shared" si="176"/>
        <v>DELETE</v>
      </c>
    </row>
    <row r="2140" spans="2:22" ht="31.5" customHeight="1" x14ac:dyDescent="0.45">
      <c r="B2140" s="441"/>
      <c r="C2140" s="417"/>
      <c r="D2140" s="400">
        <f>TrialBalance!C21</f>
        <v>0</v>
      </c>
      <c r="J2140" s="292"/>
      <c r="K2140" s="292"/>
      <c r="L2140" s="405"/>
      <c r="M2140" s="421"/>
      <c r="N2140" s="292"/>
      <c r="O2140" s="373">
        <f>TrialBalance!L21</f>
        <v>0</v>
      </c>
      <c r="P2140" s="295"/>
      <c r="Q2140" s="442"/>
      <c r="R2140" s="403" t="str">
        <f t="shared" si="176"/>
        <v>DELETE</v>
      </c>
    </row>
    <row r="2141" spans="2:22" ht="31.5" customHeight="1" x14ac:dyDescent="0.45">
      <c r="B2141" s="441"/>
      <c r="C2141" s="417"/>
      <c r="D2141" s="400">
        <f>TrialBalance!C22</f>
        <v>0</v>
      </c>
      <c r="J2141" s="292"/>
      <c r="K2141" s="292"/>
      <c r="L2141" s="405"/>
      <c r="M2141" s="421"/>
      <c r="N2141" s="292"/>
      <c r="O2141" s="373">
        <f>TrialBalance!L22</f>
        <v>0</v>
      </c>
      <c r="P2141" s="295"/>
      <c r="Q2141" s="442"/>
      <c r="R2141" s="403" t="str">
        <f t="shared" si="176"/>
        <v>DELETE</v>
      </c>
    </row>
    <row r="2142" spans="2:22" ht="31.5" customHeight="1" x14ac:dyDescent="0.45">
      <c r="B2142" s="441"/>
      <c r="C2142" s="417"/>
      <c r="D2142" s="400" t="s">
        <v>528</v>
      </c>
      <c r="J2142" s="292"/>
      <c r="K2142" s="292"/>
      <c r="L2142" s="405"/>
      <c r="M2142" s="421"/>
      <c r="N2142" s="292"/>
      <c r="O2142" s="373">
        <f>SUM(TrialBalance!L23:L26)</f>
        <v>0</v>
      </c>
      <c r="P2142" s="295"/>
      <c r="Q2142" s="442"/>
      <c r="R2142" s="403" t="str">
        <f t="shared" si="176"/>
        <v>DELETE</v>
      </c>
    </row>
    <row r="2143" spans="2:22" ht="9" customHeight="1" x14ac:dyDescent="0.45">
      <c r="B2143" s="441"/>
      <c r="C2143" s="417"/>
      <c r="J2143" s="292"/>
      <c r="K2143" s="292"/>
      <c r="L2143" s="405"/>
      <c r="M2143" s="421"/>
      <c r="N2143" s="292"/>
      <c r="O2143" s="374"/>
      <c r="P2143" s="295"/>
      <c r="Q2143" s="442"/>
      <c r="R2143" s="403" t="str">
        <f>R2132</f>
        <v>DELETE</v>
      </c>
    </row>
    <row r="2144" spans="2:22" ht="9" customHeight="1" x14ac:dyDescent="0.45">
      <c r="B2144" s="441"/>
      <c r="C2144" s="417"/>
      <c r="J2144" s="292"/>
      <c r="K2144" s="292"/>
      <c r="L2144" s="405"/>
      <c r="M2144" s="421"/>
      <c r="N2144" s="292"/>
      <c r="O2144" s="349"/>
      <c r="P2144" s="295"/>
      <c r="Q2144" s="442"/>
      <c r="R2144" s="403" t="str">
        <f>R2132</f>
        <v>DELETE</v>
      </c>
    </row>
    <row r="2145" spans="2:23" ht="9" customHeight="1" x14ac:dyDescent="0.45">
      <c r="B2145" s="441"/>
      <c r="C2145" s="417"/>
      <c r="J2145" s="292"/>
      <c r="K2145" s="292"/>
      <c r="L2145" s="405"/>
      <c r="M2145" s="421"/>
      <c r="N2145" s="292"/>
      <c r="O2145" s="347"/>
      <c r="P2145" s="295"/>
      <c r="Q2145" s="442"/>
      <c r="R2145" s="403" t="str">
        <f>R2144</f>
        <v>DELETE</v>
      </c>
    </row>
    <row r="2146" spans="2:23" ht="31.5" customHeight="1" x14ac:dyDescent="0.45">
      <c r="B2146" s="441"/>
      <c r="C2146" s="315" t="str">
        <f>IF(W2146=2,"GROSS PROFIT","GROSS LOSS")</f>
        <v>GROSS PROFIT</v>
      </c>
      <c r="J2146" s="292"/>
      <c r="K2146" s="292"/>
      <c r="L2146" s="405"/>
      <c r="M2146" s="421"/>
      <c r="N2146" s="292"/>
      <c r="O2146" s="347">
        <f>SUM(S2128:S2143)</f>
        <v>0</v>
      </c>
      <c r="P2146" s="295"/>
      <c r="Q2146" s="442"/>
      <c r="R2146" s="403" t="str">
        <f>R2145</f>
        <v>DELETE</v>
      </c>
      <c r="W2146" s="378">
        <f>IF(O2146&lt;0,1,2)</f>
        <v>2</v>
      </c>
    </row>
    <row r="2147" spans="2:23" ht="31.5" customHeight="1" x14ac:dyDescent="0.45">
      <c r="B2147" s="441"/>
      <c r="C2147" s="417"/>
      <c r="J2147" s="292"/>
      <c r="K2147" s="292"/>
      <c r="L2147" s="405"/>
      <c r="M2147" s="421"/>
      <c r="N2147" s="292"/>
      <c r="O2147" s="347"/>
      <c r="P2147" s="295"/>
      <c r="Q2147" s="442"/>
      <c r="R2147" s="403" t="str">
        <f>R2146</f>
        <v>DELETE</v>
      </c>
    </row>
    <row r="2148" spans="2:23" ht="31.5" customHeight="1" x14ac:dyDescent="0.45">
      <c r="B2148" s="441"/>
      <c r="C2148" s="417" t="s">
        <v>323</v>
      </c>
      <c r="J2148" s="292"/>
      <c r="K2148" s="292"/>
      <c r="L2148" s="405"/>
      <c r="M2148" s="421"/>
      <c r="N2148" s="292"/>
      <c r="O2148" s="347">
        <f>SUM(O2150:O2157)</f>
        <v>0</v>
      </c>
      <c r="P2148" s="295"/>
      <c r="Q2148" s="442"/>
      <c r="R2148" s="403" t="str">
        <f t="shared" ref="R2148" si="177">IF(O2148=0,"DELETE"," ")</f>
        <v>DELETE</v>
      </c>
      <c r="S2148" s="380">
        <f>O2148</f>
        <v>0</v>
      </c>
      <c r="T2148" s="380"/>
    </row>
    <row r="2149" spans="2:23" ht="9" customHeight="1" x14ac:dyDescent="0.45">
      <c r="B2149" s="441"/>
      <c r="C2149" s="417"/>
      <c r="J2149" s="292"/>
      <c r="K2149" s="292"/>
      <c r="L2149" s="405"/>
      <c r="M2149" s="421"/>
      <c r="N2149" s="292"/>
      <c r="O2149" s="347"/>
      <c r="P2149" s="295"/>
      <c r="Q2149" s="442"/>
      <c r="R2149" s="403" t="str">
        <f>R2148</f>
        <v>DELETE</v>
      </c>
    </row>
    <row r="2150" spans="2:23" ht="9" customHeight="1" x14ac:dyDescent="0.45">
      <c r="B2150" s="441"/>
      <c r="C2150" s="417"/>
      <c r="J2150" s="292"/>
      <c r="K2150" s="292"/>
      <c r="L2150" s="405"/>
      <c r="M2150" s="421"/>
      <c r="N2150" s="292"/>
      <c r="O2150" s="372"/>
      <c r="P2150" s="295"/>
      <c r="Q2150" s="442"/>
      <c r="R2150" s="403" t="str">
        <f>R2148</f>
        <v>DELETE</v>
      </c>
    </row>
    <row r="2151" spans="2:23" ht="31.5" customHeight="1" x14ac:dyDescent="0.45">
      <c r="B2151" s="441"/>
      <c r="C2151" s="417"/>
      <c r="D2151" s="400" t="str">
        <f>TrialBalance!C28</f>
        <v>Insurance claims - Investments in financial instruments</v>
      </c>
      <c r="J2151" s="292"/>
      <c r="K2151" s="292"/>
      <c r="L2151" s="405"/>
      <c r="M2151" s="421"/>
      <c r="N2151" s="292"/>
      <c r="O2151" s="373">
        <f>-TrialBalance!L28</f>
        <v>0</v>
      </c>
      <c r="P2151" s="295"/>
      <c r="Q2151" s="442"/>
      <c r="R2151" s="403" t="str">
        <f t="shared" ref="R2151:R2155" si="178">IF(O2151=0,"DELETE"," ")</f>
        <v>DELETE</v>
      </c>
    </row>
    <row r="2152" spans="2:23" ht="31.5" customHeight="1" x14ac:dyDescent="0.45">
      <c r="B2152" s="441"/>
      <c r="C2152" s="417"/>
      <c r="D2152" s="400" t="str">
        <f>TrialBalance!C29</f>
        <v>Government grants received</v>
      </c>
      <c r="J2152" s="292"/>
      <c r="K2152" s="292"/>
      <c r="L2152" s="405"/>
      <c r="M2152" s="421"/>
      <c r="N2152" s="292"/>
      <c r="O2152" s="373">
        <f>-TrialBalance!L29</f>
        <v>0</v>
      </c>
      <c r="P2152" s="295"/>
      <c r="Q2152" s="442"/>
      <c r="R2152" s="403" t="str">
        <f t="shared" si="178"/>
        <v>DELETE</v>
      </c>
    </row>
    <row r="2153" spans="2:23" ht="31.5" customHeight="1" x14ac:dyDescent="0.45">
      <c r="B2153" s="441"/>
      <c r="C2153" s="417"/>
      <c r="D2153" s="400">
        <f>TrialBalance!C30</f>
        <v>0</v>
      </c>
      <c r="J2153" s="292"/>
      <c r="K2153" s="292"/>
      <c r="L2153" s="405"/>
      <c r="M2153" s="421"/>
      <c r="N2153" s="292"/>
      <c r="O2153" s="373">
        <f>-TrialBalance!L30</f>
        <v>0</v>
      </c>
      <c r="P2153" s="295"/>
      <c r="Q2153" s="442"/>
      <c r="R2153" s="403" t="str">
        <f t="shared" si="178"/>
        <v>DELETE</v>
      </c>
    </row>
    <row r="2154" spans="2:23" ht="31.5" customHeight="1" x14ac:dyDescent="0.45">
      <c r="B2154" s="441"/>
      <c r="C2154" s="417"/>
      <c r="D2154" s="400">
        <f>TrialBalance!C31</f>
        <v>0</v>
      </c>
      <c r="J2154" s="292"/>
      <c r="K2154" s="292"/>
      <c r="L2154" s="405"/>
      <c r="M2154" s="421"/>
      <c r="N2154" s="292"/>
      <c r="O2154" s="373">
        <f>-TrialBalance!L31</f>
        <v>0</v>
      </c>
      <c r="P2154" s="295"/>
      <c r="Q2154" s="442"/>
      <c r="R2154" s="403" t="str">
        <f t="shared" si="178"/>
        <v>DELETE</v>
      </c>
    </row>
    <row r="2155" spans="2:23" ht="31.5" customHeight="1" x14ac:dyDescent="0.45">
      <c r="B2155" s="441"/>
      <c r="C2155" s="417"/>
      <c r="D2155" s="400">
        <f>TrialBalance!C32</f>
        <v>0</v>
      </c>
      <c r="J2155" s="292"/>
      <c r="K2155" s="292"/>
      <c r="L2155" s="405"/>
      <c r="M2155" s="421"/>
      <c r="N2155" s="292"/>
      <c r="O2155" s="373">
        <f>-TrialBalance!L32</f>
        <v>0</v>
      </c>
      <c r="P2155" s="295"/>
      <c r="Q2155" s="442"/>
      <c r="R2155" s="403" t="str">
        <f t="shared" si="178"/>
        <v>DELETE</v>
      </c>
    </row>
    <row r="2156" spans="2:23" ht="31.5" customHeight="1" x14ac:dyDescent="0.45">
      <c r="B2156" s="441"/>
      <c r="C2156" s="417"/>
      <c r="D2156" s="400" t="str">
        <f>TrialBalance!C33</f>
        <v>Recoupment of depreciation</v>
      </c>
      <c r="J2156" s="292"/>
      <c r="K2156" s="292"/>
      <c r="L2156" s="405"/>
      <c r="M2156" s="421"/>
      <c r="N2156" s="292"/>
      <c r="O2156" s="373">
        <f>-TrialBalance!L33</f>
        <v>0</v>
      </c>
      <c r="P2156" s="295"/>
      <c r="Q2156" s="442"/>
      <c r="R2156" s="403" t="str">
        <f t="shared" ref="R2156" si="179">IF(O2156=0,"DELETE"," ")</f>
        <v>DELETE</v>
      </c>
    </row>
    <row r="2157" spans="2:23" ht="9" customHeight="1" x14ac:dyDescent="0.45">
      <c r="B2157" s="441"/>
      <c r="C2157" s="417"/>
      <c r="J2157" s="292"/>
      <c r="K2157" s="292"/>
      <c r="L2157" s="405"/>
      <c r="M2157" s="421"/>
      <c r="N2157" s="292"/>
      <c r="O2157" s="374"/>
      <c r="P2157" s="295"/>
      <c r="Q2157" s="442"/>
      <c r="R2157" s="403" t="str">
        <f>R2148</f>
        <v>DELETE</v>
      </c>
    </row>
    <row r="2158" spans="2:23" ht="9" customHeight="1" x14ac:dyDescent="0.45">
      <c r="B2158" s="441"/>
      <c r="C2158" s="417"/>
      <c r="J2158" s="292"/>
      <c r="K2158" s="292"/>
      <c r="L2158" s="405"/>
      <c r="M2158" s="421"/>
      <c r="N2158" s="292"/>
      <c r="O2158" s="364"/>
      <c r="P2158" s="295"/>
      <c r="Q2158" s="442"/>
      <c r="R2158" s="403" t="str">
        <f>R2157</f>
        <v>DELETE</v>
      </c>
    </row>
    <row r="2159" spans="2:23" ht="9" customHeight="1" x14ac:dyDescent="0.45">
      <c r="B2159" s="441"/>
      <c r="C2159" s="417"/>
      <c r="J2159" s="292"/>
      <c r="K2159" s="292"/>
      <c r="L2159" s="405"/>
      <c r="M2159" s="421"/>
      <c r="N2159" s="292"/>
      <c r="O2159" s="347"/>
      <c r="P2159" s="295"/>
      <c r="Q2159" s="442"/>
      <c r="R2159" s="403" t="str">
        <f>R2158</f>
        <v>DELETE</v>
      </c>
    </row>
    <row r="2160" spans="2:23" ht="31.5" customHeight="1" x14ac:dyDescent="0.45">
      <c r="B2160" s="441"/>
      <c r="C2160" s="417"/>
      <c r="J2160" s="292"/>
      <c r="K2160" s="292"/>
      <c r="L2160" s="405"/>
      <c r="M2160" s="421"/>
      <c r="N2160" s="292"/>
      <c r="O2160" s="347">
        <f>SUM(S2128:S2148)</f>
        <v>0</v>
      </c>
      <c r="P2160" s="295"/>
      <c r="Q2160" s="442"/>
      <c r="R2160" s="403" t="str">
        <f>R2148</f>
        <v>DELETE</v>
      </c>
    </row>
    <row r="2161" spans="2:22" ht="31.5" customHeight="1" x14ac:dyDescent="0.45">
      <c r="B2161" s="441"/>
      <c r="C2161" s="417"/>
      <c r="J2161" s="292"/>
      <c r="K2161" s="292"/>
      <c r="L2161" s="405"/>
      <c r="M2161" s="421"/>
      <c r="N2161" s="292"/>
      <c r="O2161" s="347"/>
      <c r="P2161" s="295"/>
      <c r="Q2161" s="442"/>
      <c r="R2161" s="403" t="str">
        <f>R2160</f>
        <v>DELETE</v>
      </c>
    </row>
    <row r="2162" spans="2:22" ht="31.5" customHeight="1" x14ac:dyDescent="0.45">
      <c r="B2162" s="441"/>
      <c r="C2162" s="417" t="s">
        <v>996</v>
      </c>
      <c r="J2162" s="292"/>
      <c r="K2162" s="292"/>
      <c r="L2162" s="405"/>
      <c r="M2162" s="421"/>
      <c r="N2162" s="292"/>
      <c r="O2162" s="347">
        <f>SUM(O2164:O2192)</f>
        <v>0</v>
      </c>
      <c r="P2162" s="295"/>
      <c r="Q2162" s="442"/>
      <c r="R2162" s="403" t="str">
        <f t="shared" ref="R2162" si="180">IF(O2162=0,"DELETE"," ")</f>
        <v>DELETE</v>
      </c>
      <c r="S2162" s="380">
        <f>-O2162</f>
        <v>0</v>
      </c>
      <c r="T2162" s="380"/>
      <c r="U2162" s="380"/>
      <c r="V2162" s="380"/>
    </row>
    <row r="2163" spans="2:22" ht="9" customHeight="1" x14ac:dyDescent="0.45">
      <c r="B2163" s="441"/>
      <c r="C2163" s="417"/>
      <c r="J2163" s="292"/>
      <c r="K2163" s="292"/>
      <c r="L2163" s="405"/>
      <c r="M2163" s="421"/>
      <c r="N2163" s="292"/>
      <c r="O2163" s="347"/>
      <c r="P2163" s="295"/>
      <c r="Q2163" s="442"/>
      <c r="R2163" s="403" t="str">
        <f>R2162</f>
        <v>DELETE</v>
      </c>
    </row>
    <row r="2164" spans="2:22" ht="9" customHeight="1" x14ac:dyDescent="0.45">
      <c r="B2164" s="441"/>
      <c r="C2164" s="417"/>
      <c r="J2164" s="292"/>
      <c r="K2164" s="292"/>
      <c r="L2164" s="405"/>
      <c r="M2164" s="421"/>
      <c r="N2164" s="292"/>
      <c r="O2164" s="372"/>
      <c r="P2164" s="295"/>
      <c r="Q2164" s="442"/>
      <c r="R2164" s="403" t="str">
        <f>R2163</f>
        <v>DELETE</v>
      </c>
    </row>
    <row r="2165" spans="2:22" ht="31.5" customHeight="1" x14ac:dyDescent="0.45">
      <c r="B2165" s="441"/>
      <c r="C2165" s="417"/>
      <c r="D2165" s="400" t="s">
        <v>275</v>
      </c>
      <c r="J2165" s="292"/>
      <c r="K2165" s="292"/>
      <c r="L2165" s="405"/>
      <c r="M2165" s="421"/>
      <c r="N2165" s="292"/>
      <c r="O2165" s="373">
        <f>TrialBalance!L40</f>
        <v>0</v>
      </c>
      <c r="P2165" s="295"/>
      <c r="Q2165" s="442"/>
      <c r="R2165" s="403" t="str">
        <f t="shared" ref="R2165:R2191" si="181">IF(O2165=0,"DELETE"," ")</f>
        <v>DELETE</v>
      </c>
    </row>
    <row r="2166" spans="2:22" ht="31.5" customHeight="1" x14ac:dyDescent="0.45">
      <c r="B2166" s="441"/>
      <c r="C2166" s="417"/>
      <c r="D2166" s="400" t="s">
        <v>702</v>
      </c>
      <c r="J2166" s="292"/>
      <c r="K2166" s="292"/>
      <c r="L2166" s="405"/>
      <c r="M2166" s="421"/>
      <c r="N2166" s="292"/>
      <c r="O2166" s="373">
        <f>TrialBalance!L41</f>
        <v>0</v>
      </c>
      <c r="P2166" s="295"/>
      <c r="Q2166" s="442"/>
      <c r="R2166" s="403" t="str">
        <f t="shared" si="181"/>
        <v>DELETE</v>
      </c>
    </row>
    <row r="2167" spans="2:22" ht="31.5" customHeight="1" x14ac:dyDescent="0.45">
      <c r="B2167" s="441"/>
      <c r="C2167" s="417"/>
      <c r="D2167" s="400" t="s">
        <v>276</v>
      </c>
      <c r="J2167" s="292"/>
      <c r="K2167" s="292"/>
      <c r="L2167" s="405"/>
      <c r="M2167" s="421"/>
      <c r="N2167" s="292"/>
      <c r="O2167" s="373">
        <f>TrialBalance!L42</f>
        <v>0</v>
      </c>
      <c r="P2167" s="295"/>
      <c r="Q2167" s="442"/>
      <c r="R2167" s="403" t="str">
        <f t="shared" si="181"/>
        <v>DELETE</v>
      </c>
    </row>
    <row r="2168" spans="2:22" ht="31.5" customHeight="1" x14ac:dyDescent="0.45">
      <c r="B2168" s="441"/>
      <c r="C2168" s="417"/>
      <c r="D2168" s="400" t="s">
        <v>277</v>
      </c>
      <c r="J2168" s="292"/>
      <c r="K2168" s="292">
        <f>C$940</f>
        <v>5.2999999999999989</v>
      </c>
      <c r="L2168" s="405"/>
      <c r="M2168" s="421"/>
      <c r="N2168" s="292"/>
      <c r="O2168" s="373">
        <f>SUM(TrialBalance!L44:L46)</f>
        <v>0</v>
      </c>
      <c r="P2168" s="295"/>
      <c r="Q2168" s="442"/>
      <c r="R2168" s="403" t="str">
        <f t="shared" si="181"/>
        <v>DELETE</v>
      </c>
    </row>
    <row r="2169" spans="2:22" ht="31.5" customHeight="1" x14ac:dyDescent="0.45">
      <c r="B2169" s="441"/>
      <c r="C2169" s="417"/>
      <c r="D2169" s="400" t="s">
        <v>529</v>
      </c>
      <c r="J2169" s="292"/>
      <c r="K2169" s="292"/>
      <c r="L2169" s="405"/>
      <c r="M2169" s="421"/>
      <c r="N2169" s="292"/>
      <c r="O2169" s="373">
        <f>TrialBalance!L47</f>
        <v>0</v>
      </c>
      <c r="P2169" s="295"/>
      <c r="Q2169" s="442"/>
      <c r="R2169" s="403" t="str">
        <f t="shared" si="181"/>
        <v>DELETE</v>
      </c>
      <c r="S2169" s="383"/>
      <c r="T2169" s="383"/>
      <c r="U2169" s="383"/>
      <c r="V2169" s="383"/>
    </row>
    <row r="2170" spans="2:22" ht="31.5" customHeight="1" x14ac:dyDescent="0.45">
      <c r="B2170" s="441"/>
      <c r="C2170" s="417"/>
      <c r="D2170" s="400" t="s">
        <v>725</v>
      </c>
      <c r="J2170" s="292"/>
      <c r="K2170" s="292"/>
      <c r="L2170" s="405"/>
      <c r="M2170" s="421"/>
      <c r="N2170" s="292"/>
      <c r="O2170" s="373">
        <f>TrialBalance!L48</f>
        <v>0</v>
      </c>
      <c r="P2170" s="295"/>
      <c r="Q2170" s="442"/>
      <c r="R2170" s="403" t="str">
        <f t="shared" si="181"/>
        <v>DELETE</v>
      </c>
    </row>
    <row r="2171" spans="2:22" ht="31.5" customHeight="1" x14ac:dyDescent="0.45">
      <c r="B2171" s="441"/>
      <c r="C2171" s="417"/>
      <c r="D2171" s="400" t="s">
        <v>59</v>
      </c>
      <c r="J2171" s="292"/>
      <c r="K2171" s="292"/>
      <c r="L2171" s="405"/>
      <c r="M2171" s="421"/>
      <c r="N2171" s="292"/>
      <c r="O2171" s="373">
        <f>TrialBalance!L49</f>
        <v>0</v>
      </c>
      <c r="P2171" s="295"/>
      <c r="Q2171" s="442"/>
      <c r="R2171" s="403" t="str">
        <f t="shared" si="181"/>
        <v>DELETE</v>
      </c>
    </row>
    <row r="2172" spans="2:22" ht="31.5" customHeight="1" x14ac:dyDescent="0.45">
      <c r="B2172" s="441"/>
      <c r="C2172" s="417"/>
      <c r="D2172" s="400" t="s">
        <v>278</v>
      </c>
      <c r="J2172" s="292"/>
      <c r="K2172" s="292"/>
      <c r="L2172" s="405"/>
      <c r="M2172" s="421"/>
      <c r="N2172" s="292"/>
      <c r="O2172" s="373">
        <f>TrialBalance!L50</f>
        <v>0</v>
      </c>
      <c r="P2172" s="295"/>
      <c r="Q2172" s="442"/>
      <c r="R2172" s="403" t="str">
        <f t="shared" si="181"/>
        <v>DELETE</v>
      </c>
    </row>
    <row r="2173" spans="2:22" ht="31.5" customHeight="1" x14ac:dyDescent="0.45">
      <c r="B2173" s="441"/>
      <c r="C2173" s="417"/>
      <c r="D2173" s="400" t="s">
        <v>546</v>
      </c>
      <c r="J2173" s="292"/>
      <c r="K2173" s="292"/>
      <c r="L2173" s="405"/>
      <c r="M2173" s="421"/>
      <c r="N2173" s="292"/>
      <c r="O2173" s="373">
        <f>SUM(TrialBalance!L51:L52)</f>
        <v>0</v>
      </c>
      <c r="P2173" s="295"/>
      <c r="Q2173" s="442"/>
      <c r="R2173" s="403" t="str">
        <f t="shared" si="181"/>
        <v>DELETE</v>
      </c>
    </row>
    <row r="2174" spans="2:22" ht="31.5" customHeight="1" x14ac:dyDescent="0.45">
      <c r="B2174" s="441"/>
      <c r="C2174" s="417"/>
      <c r="D2174" s="400" t="s">
        <v>545</v>
      </c>
      <c r="J2174" s="292"/>
      <c r="K2174" s="292"/>
      <c r="L2174" s="405"/>
      <c r="M2174" s="421"/>
      <c r="N2174" s="292"/>
      <c r="O2174" s="373">
        <f>TrialBalance!L53</f>
        <v>0</v>
      </c>
      <c r="P2174" s="295"/>
      <c r="Q2174" s="442"/>
      <c r="R2174" s="403" t="str">
        <f t="shared" si="181"/>
        <v>DELETE</v>
      </c>
    </row>
    <row r="2175" spans="2:22" ht="31.5" customHeight="1" x14ac:dyDescent="0.45">
      <c r="B2175" s="441"/>
      <c r="C2175" s="417"/>
      <c r="D2175" s="400" t="s">
        <v>530</v>
      </c>
      <c r="J2175" s="292"/>
      <c r="K2175" s="292"/>
      <c r="L2175" s="405"/>
      <c r="M2175" s="421"/>
      <c r="N2175" s="292"/>
      <c r="O2175" s="373">
        <f>SUM(TrialBalance!L55:L59)</f>
        <v>0</v>
      </c>
      <c r="P2175" s="295"/>
      <c r="Q2175" s="442"/>
      <c r="R2175" s="403" t="str">
        <f t="shared" si="181"/>
        <v>DELETE</v>
      </c>
    </row>
    <row r="2176" spans="2:22" ht="31.5" customHeight="1" x14ac:dyDescent="0.45">
      <c r="B2176" s="441"/>
      <c r="C2176" s="417"/>
      <c r="D2176" s="400" t="s">
        <v>512</v>
      </c>
      <c r="J2176" s="292"/>
      <c r="K2176" s="292">
        <f>C$908</f>
        <v>5.1999999999999993</v>
      </c>
      <c r="L2176" s="405"/>
      <c r="M2176" s="421"/>
      <c r="N2176" s="292"/>
      <c r="O2176" s="373">
        <f>SUM(TrialBalance!L61:L63)</f>
        <v>0</v>
      </c>
      <c r="P2176" s="295"/>
      <c r="Q2176" s="442"/>
      <c r="R2176" s="403" t="str">
        <f t="shared" si="181"/>
        <v>DELETE</v>
      </c>
    </row>
    <row r="2177" spans="2:18" ht="31.5" customHeight="1" x14ac:dyDescent="0.45">
      <c r="B2177" s="441"/>
      <c r="C2177" s="417"/>
      <c r="D2177" s="400" t="s">
        <v>62</v>
      </c>
      <c r="J2177" s="292"/>
      <c r="K2177" s="292"/>
      <c r="L2177" s="405"/>
      <c r="M2177" s="421"/>
      <c r="N2177" s="292"/>
      <c r="O2177" s="373">
        <f>TrialBalance!L64</f>
        <v>0</v>
      </c>
      <c r="P2177" s="295"/>
      <c r="Q2177" s="442"/>
      <c r="R2177" s="403" t="str">
        <f t="shared" si="181"/>
        <v>DELETE</v>
      </c>
    </row>
    <row r="2178" spans="2:18" ht="31.5" customHeight="1" x14ac:dyDescent="0.45">
      <c r="B2178" s="441"/>
      <c r="C2178" s="417"/>
      <c r="D2178" s="400" t="s">
        <v>253</v>
      </c>
      <c r="J2178" s="292"/>
      <c r="K2178" s="292"/>
      <c r="L2178" s="405"/>
      <c r="M2178" s="421"/>
      <c r="N2178" s="292"/>
      <c r="O2178" s="373">
        <f>SUM(TrialBalance!L65:L67)</f>
        <v>0</v>
      </c>
      <c r="P2178" s="295"/>
      <c r="Q2178" s="442"/>
      <c r="R2178" s="403" t="str">
        <f t="shared" si="181"/>
        <v>DELETE</v>
      </c>
    </row>
    <row r="2179" spans="2:18" ht="31.5" customHeight="1" x14ac:dyDescent="0.45">
      <c r="B2179" s="441"/>
      <c r="C2179" s="417"/>
      <c r="D2179" s="400" t="s">
        <v>726</v>
      </c>
      <c r="J2179" s="292"/>
      <c r="K2179" s="292"/>
      <c r="L2179" s="405"/>
      <c r="M2179" s="421"/>
      <c r="N2179" s="292"/>
      <c r="O2179" s="373">
        <f>SUM(TrialBalance!L68:L69)</f>
        <v>0</v>
      </c>
      <c r="P2179" s="295"/>
      <c r="Q2179" s="442"/>
      <c r="R2179" s="403" t="str">
        <f t="shared" si="181"/>
        <v>DELETE</v>
      </c>
    </row>
    <row r="2180" spans="2:18" ht="31.5" customHeight="1" x14ac:dyDescent="0.45">
      <c r="B2180" s="441"/>
      <c r="C2180" s="417"/>
      <c r="D2180" s="400" t="s">
        <v>254</v>
      </c>
      <c r="J2180" s="292"/>
      <c r="K2180" s="292"/>
      <c r="L2180" s="405"/>
      <c r="M2180" s="421"/>
      <c r="N2180" s="292"/>
      <c r="O2180" s="373">
        <f>TrialBalance!L70</f>
        <v>0</v>
      </c>
      <c r="P2180" s="295"/>
      <c r="Q2180" s="442"/>
      <c r="R2180" s="403" t="str">
        <f t="shared" si="181"/>
        <v>DELETE</v>
      </c>
    </row>
    <row r="2181" spans="2:18" ht="31.5" customHeight="1" x14ac:dyDescent="0.45">
      <c r="B2181" s="441"/>
      <c r="C2181" s="417"/>
      <c r="D2181" s="400" t="s">
        <v>387</v>
      </c>
      <c r="J2181" s="292"/>
      <c r="K2181" s="292"/>
      <c r="L2181" s="405"/>
      <c r="M2181" s="421"/>
      <c r="N2181" s="292"/>
      <c r="O2181" s="373">
        <f>TrialBalance!L71</f>
        <v>0</v>
      </c>
      <c r="P2181" s="295"/>
      <c r="Q2181" s="442"/>
      <c r="R2181" s="403" t="str">
        <f t="shared" si="181"/>
        <v>DELETE</v>
      </c>
    </row>
    <row r="2182" spans="2:18" ht="31.5" customHeight="1" x14ac:dyDescent="0.45">
      <c r="B2182" s="441"/>
      <c r="C2182" s="417"/>
      <c r="D2182" s="400">
        <f>TrialBalance!C72</f>
        <v>0</v>
      </c>
      <c r="J2182" s="292"/>
      <c r="K2182" s="292"/>
      <c r="L2182" s="405"/>
      <c r="M2182" s="421"/>
      <c r="N2182" s="292"/>
      <c r="O2182" s="373">
        <f>TrialBalance!L72</f>
        <v>0</v>
      </c>
      <c r="P2182" s="295"/>
      <c r="Q2182" s="442"/>
      <c r="R2182" s="403" t="str">
        <f t="shared" si="181"/>
        <v>DELETE</v>
      </c>
    </row>
    <row r="2183" spans="2:18" ht="31.5" customHeight="1" x14ac:dyDescent="0.45">
      <c r="B2183" s="441"/>
      <c r="C2183" s="417"/>
      <c r="D2183" s="400">
        <f>TrialBalance!C73</f>
        <v>0</v>
      </c>
      <c r="J2183" s="292"/>
      <c r="K2183" s="292"/>
      <c r="L2183" s="405"/>
      <c r="M2183" s="421"/>
      <c r="N2183" s="292"/>
      <c r="O2183" s="373">
        <f>TrialBalance!L73</f>
        <v>0</v>
      </c>
      <c r="P2183" s="295"/>
      <c r="Q2183" s="442"/>
      <c r="R2183" s="403" t="str">
        <f t="shared" si="181"/>
        <v>DELETE</v>
      </c>
    </row>
    <row r="2184" spans="2:18" ht="31.5" customHeight="1" x14ac:dyDescent="0.45">
      <c r="B2184" s="441"/>
      <c r="C2184" s="417"/>
      <c r="D2184" s="400">
        <f>TrialBalance!C74</f>
        <v>0</v>
      </c>
      <c r="J2184" s="292"/>
      <c r="K2184" s="292"/>
      <c r="L2184" s="405"/>
      <c r="M2184" s="421"/>
      <c r="N2184" s="292"/>
      <c r="O2184" s="373">
        <f>TrialBalance!L74</f>
        <v>0</v>
      </c>
      <c r="P2184" s="295"/>
      <c r="Q2184" s="442"/>
      <c r="R2184" s="403" t="str">
        <f t="shared" si="181"/>
        <v>DELETE</v>
      </c>
    </row>
    <row r="2185" spans="2:18" ht="31.5" customHeight="1" x14ac:dyDescent="0.45">
      <c r="B2185" s="441"/>
      <c r="C2185" s="417"/>
      <c r="D2185" s="400">
        <f>TrialBalance!C75</f>
        <v>0</v>
      </c>
      <c r="J2185" s="292"/>
      <c r="K2185" s="292"/>
      <c r="L2185" s="405"/>
      <c r="M2185" s="421"/>
      <c r="N2185" s="292"/>
      <c r="O2185" s="373">
        <f>TrialBalance!L75</f>
        <v>0</v>
      </c>
      <c r="P2185" s="295"/>
      <c r="Q2185" s="442"/>
      <c r="R2185" s="403" t="str">
        <f t="shared" si="181"/>
        <v>DELETE</v>
      </c>
    </row>
    <row r="2186" spans="2:18" ht="31.5" customHeight="1" x14ac:dyDescent="0.45">
      <c r="B2186" s="441"/>
      <c r="C2186" s="417"/>
      <c r="D2186" s="400">
        <f>TrialBalance!C76</f>
        <v>0</v>
      </c>
      <c r="J2186" s="292"/>
      <c r="K2186" s="292"/>
      <c r="L2186" s="405"/>
      <c r="M2186" s="421"/>
      <c r="N2186" s="292"/>
      <c r="O2186" s="373">
        <f>TrialBalance!L76</f>
        <v>0</v>
      </c>
      <c r="P2186" s="295"/>
      <c r="Q2186" s="442"/>
      <c r="R2186" s="403" t="str">
        <f t="shared" si="181"/>
        <v>DELETE</v>
      </c>
    </row>
    <row r="2187" spans="2:18" ht="31.5" customHeight="1" x14ac:dyDescent="0.45">
      <c r="B2187" s="441"/>
      <c r="C2187" s="417"/>
      <c r="D2187" s="400">
        <f>TrialBalance!C77</f>
        <v>0</v>
      </c>
      <c r="J2187" s="292"/>
      <c r="K2187" s="292"/>
      <c r="L2187" s="405"/>
      <c r="M2187" s="421"/>
      <c r="N2187" s="292"/>
      <c r="O2187" s="373">
        <f>TrialBalance!L77</f>
        <v>0</v>
      </c>
      <c r="P2187" s="295"/>
      <c r="Q2187" s="442"/>
      <c r="R2187" s="403" t="str">
        <f t="shared" si="181"/>
        <v>DELETE</v>
      </c>
    </row>
    <row r="2188" spans="2:18" ht="31.5" customHeight="1" x14ac:dyDescent="0.45">
      <c r="B2188" s="441"/>
      <c r="C2188" s="417"/>
      <c r="D2188" s="400">
        <f>TrialBalance!C78</f>
        <v>0</v>
      </c>
      <c r="J2188" s="292"/>
      <c r="K2188" s="292"/>
      <c r="L2188" s="405"/>
      <c r="M2188" s="421"/>
      <c r="N2188" s="292"/>
      <c r="O2188" s="373">
        <f>TrialBalance!L78</f>
        <v>0</v>
      </c>
      <c r="P2188" s="295"/>
      <c r="Q2188" s="442"/>
      <c r="R2188" s="403" t="str">
        <f t="shared" si="181"/>
        <v>DELETE</v>
      </c>
    </row>
    <row r="2189" spans="2:18" ht="31.5" customHeight="1" x14ac:dyDescent="0.45">
      <c r="B2189" s="441"/>
      <c r="C2189" s="417"/>
      <c r="D2189" s="400">
        <f>TrialBalance!C79</f>
        <v>0</v>
      </c>
      <c r="J2189" s="292"/>
      <c r="K2189" s="292"/>
      <c r="L2189" s="405"/>
      <c r="M2189" s="421"/>
      <c r="N2189" s="292"/>
      <c r="O2189" s="373">
        <f>TrialBalance!L79</f>
        <v>0</v>
      </c>
      <c r="P2189" s="295"/>
      <c r="Q2189" s="442"/>
      <c r="R2189" s="403" t="str">
        <f t="shared" si="181"/>
        <v>DELETE</v>
      </c>
    </row>
    <row r="2190" spans="2:18" ht="31.5" customHeight="1" x14ac:dyDescent="0.45">
      <c r="B2190" s="441"/>
      <c r="C2190" s="417"/>
      <c r="D2190" s="400">
        <f>TrialBalance!C80</f>
        <v>0</v>
      </c>
      <c r="J2190" s="292"/>
      <c r="K2190" s="292"/>
      <c r="L2190" s="405"/>
      <c r="M2190" s="421"/>
      <c r="N2190" s="292"/>
      <c r="O2190" s="373">
        <f>TrialBalance!L80</f>
        <v>0</v>
      </c>
      <c r="P2190" s="295"/>
      <c r="Q2190" s="442"/>
      <c r="R2190" s="403" t="str">
        <f t="shared" si="181"/>
        <v>DELETE</v>
      </c>
    </row>
    <row r="2191" spans="2:18" ht="31.5" customHeight="1" x14ac:dyDescent="0.45">
      <c r="B2191" s="441"/>
      <c r="C2191" s="417"/>
      <c r="D2191" s="400">
        <f>TrialBalance!C81</f>
        <v>0</v>
      </c>
      <c r="J2191" s="292"/>
      <c r="K2191" s="292"/>
      <c r="L2191" s="405"/>
      <c r="M2191" s="421"/>
      <c r="N2191" s="292"/>
      <c r="O2191" s="373">
        <f>TrialBalance!L81</f>
        <v>0</v>
      </c>
      <c r="P2191" s="295"/>
      <c r="Q2191" s="442"/>
      <c r="R2191" s="403" t="str">
        <f t="shared" si="181"/>
        <v>DELETE</v>
      </c>
    </row>
    <row r="2192" spans="2:18" ht="9" customHeight="1" x14ac:dyDescent="0.45">
      <c r="B2192" s="441"/>
      <c r="C2192" s="417"/>
      <c r="J2192" s="292"/>
      <c r="K2192" s="292"/>
      <c r="L2192" s="405"/>
      <c r="M2192" s="421"/>
      <c r="N2192" s="292"/>
      <c r="O2192" s="374"/>
      <c r="P2192" s="295"/>
      <c r="Q2192" s="442"/>
      <c r="R2192" s="403" t="str">
        <f>R2162</f>
        <v>DELETE</v>
      </c>
    </row>
    <row r="2193" spans="2:23" ht="9" customHeight="1" x14ac:dyDescent="0.45">
      <c r="B2193" s="441"/>
      <c r="C2193" s="417"/>
      <c r="J2193" s="292"/>
      <c r="K2193" s="292"/>
      <c r="L2193" s="405"/>
      <c r="M2193" s="421"/>
      <c r="N2193" s="292"/>
      <c r="O2193" s="349"/>
      <c r="P2193" s="295"/>
      <c r="Q2193" s="442"/>
    </row>
    <row r="2194" spans="2:23" ht="9" customHeight="1" x14ac:dyDescent="0.45">
      <c r="B2194" s="441"/>
      <c r="C2194" s="417"/>
      <c r="J2194" s="292"/>
      <c r="K2194" s="292"/>
      <c r="L2194" s="405"/>
      <c r="M2194" s="421"/>
      <c r="N2194" s="292"/>
      <c r="O2194" s="347"/>
      <c r="P2194" s="295"/>
      <c r="Q2194" s="442"/>
    </row>
    <row r="2195" spans="2:23" ht="27.75" customHeight="1" x14ac:dyDescent="0.45">
      <c r="B2195" s="441"/>
      <c r="C2195" s="315" t="str">
        <f>IF(W2195=2,"OPERATING PROFIT","OPERATING LOSS")</f>
        <v>OPERATING PROFIT</v>
      </c>
      <c r="J2195" s="292"/>
      <c r="K2195" s="292"/>
      <c r="L2195" s="405"/>
      <c r="M2195" s="421"/>
      <c r="N2195" s="292"/>
      <c r="O2195" s="347">
        <f>SUM(S2128:S2193)</f>
        <v>0</v>
      </c>
      <c r="P2195" s="295"/>
      <c r="Q2195" s="442"/>
      <c r="W2195" s="378">
        <f>IF(O2195&lt;0,1,2)</f>
        <v>2</v>
      </c>
    </row>
    <row r="2196" spans="2:23" ht="31.5" customHeight="1" x14ac:dyDescent="0.45">
      <c r="B2196" s="441"/>
      <c r="C2196" s="417"/>
      <c r="D2196" s="400" t="s">
        <v>256</v>
      </c>
      <c r="J2196" s="292"/>
      <c r="K2196" s="292"/>
      <c r="L2196" s="405"/>
      <c r="M2196" s="421"/>
      <c r="N2196" s="292"/>
      <c r="O2196" s="347"/>
      <c r="P2196" s="295"/>
      <c r="Q2196" s="442"/>
    </row>
    <row r="2197" spans="2:23" ht="31.5" customHeight="1" x14ac:dyDescent="0.45">
      <c r="B2197" s="441"/>
      <c r="C2197" s="417"/>
      <c r="J2197" s="292"/>
      <c r="K2197" s="292"/>
      <c r="L2197" s="292"/>
      <c r="M2197" s="347"/>
      <c r="N2197" s="298"/>
      <c r="O2197" s="347"/>
      <c r="P2197" s="295"/>
      <c r="Q2197" s="442"/>
    </row>
    <row r="2198" spans="2:23" ht="31.5" customHeight="1" x14ac:dyDescent="0.45">
      <c r="B2198" s="441"/>
      <c r="C2198" s="417"/>
      <c r="J2198" s="292"/>
      <c r="K2198" s="292"/>
      <c r="L2198" s="292"/>
      <c r="M2198" s="347"/>
      <c r="N2198" s="298"/>
      <c r="O2198" s="347"/>
      <c r="P2198" s="295"/>
      <c r="Q2198" s="442"/>
    </row>
    <row r="2199" spans="2:23" ht="31.5" customHeight="1" x14ac:dyDescent="0.45">
      <c r="B2199" s="445"/>
      <c r="C2199" s="465"/>
      <c r="D2199" s="429"/>
      <c r="E2199" s="429"/>
      <c r="F2199" s="429"/>
      <c r="G2199" s="429"/>
      <c r="H2199" s="429"/>
      <c r="I2199" s="429"/>
      <c r="J2199" s="306"/>
      <c r="K2199" s="306"/>
      <c r="L2199" s="306"/>
      <c r="M2199" s="349"/>
      <c r="N2199" s="300"/>
      <c r="O2199" s="349"/>
      <c r="P2199" s="307"/>
      <c r="Q2199" s="446"/>
    </row>
    <row r="2200" spans="2:23" ht="31.5" customHeight="1" x14ac:dyDescent="0.45">
      <c r="C2200" s="417"/>
      <c r="J2200" s="292"/>
      <c r="K2200" s="292"/>
      <c r="L2200" s="292"/>
      <c r="M2200" s="347"/>
      <c r="N2200" s="298"/>
      <c r="O2200" s="347"/>
      <c r="P2200" s="295"/>
    </row>
    <row r="2201" spans="2:23" ht="31.5" customHeight="1" x14ac:dyDescent="0.45">
      <c r="C2201" s="417"/>
      <c r="J2201" s="292"/>
      <c r="K2201" s="292"/>
      <c r="L2201" s="292"/>
      <c r="M2201" s="347"/>
      <c r="N2201" s="298"/>
      <c r="O2201" s="347"/>
      <c r="P2201" s="295"/>
    </row>
    <row r="2202" spans="2:23" ht="31.5" customHeight="1" x14ac:dyDescent="0.45">
      <c r="C2202" s="417"/>
      <c r="D2202" s="417" t="str">
        <f>Criteria!E9</f>
        <v>HOLDING COMPANY 268 (PROPRIETARY) LIMITED</v>
      </c>
      <c r="J2202" s="292"/>
      <c r="K2202" s="292"/>
      <c r="L2202" s="292"/>
      <c r="M2202" s="347"/>
      <c r="N2202" s="298"/>
      <c r="O2202" s="347" t="s">
        <v>96</v>
      </c>
      <c r="P2202" s="295"/>
      <c r="Q2202" s="292">
        <f>MAX($Q$114:Q2201)+1</f>
        <v>56</v>
      </c>
    </row>
    <row r="2203" spans="2:23" ht="31.5" customHeight="1" x14ac:dyDescent="0.45">
      <c r="C2203" s="417"/>
      <c r="D2203" s="417" t="str">
        <f>IF(Criteria!E13=0," ",CONCATENATE("T/A ",Criteria!E13))</f>
        <v>T/A INVESTMENTS IN FINANCIAL INSTRUMENTS</v>
      </c>
      <c r="J2203" s="292"/>
      <c r="K2203" s="292"/>
      <c r="L2203" s="292"/>
      <c r="M2203" s="347"/>
      <c r="N2203" s="298"/>
      <c r="O2203" s="347"/>
      <c r="P2203" s="295"/>
      <c r="R2203" s="403" t="str">
        <f>IF(Criteria!E13=0,"DELETE"," ")</f>
        <v xml:space="preserve"> </v>
      </c>
    </row>
    <row r="2204" spans="2:23" ht="31.5" customHeight="1" x14ac:dyDescent="0.45">
      <c r="C2204" s="417"/>
      <c r="J2204" s="292"/>
      <c r="K2204" s="292"/>
      <c r="L2204" s="292"/>
      <c r="M2204" s="347"/>
      <c r="N2204" s="298"/>
      <c r="O2204" s="347"/>
      <c r="P2204" s="295"/>
    </row>
    <row r="2205" spans="2:23" ht="31.5" customHeight="1" x14ac:dyDescent="0.45">
      <c r="C2205" s="417"/>
      <c r="D2205" s="417" t="s">
        <v>91</v>
      </c>
      <c r="J2205" s="292"/>
      <c r="K2205" s="292"/>
      <c r="L2205" s="292"/>
      <c r="M2205" s="347"/>
      <c r="N2205" s="298"/>
      <c r="O2205" s="347"/>
      <c r="P2205" s="295"/>
    </row>
    <row r="2206" spans="2:23" ht="31.5" customHeight="1" x14ac:dyDescent="0.45">
      <c r="C2206" s="417"/>
      <c r="D2206" s="417" t="str">
        <f>D2123</f>
        <v>29 FEBRUARY 2024</v>
      </c>
      <c r="H2206" s="400" t="s">
        <v>102</v>
      </c>
      <c r="J2206" s="292"/>
      <c r="K2206" s="292"/>
      <c r="L2206" s="292"/>
      <c r="M2206" s="347"/>
      <c r="N2206" s="298"/>
      <c r="O2206" s="347"/>
      <c r="P2206" s="295"/>
    </row>
    <row r="2207" spans="2:23" ht="31.5" customHeight="1" x14ac:dyDescent="0.45">
      <c r="C2207" s="417"/>
      <c r="J2207" s="292"/>
      <c r="K2207" s="306"/>
      <c r="L2207" s="306"/>
      <c r="M2207" s="349"/>
      <c r="N2207" s="300"/>
      <c r="O2207" s="349"/>
      <c r="P2207" s="295"/>
    </row>
    <row r="2208" spans="2:23" ht="31.5" customHeight="1" x14ac:dyDescent="0.45">
      <c r="B2208" s="438"/>
      <c r="C2208" s="458"/>
      <c r="D2208" s="439"/>
      <c r="E2208" s="439"/>
      <c r="F2208" s="439"/>
      <c r="G2208" s="439"/>
      <c r="H2208" s="439"/>
      <c r="I2208" s="439"/>
      <c r="J2208" s="320"/>
      <c r="M2208" s="426"/>
      <c r="N2208" s="406"/>
      <c r="O2208" s="426"/>
      <c r="P2208" s="319"/>
      <c r="Q2208" s="440"/>
    </row>
    <row r="2209" spans="2:23" ht="31.5" customHeight="1" x14ac:dyDescent="0.45">
      <c r="B2209" s="441"/>
      <c r="C2209" s="417"/>
      <c r="J2209" s="292"/>
      <c r="K2209" s="292" t="s">
        <v>104</v>
      </c>
      <c r="L2209" s="405"/>
      <c r="M2209" s="421"/>
      <c r="N2209" s="292"/>
      <c r="O2209" s="344">
        <f>Criteria!E22</f>
        <v>2024</v>
      </c>
      <c r="P2209" s="295"/>
      <c r="Q2209" s="442"/>
    </row>
    <row r="2210" spans="2:23" ht="31.5" customHeight="1" x14ac:dyDescent="0.45">
      <c r="B2210" s="441"/>
      <c r="C2210" s="417"/>
      <c r="J2210" s="292"/>
      <c r="K2210" s="292"/>
      <c r="L2210" s="405"/>
      <c r="M2210" s="421"/>
      <c r="N2210" s="292"/>
      <c r="O2210" s="347"/>
      <c r="P2210" s="295"/>
      <c r="Q2210" s="442"/>
    </row>
    <row r="2211" spans="2:23" ht="31.5" customHeight="1" x14ac:dyDescent="0.45">
      <c r="B2211" s="441"/>
      <c r="C2211" s="315" t="str">
        <f>IF(W2211=2,"OPERATING PROFIT","OPERATING LOSS")</f>
        <v>OPERATING PROFIT</v>
      </c>
      <c r="J2211" s="292"/>
      <c r="K2211" s="292"/>
      <c r="L2211" s="405"/>
      <c r="M2211" s="421"/>
      <c r="N2211" s="292"/>
      <c r="O2211" s="347">
        <f>SUM(S2128:S2192)</f>
        <v>0</v>
      </c>
      <c r="P2211" s="295"/>
      <c r="Q2211" s="442"/>
      <c r="U2211" s="378" t="b">
        <f>O2211=O2195</f>
        <v>1</v>
      </c>
      <c r="W2211" s="378">
        <f>IF(O2211&lt;0,1,2)</f>
        <v>2</v>
      </c>
    </row>
    <row r="2212" spans="2:23" ht="31.5" customHeight="1" x14ac:dyDescent="0.45">
      <c r="B2212" s="441"/>
      <c r="C2212" s="417"/>
      <c r="D2212" s="400" t="s">
        <v>257</v>
      </c>
      <c r="J2212" s="292"/>
      <c r="K2212" s="292"/>
      <c r="L2212" s="405"/>
      <c r="M2212" s="421"/>
      <c r="N2212" s="292"/>
      <c r="O2212" s="347"/>
      <c r="P2212" s="295"/>
      <c r="Q2212" s="442"/>
    </row>
    <row r="2213" spans="2:23" ht="31.5" customHeight="1" x14ac:dyDescent="0.45">
      <c r="B2213" s="441"/>
      <c r="C2213" s="417"/>
      <c r="J2213" s="292"/>
      <c r="K2213" s="292"/>
      <c r="L2213" s="405"/>
      <c r="M2213" s="421"/>
      <c r="N2213" s="292"/>
      <c r="O2213" s="347"/>
      <c r="P2213" s="295"/>
      <c r="Q2213" s="442"/>
    </row>
    <row r="2214" spans="2:23" ht="31.5" customHeight="1" x14ac:dyDescent="0.45">
      <c r="B2214" s="441"/>
      <c r="C2214" s="417" t="s">
        <v>906</v>
      </c>
      <c r="J2214" s="292"/>
      <c r="K2214" s="292"/>
      <c r="L2214" s="405"/>
      <c r="M2214" s="421"/>
      <c r="N2214" s="292"/>
      <c r="O2214" s="347">
        <f>SUM(O2217:O2251)</f>
        <v>0</v>
      </c>
      <c r="P2214" s="295"/>
      <c r="Q2214" s="442"/>
      <c r="R2214" s="403" t="str">
        <f t="shared" ref="R2214" si="182">IF(O2214=0,"DELETE"," ")</f>
        <v>DELETE</v>
      </c>
      <c r="S2214" s="380">
        <f>-O2214</f>
        <v>0</v>
      </c>
      <c r="T2214" s="380"/>
      <c r="U2214" s="380"/>
      <c r="V2214" s="380"/>
    </row>
    <row r="2215" spans="2:23" ht="9" customHeight="1" x14ac:dyDescent="0.45">
      <c r="B2215" s="441"/>
      <c r="C2215" s="417"/>
      <c r="J2215" s="292"/>
      <c r="K2215" s="292"/>
      <c r="L2215" s="405"/>
      <c r="M2215" s="421"/>
      <c r="N2215" s="292"/>
      <c r="O2215" s="347"/>
      <c r="P2215" s="295"/>
      <c r="Q2215" s="442"/>
      <c r="R2215" s="403" t="str">
        <f>R2214</f>
        <v>DELETE</v>
      </c>
    </row>
    <row r="2216" spans="2:23" ht="9" customHeight="1" x14ac:dyDescent="0.45">
      <c r="B2216" s="441"/>
      <c r="C2216" s="417"/>
      <c r="J2216" s="292"/>
      <c r="K2216" s="292"/>
      <c r="L2216" s="405"/>
      <c r="M2216" s="421"/>
      <c r="N2216" s="292"/>
      <c r="O2216" s="372"/>
      <c r="P2216" s="295"/>
      <c r="Q2216" s="442"/>
      <c r="R2216" s="403" t="str">
        <f>R2215</f>
        <v>DELETE</v>
      </c>
    </row>
    <row r="2217" spans="2:23" ht="31.5" customHeight="1" x14ac:dyDescent="0.45">
      <c r="B2217" s="441"/>
      <c r="C2217" s="417"/>
      <c r="D2217" s="400" t="s">
        <v>215</v>
      </c>
      <c r="J2217" s="292"/>
      <c r="K2217" s="292"/>
      <c r="L2217" s="405"/>
      <c r="M2217" s="421"/>
      <c r="N2217" s="292"/>
      <c r="O2217" s="373">
        <f>SUM(TrialBalance!L101:L101)</f>
        <v>0</v>
      </c>
      <c r="P2217" s="295"/>
      <c r="Q2217" s="442"/>
      <c r="R2217" s="403" t="str">
        <f t="shared" ref="R2217:R2249" si="183">IF(O2217=0,"DELETE"," ")</f>
        <v>DELETE</v>
      </c>
    </row>
    <row r="2218" spans="2:23" ht="31.5" customHeight="1" x14ac:dyDescent="0.45">
      <c r="B2218" s="441"/>
      <c r="C2218" s="417"/>
      <c r="D2218" s="400" t="s">
        <v>675</v>
      </c>
      <c r="J2218" s="292"/>
      <c r="K2218" s="292"/>
      <c r="L2218" s="405"/>
      <c r="M2218" s="421"/>
      <c r="N2218" s="292"/>
      <c r="O2218" s="373">
        <f>SUM(TrialBalance!L98:L100)</f>
        <v>0</v>
      </c>
      <c r="P2218" s="295"/>
      <c r="Q2218" s="442"/>
      <c r="R2218" s="403" t="str">
        <f t="shared" si="183"/>
        <v>DELETE</v>
      </c>
    </row>
    <row r="2219" spans="2:23" ht="31.5" customHeight="1" x14ac:dyDescent="0.45">
      <c r="B2219" s="441"/>
      <c r="C2219" s="417"/>
      <c r="D2219" s="400" t="s">
        <v>217</v>
      </c>
      <c r="J2219" s="292"/>
      <c r="K2219" s="292"/>
      <c r="L2219" s="405"/>
      <c r="M2219" s="421"/>
      <c r="N2219" s="292"/>
      <c r="O2219" s="373">
        <f>TrialBalance!L102</f>
        <v>0</v>
      </c>
      <c r="P2219" s="295"/>
      <c r="Q2219" s="442"/>
      <c r="R2219" s="403" t="str">
        <f t="shared" si="183"/>
        <v>DELETE</v>
      </c>
    </row>
    <row r="2220" spans="2:23" ht="31.5" customHeight="1" x14ac:dyDescent="0.45">
      <c r="B2220" s="441"/>
      <c r="C2220" s="417"/>
      <c r="D2220" s="400" t="s">
        <v>219</v>
      </c>
      <c r="J2220" s="292"/>
      <c r="K2220" s="292"/>
      <c r="L2220" s="405"/>
      <c r="M2220" s="421"/>
      <c r="N2220" s="292"/>
      <c r="O2220" s="373">
        <f>TrialBalance!L103</f>
        <v>0</v>
      </c>
      <c r="P2220" s="295"/>
      <c r="Q2220" s="442"/>
      <c r="R2220" s="403" t="str">
        <f t="shared" si="183"/>
        <v>DELETE</v>
      </c>
    </row>
    <row r="2221" spans="2:23" ht="31.5" customHeight="1" x14ac:dyDescent="0.45">
      <c r="B2221" s="441"/>
      <c r="C2221" s="417"/>
      <c r="D2221" s="400" t="s">
        <v>258</v>
      </c>
      <c r="J2221" s="292"/>
      <c r="K2221" s="292"/>
      <c r="L2221" s="405"/>
      <c r="M2221" s="421"/>
      <c r="N2221" s="292"/>
      <c r="O2221" s="373">
        <f>TrialBalance!L104</f>
        <v>0</v>
      </c>
      <c r="P2221" s="295"/>
      <c r="Q2221" s="442"/>
      <c r="R2221" s="403" t="str">
        <f t="shared" si="183"/>
        <v>DELETE</v>
      </c>
    </row>
    <row r="2222" spans="2:23" ht="31.5" customHeight="1" x14ac:dyDescent="0.45">
      <c r="B2222" s="441"/>
      <c r="C2222" s="417"/>
      <c r="D2222" s="400" t="s">
        <v>222</v>
      </c>
      <c r="J2222" s="292"/>
      <c r="K2222" s="292"/>
      <c r="L2222" s="405"/>
      <c r="M2222" s="421"/>
      <c r="N2222" s="292"/>
      <c r="O2222" s="373">
        <f>TrialBalance!L105</f>
        <v>0</v>
      </c>
      <c r="P2222" s="295"/>
      <c r="Q2222" s="442"/>
      <c r="R2222" s="403" t="str">
        <f t="shared" si="183"/>
        <v>DELETE</v>
      </c>
    </row>
    <row r="2223" spans="2:23" ht="31.5" customHeight="1" x14ac:dyDescent="0.45">
      <c r="B2223" s="441"/>
      <c r="C2223" s="417"/>
      <c r="D2223" s="400" t="s">
        <v>727</v>
      </c>
      <c r="J2223" s="292"/>
      <c r="K2223" s="292"/>
      <c r="L2223" s="405"/>
      <c r="M2223" s="421"/>
      <c r="N2223" s="292"/>
      <c r="O2223" s="373">
        <f>TrialBalance!L106</f>
        <v>0</v>
      </c>
      <c r="P2223" s="295"/>
      <c r="Q2223" s="442"/>
      <c r="R2223" s="403" t="str">
        <f t="shared" si="183"/>
        <v>DELETE</v>
      </c>
    </row>
    <row r="2224" spans="2:23" ht="31.5" customHeight="1" x14ac:dyDescent="0.45">
      <c r="B2224" s="441"/>
      <c r="C2224" s="417"/>
      <c r="D2224" s="400" t="s">
        <v>277</v>
      </c>
      <c r="J2224" s="292"/>
      <c r="K2224" s="292">
        <f>C$940</f>
        <v>5.2999999999999989</v>
      </c>
      <c r="L2224" s="405"/>
      <c r="M2224" s="421"/>
      <c r="N2224" s="292"/>
      <c r="O2224" s="373">
        <f>SUM(TrialBalance!L108:L109)</f>
        <v>0</v>
      </c>
      <c r="P2224" s="295"/>
      <c r="Q2224" s="442"/>
      <c r="R2224" s="403" t="str">
        <f t="shared" si="183"/>
        <v>DELETE</v>
      </c>
    </row>
    <row r="2225" spans="2:18" ht="31.5" customHeight="1" x14ac:dyDescent="0.45">
      <c r="B2225" s="441"/>
      <c r="C2225" s="417"/>
      <c r="D2225" s="400" t="str">
        <f>IF(MAX(Criteria!I38:I42)&gt;1,"Directors' remuneration","Director's remuneration")</f>
        <v>Director's remuneration</v>
      </c>
      <c r="J2225" s="292"/>
      <c r="K2225" s="292">
        <f>C$881</f>
        <v>5.0999999999999996</v>
      </c>
      <c r="L2225" s="405"/>
      <c r="M2225" s="421"/>
      <c r="N2225" s="292"/>
      <c r="O2225" s="373">
        <f>SUM(TrialBalance!L111:L115)</f>
        <v>0</v>
      </c>
      <c r="P2225" s="295"/>
      <c r="Q2225" s="442"/>
      <c r="R2225" s="403" t="str">
        <f t="shared" si="183"/>
        <v>DELETE</v>
      </c>
    </row>
    <row r="2226" spans="2:18" ht="31.5" customHeight="1" x14ac:dyDescent="0.45">
      <c r="B2226" s="441"/>
      <c r="C2226" s="417"/>
      <c r="D2226" s="400" t="s">
        <v>259</v>
      </c>
      <c r="J2226" s="292"/>
      <c r="K2226" s="292"/>
      <c r="L2226" s="405"/>
      <c r="M2226" s="421"/>
      <c r="N2226" s="292"/>
      <c r="O2226" s="373">
        <f>TrialBalance!L116</f>
        <v>0</v>
      </c>
      <c r="P2226" s="295"/>
      <c r="Q2226" s="442"/>
      <c r="R2226" s="403" t="str">
        <f t="shared" si="183"/>
        <v>DELETE</v>
      </c>
    </row>
    <row r="2227" spans="2:18" ht="31.5" customHeight="1" x14ac:dyDescent="0.45">
      <c r="B2227" s="441"/>
      <c r="C2227" s="417"/>
      <c r="D2227" s="400" t="s">
        <v>369</v>
      </c>
      <c r="J2227" s="292"/>
      <c r="K2227" s="292"/>
      <c r="L2227" s="405"/>
      <c r="M2227" s="421"/>
      <c r="N2227" s="292"/>
      <c r="O2227" s="373">
        <f>TrialBalance!L117</f>
        <v>0</v>
      </c>
      <c r="P2227" s="295"/>
      <c r="Q2227" s="442"/>
      <c r="R2227" s="403" t="str">
        <f t="shared" si="183"/>
        <v>DELETE</v>
      </c>
    </row>
    <row r="2228" spans="2:18" ht="31.5" customHeight="1" x14ac:dyDescent="0.45">
      <c r="B2228" s="441"/>
      <c r="C2228" s="417"/>
      <c r="D2228" s="400" t="s">
        <v>330</v>
      </c>
      <c r="J2228" s="292"/>
      <c r="K2228" s="292"/>
      <c r="L2228" s="405"/>
      <c r="M2228" s="421"/>
      <c r="N2228" s="292"/>
      <c r="O2228" s="373">
        <f>TrialBalance!L118</f>
        <v>0</v>
      </c>
      <c r="P2228" s="295"/>
      <c r="Q2228" s="442"/>
      <c r="R2228" s="403" t="str">
        <f t="shared" si="183"/>
        <v>DELETE</v>
      </c>
    </row>
    <row r="2229" spans="2:18" ht="31.5" customHeight="1" x14ac:dyDescent="0.45">
      <c r="B2229" s="441"/>
      <c r="C2229" s="417"/>
      <c r="D2229" s="400" t="s">
        <v>371</v>
      </c>
      <c r="J2229" s="292"/>
      <c r="K2229" s="292"/>
      <c r="L2229" s="405"/>
      <c r="M2229" s="421"/>
      <c r="N2229" s="292"/>
      <c r="O2229" s="373">
        <f>TrialBalance!L119</f>
        <v>0</v>
      </c>
      <c r="P2229" s="295"/>
      <c r="Q2229" s="442"/>
      <c r="R2229" s="403" t="str">
        <f t="shared" si="183"/>
        <v>DELETE</v>
      </c>
    </row>
    <row r="2230" spans="2:18" ht="31.5" customHeight="1" x14ac:dyDescent="0.45">
      <c r="B2230" s="441"/>
      <c r="C2230" s="417"/>
      <c r="D2230" s="400" t="str">
        <f>TrialBalance!C154</f>
        <v>Impairment losses</v>
      </c>
      <c r="J2230" s="292"/>
      <c r="K2230" s="292"/>
      <c r="L2230" s="405"/>
      <c r="M2230" s="421"/>
      <c r="N2230" s="292"/>
      <c r="O2230" s="373">
        <f>TrialBalance!L154</f>
        <v>0</v>
      </c>
      <c r="P2230" s="295"/>
      <c r="Q2230" s="442"/>
      <c r="R2230" s="403" t="str">
        <f>IF(O2230=0,"DELETE"," ")</f>
        <v>DELETE</v>
      </c>
    </row>
    <row r="2231" spans="2:18" ht="31.5" customHeight="1" x14ac:dyDescent="0.45">
      <c r="B2231" s="441"/>
      <c r="C2231" s="417"/>
      <c r="D2231" s="400" t="s">
        <v>524</v>
      </c>
      <c r="J2231" s="292"/>
      <c r="K2231" s="292"/>
      <c r="L2231" s="405"/>
      <c r="M2231" s="421"/>
      <c r="N2231" s="292"/>
      <c r="O2231" s="373">
        <f>TrialBalance!L120+TrialBalance!L121</f>
        <v>0</v>
      </c>
      <c r="P2231" s="295"/>
      <c r="Q2231" s="442"/>
      <c r="R2231" s="403" t="str">
        <f t="shared" si="183"/>
        <v>DELETE</v>
      </c>
    </row>
    <row r="2232" spans="2:18" ht="31.5" customHeight="1" x14ac:dyDescent="0.45">
      <c r="B2232" s="441"/>
      <c r="C2232" s="417"/>
      <c r="D2232" s="400" t="s">
        <v>547</v>
      </c>
      <c r="J2232" s="292"/>
      <c r="K2232" s="292"/>
      <c r="L2232" s="405"/>
      <c r="M2232" s="421"/>
      <c r="N2232" s="292"/>
      <c r="O2232" s="373">
        <f>IF(TrialBalance!L93&gt;0,TrialBalance!L93,0)</f>
        <v>0</v>
      </c>
      <c r="P2232" s="295"/>
      <c r="Q2232" s="442"/>
      <c r="R2232" s="403" t="str">
        <f>IF(O2232=0,"DELETE"," ")</f>
        <v>DELETE</v>
      </c>
    </row>
    <row r="2233" spans="2:18" ht="31.5" customHeight="1" x14ac:dyDescent="0.45">
      <c r="B2233" s="441"/>
      <c r="C2233" s="417"/>
      <c r="D2233" s="400" t="s">
        <v>728</v>
      </c>
      <c r="J2233" s="292"/>
      <c r="K2233" s="292"/>
      <c r="L2233" s="405"/>
      <c r="M2233" s="421"/>
      <c r="N2233" s="292"/>
      <c r="O2233" s="373">
        <f>TrialBalance!L122</f>
        <v>0</v>
      </c>
      <c r="P2233" s="295"/>
      <c r="Q2233" s="442"/>
      <c r="R2233" s="403" t="str">
        <f t="shared" si="183"/>
        <v>DELETE</v>
      </c>
    </row>
    <row r="2234" spans="2:18" ht="31.5" customHeight="1" x14ac:dyDescent="0.45">
      <c r="B2234" s="441"/>
      <c r="C2234" s="417"/>
      <c r="D2234" s="400" t="s">
        <v>260</v>
      </c>
      <c r="J2234" s="292"/>
      <c r="K2234" s="292"/>
      <c r="L2234" s="405"/>
      <c r="M2234" s="421"/>
      <c r="N2234" s="292"/>
      <c r="O2234" s="373">
        <f>TrialBalance!L123</f>
        <v>0</v>
      </c>
      <c r="P2234" s="295"/>
      <c r="Q2234" s="442"/>
      <c r="R2234" s="403" t="str">
        <f t="shared" si="183"/>
        <v>DELETE</v>
      </c>
    </row>
    <row r="2235" spans="2:18" ht="31.5" customHeight="1" x14ac:dyDescent="0.45">
      <c r="B2235" s="441"/>
      <c r="C2235" s="417"/>
      <c r="D2235" s="400" t="s">
        <v>1081</v>
      </c>
      <c r="J2235" s="292"/>
      <c r="K2235" s="292"/>
      <c r="L2235" s="405"/>
      <c r="M2235" s="421"/>
      <c r="N2235" s="292"/>
      <c r="O2235" s="373">
        <f>TrialBalance!L155</f>
        <v>0</v>
      </c>
      <c r="P2235" s="295"/>
      <c r="Q2235" s="442"/>
      <c r="R2235" s="403" t="str">
        <f t="shared" si="183"/>
        <v>DELETE</v>
      </c>
    </row>
    <row r="2236" spans="2:18" ht="31.5" customHeight="1" x14ac:dyDescent="0.45">
      <c r="B2236" s="441"/>
      <c r="C2236" s="417"/>
      <c r="D2236" s="400" t="s">
        <v>253</v>
      </c>
      <c r="J2236" s="292"/>
      <c r="K2236" s="292"/>
      <c r="L2236" s="405"/>
      <c r="M2236" s="421"/>
      <c r="N2236" s="292"/>
      <c r="O2236" s="373">
        <f>SUM(TrialBalance!L124:L125)</f>
        <v>0</v>
      </c>
      <c r="P2236" s="295"/>
      <c r="Q2236" s="442"/>
      <c r="R2236" s="403" t="str">
        <f t="shared" si="183"/>
        <v>DELETE</v>
      </c>
    </row>
    <row r="2237" spans="2:18" ht="31.5" customHeight="1" x14ac:dyDescent="0.45">
      <c r="B2237" s="441"/>
      <c r="C2237" s="417"/>
      <c r="D2237" s="400" t="s">
        <v>261</v>
      </c>
      <c r="J2237" s="292"/>
      <c r="K2237" s="292"/>
      <c r="L2237" s="405"/>
      <c r="M2237" s="421"/>
      <c r="N2237" s="292"/>
      <c r="O2237" s="373">
        <f>TrialBalance!L126</f>
        <v>0</v>
      </c>
      <c r="P2237" s="295"/>
      <c r="Q2237" s="442"/>
      <c r="R2237" s="403" t="str">
        <f t="shared" si="183"/>
        <v>DELETE</v>
      </c>
    </row>
    <row r="2238" spans="2:18" ht="31.5" customHeight="1" x14ac:dyDescent="0.45">
      <c r="B2238" s="441"/>
      <c r="C2238" s="417"/>
      <c r="D2238" s="400" t="s">
        <v>729</v>
      </c>
      <c r="J2238" s="292"/>
      <c r="K2238" s="292"/>
      <c r="L2238" s="405"/>
      <c r="M2238" s="421"/>
      <c r="N2238" s="292"/>
      <c r="O2238" s="373">
        <f>TrialBalance!L127</f>
        <v>0</v>
      </c>
      <c r="P2238" s="295"/>
      <c r="Q2238" s="442"/>
      <c r="R2238" s="403" t="str">
        <f t="shared" si="183"/>
        <v>DELETE</v>
      </c>
    </row>
    <row r="2239" spans="2:18" ht="31.5" customHeight="1" x14ac:dyDescent="0.45">
      <c r="B2239" s="441"/>
      <c r="C2239" s="417"/>
      <c r="D2239" s="400" t="s">
        <v>79</v>
      </c>
      <c r="J2239" s="292"/>
      <c r="K2239" s="292"/>
      <c r="L2239" s="405"/>
      <c r="M2239" s="421"/>
      <c r="N2239" s="292"/>
      <c r="O2239" s="373">
        <f>TrialBalance!L128</f>
        <v>0</v>
      </c>
      <c r="P2239" s="295"/>
      <c r="Q2239" s="442"/>
      <c r="R2239" s="403" t="str">
        <f t="shared" si="183"/>
        <v>DELETE</v>
      </c>
    </row>
    <row r="2240" spans="2:18" ht="31.5" customHeight="1" x14ac:dyDescent="0.45">
      <c r="B2240" s="441"/>
      <c r="C2240" s="417"/>
      <c r="D2240" s="400">
        <f>TrialBalance!C129</f>
        <v>0</v>
      </c>
      <c r="J2240" s="292"/>
      <c r="K2240" s="292"/>
      <c r="L2240" s="405"/>
      <c r="M2240" s="421"/>
      <c r="N2240" s="292"/>
      <c r="O2240" s="373">
        <f>TrialBalance!L129</f>
        <v>0</v>
      </c>
      <c r="P2240" s="295"/>
      <c r="Q2240" s="442"/>
      <c r="R2240" s="403" t="str">
        <f t="shared" si="183"/>
        <v>DELETE</v>
      </c>
    </row>
    <row r="2241" spans="2:23" ht="31.5" customHeight="1" x14ac:dyDescent="0.45">
      <c r="B2241" s="441"/>
      <c r="C2241" s="417"/>
      <c r="D2241" s="400">
        <f>TrialBalance!C130</f>
        <v>0</v>
      </c>
      <c r="J2241" s="292"/>
      <c r="K2241" s="292"/>
      <c r="L2241" s="405"/>
      <c r="M2241" s="421"/>
      <c r="N2241" s="292"/>
      <c r="O2241" s="373">
        <f>TrialBalance!L130</f>
        <v>0</v>
      </c>
      <c r="P2241" s="295"/>
      <c r="Q2241" s="442"/>
      <c r="R2241" s="403" t="str">
        <f t="shared" si="183"/>
        <v>DELETE</v>
      </c>
    </row>
    <row r="2242" spans="2:23" ht="31.5" customHeight="1" x14ac:dyDescent="0.45">
      <c r="B2242" s="441"/>
      <c r="C2242" s="417"/>
      <c r="D2242" s="400">
        <f>TrialBalance!C131</f>
        <v>0</v>
      </c>
      <c r="J2242" s="292"/>
      <c r="K2242" s="292"/>
      <c r="L2242" s="405"/>
      <c r="M2242" s="421"/>
      <c r="N2242" s="292"/>
      <c r="O2242" s="373">
        <f>TrialBalance!L131</f>
        <v>0</v>
      </c>
      <c r="P2242" s="295"/>
      <c r="Q2242" s="442"/>
      <c r="R2242" s="403" t="str">
        <f t="shared" si="183"/>
        <v>DELETE</v>
      </c>
    </row>
    <row r="2243" spans="2:23" ht="31.5" customHeight="1" x14ac:dyDescent="0.45">
      <c r="B2243" s="441"/>
      <c r="C2243" s="417"/>
      <c r="D2243" s="400">
        <f>TrialBalance!C132</f>
        <v>0</v>
      </c>
      <c r="J2243" s="292"/>
      <c r="K2243" s="292"/>
      <c r="L2243" s="405"/>
      <c r="M2243" s="421"/>
      <c r="N2243" s="292"/>
      <c r="O2243" s="373">
        <f>TrialBalance!L132</f>
        <v>0</v>
      </c>
      <c r="P2243" s="295"/>
      <c r="Q2243" s="442"/>
      <c r="R2243" s="403" t="str">
        <f t="shared" si="183"/>
        <v>DELETE</v>
      </c>
    </row>
    <row r="2244" spans="2:23" ht="31.5" customHeight="1" x14ac:dyDescent="0.45">
      <c r="B2244" s="441"/>
      <c r="C2244" s="417"/>
      <c r="D2244" s="400">
        <f>TrialBalance!C133</f>
        <v>0</v>
      </c>
      <c r="J2244" s="292"/>
      <c r="K2244" s="292"/>
      <c r="L2244" s="405"/>
      <c r="M2244" s="421"/>
      <c r="N2244" s="292"/>
      <c r="O2244" s="373">
        <f>TrialBalance!L133</f>
        <v>0</v>
      </c>
      <c r="P2244" s="295"/>
      <c r="Q2244" s="442"/>
      <c r="R2244" s="403" t="str">
        <f t="shared" si="183"/>
        <v>DELETE</v>
      </c>
    </row>
    <row r="2245" spans="2:23" ht="31.5" customHeight="1" x14ac:dyDescent="0.45">
      <c r="B2245" s="441"/>
      <c r="C2245" s="417"/>
      <c r="D2245" s="400">
        <f>TrialBalance!C134</f>
        <v>0</v>
      </c>
      <c r="J2245" s="292"/>
      <c r="K2245" s="292"/>
      <c r="L2245" s="405"/>
      <c r="M2245" s="421"/>
      <c r="N2245" s="292"/>
      <c r="O2245" s="373">
        <f>TrialBalance!L134</f>
        <v>0</v>
      </c>
      <c r="P2245" s="295"/>
      <c r="Q2245" s="442"/>
      <c r="R2245" s="403" t="str">
        <f t="shared" si="183"/>
        <v>DELETE</v>
      </c>
    </row>
    <row r="2246" spans="2:23" ht="31.5" customHeight="1" x14ac:dyDescent="0.45">
      <c r="B2246" s="441"/>
      <c r="C2246" s="417"/>
      <c r="D2246" s="400">
        <f>TrialBalance!C135</f>
        <v>0</v>
      </c>
      <c r="J2246" s="292"/>
      <c r="K2246" s="292"/>
      <c r="L2246" s="405"/>
      <c r="M2246" s="421"/>
      <c r="N2246" s="292"/>
      <c r="O2246" s="373">
        <f>TrialBalance!L135</f>
        <v>0</v>
      </c>
      <c r="P2246" s="295"/>
      <c r="Q2246" s="442"/>
      <c r="R2246" s="403" t="str">
        <f t="shared" si="183"/>
        <v>DELETE</v>
      </c>
    </row>
    <row r="2247" spans="2:23" ht="31.5" customHeight="1" x14ac:dyDescent="0.45">
      <c r="B2247" s="441"/>
      <c r="C2247" s="417"/>
      <c r="D2247" s="400">
        <f>TrialBalance!C136</f>
        <v>0</v>
      </c>
      <c r="J2247" s="292"/>
      <c r="K2247" s="292"/>
      <c r="L2247" s="405"/>
      <c r="M2247" s="421"/>
      <c r="N2247" s="292"/>
      <c r="O2247" s="373">
        <f>TrialBalance!L136</f>
        <v>0</v>
      </c>
      <c r="P2247" s="295"/>
      <c r="Q2247" s="442"/>
      <c r="R2247" s="403" t="str">
        <f t="shared" si="183"/>
        <v>DELETE</v>
      </c>
    </row>
    <row r="2248" spans="2:23" ht="31.5" customHeight="1" x14ac:dyDescent="0.45">
      <c r="B2248" s="441"/>
      <c r="C2248" s="417"/>
      <c r="D2248" s="400">
        <f>TrialBalance!C137</f>
        <v>0</v>
      </c>
      <c r="J2248" s="292"/>
      <c r="K2248" s="292"/>
      <c r="L2248" s="405"/>
      <c r="M2248" s="421"/>
      <c r="N2248" s="292"/>
      <c r="O2248" s="373">
        <f>TrialBalance!L137</f>
        <v>0</v>
      </c>
      <c r="P2248" s="295"/>
      <c r="Q2248" s="442"/>
      <c r="R2248" s="403" t="str">
        <f t="shared" si="183"/>
        <v>DELETE</v>
      </c>
    </row>
    <row r="2249" spans="2:23" ht="31.5" customHeight="1" x14ac:dyDescent="0.45">
      <c r="B2249" s="441"/>
      <c r="C2249" s="417"/>
      <c r="D2249" s="400" t="str">
        <f>TrialBalance!C138</f>
        <v>Amortisation of prepaid lease agreement</v>
      </c>
      <c r="J2249" s="292"/>
      <c r="K2249" s="292"/>
      <c r="L2249" s="405"/>
      <c r="M2249" s="421"/>
      <c r="N2249" s="292"/>
      <c r="O2249" s="373">
        <f>TrialBalance!L138</f>
        <v>0</v>
      </c>
      <c r="P2249" s="295"/>
      <c r="Q2249" s="442"/>
      <c r="R2249" s="403" t="str">
        <f t="shared" si="183"/>
        <v>DELETE</v>
      </c>
    </row>
    <row r="2250" spans="2:23" ht="31.5" customHeight="1" x14ac:dyDescent="0.45">
      <c r="B2250" s="441"/>
      <c r="C2250" s="417"/>
      <c r="D2250" s="400" t="str">
        <f>TrialBalance!C139</f>
        <v>Amortisation of goodwill</v>
      </c>
      <c r="J2250" s="292"/>
      <c r="K2250" s="292"/>
      <c r="L2250" s="405"/>
      <c r="M2250" s="421"/>
      <c r="N2250" s="292"/>
      <c r="O2250" s="373">
        <f>TrialBalance!L139</f>
        <v>0</v>
      </c>
      <c r="P2250" s="295"/>
      <c r="Q2250" s="442"/>
      <c r="R2250" s="403" t="str">
        <f t="shared" ref="R2250" si="184">IF(O2250=0,"DELETE"," ")</f>
        <v>DELETE</v>
      </c>
    </row>
    <row r="2251" spans="2:23" ht="9" customHeight="1" x14ac:dyDescent="0.45">
      <c r="B2251" s="441"/>
      <c r="C2251" s="417"/>
      <c r="J2251" s="292"/>
      <c r="K2251" s="292"/>
      <c r="L2251" s="405"/>
      <c r="M2251" s="421"/>
      <c r="N2251" s="292"/>
      <c r="O2251" s="374"/>
      <c r="P2251" s="295"/>
      <c r="Q2251" s="442"/>
      <c r="R2251" s="403" t="str">
        <f>R2214</f>
        <v>DELETE</v>
      </c>
    </row>
    <row r="2252" spans="2:23" ht="9" customHeight="1" x14ac:dyDescent="0.45">
      <c r="B2252" s="441"/>
      <c r="C2252" s="417"/>
      <c r="J2252" s="292"/>
      <c r="K2252" s="292"/>
      <c r="L2252" s="405"/>
      <c r="M2252" s="421"/>
      <c r="N2252" s="292"/>
      <c r="O2252" s="349"/>
      <c r="P2252" s="295"/>
      <c r="Q2252" s="442"/>
    </row>
    <row r="2253" spans="2:23" ht="9" customHeight="1" x14ac:dyDescent="0.45">
      <c r="B2253" s="441"/>
      <c r="C2253" s="417"/>
      <c r="J2253" s="292"/>
      <c r="K2253" s="292"/>
      <c r="L2253" s="405"/>
      <c r="M2253" s="421"/>
      <c r="N2253" s="292"/>
      <c r="O2253" s="347"/>
      <c r="P2253" s="295"/>
      <c r="Q2253" s="442"/>
    </row>
    <row r="2254" spans="2:23" ht="31.5" customHeight="1" x14ac:dyDescent="0.45">
      <c r="B2254" s="441"/>
      <c r="C2254" s="315" t="str">
        <f>IF(W2254=2,"OPERATING PROFIT FOR THE YEAR","OPERATING LOSS FOR THE YEAR")</f>
        <v>OPERATING PROFIT FOR THE YEAR</v>
      </c>
      <c r="J2254" s="292"/>
      <c r="K2254" s="292">
        <f>B878</f>
        <v>5</v>
      </c>
      <c r="L2254" s="405"/>
      <c r="M2254" s="421"/>
      <c r="N2254" s="292"/>
      <c r="O2254" s="347">
        <f>SUM(S2128:S2251)</f>
        <v>0</v>
      </c>
      <c r="P2254" s="295"/>
      <c r="Q2254" s="442"/>
      <c r="W2254" s="378">
        <f>IF(O2254&lt;0,1,2)</f>
        <v>2</v>
      </c>
    </row>
    <row r="2255" spans="2:23" ht="31.5" customHeight="1" x14ac:dyDescent="0.45">
      <c r="B2255" s="441"/>
      <c r="C2255" s="417"/>
      <c r="J2255" s="292"/>
      <c r="K2255" s="292"/>
      <c r="L2255" s="405"/>
      <c r="M2255" s="421"/>
      <c r="N2255" s="292"/>
      <c r="O2255" s="347"/>
      <c r="P2255" s="295"/>
      <c r="Q2255" s="442"/>
    </row>
    <row r="2256" spans="2:23" ht="31.5" customHeight="1" x14ac:dyDescent="0.45">
      <c r="B2256" s="441"/>
      <c r="C2256" s="417" t="s">
        <v>114</v>
      </c>
      <c r="J2256" s="292"/>
      <c r="K2256" s="292">
        <f>B965</f>
        <v>6</v>
      </c>
      <c r="L2256" s="405"/>
      <c r="M2256" s="421"/>
      <c r="N2256" s="292"/>
      <c r="O2256" s="347">
        <f>SUM(O2259:O2266)</f>
        <v>0</v>
      </c>
      <c r="P2256" s="295"/>
      <c r="Q2256" s="442"/>
      <c r="R2256" s="403" t="str">
        <f t="shared" ref="R2256" si="185">IF(O2256=0,"DELETE"," ")</f>
        <v>DELETE</v>
      </c>
      <c r="S2256" s="380">
        <f>O2256</f>
        <v>0</v>
      </c>
      <c r="T2256" s="380"/>
      <c r="U2256" s="380"/>
      <c r="V2256" s="380"/>
    </row>
    <row r="2257" spans="2:22" ht="9" customHeight="1" x14ac:dyDescent="0.45">
      <c r="B2257" s="441"/>
      <c r="C2257" s="417"/>
      <c r="J2257" s="292"/>
      <c r="K2257" s="292"/>
      <c r="L2257" s="405"/>
      <c r="M2257" s="421"/>
      <c r="N2257" s="292"/>
      <c r="O2257" s="347"/>
      <c r="P2257" s="295"/>
      <c r="Q2257" s="442"/>
      <c r="R2257" s="403" t="str">
        <f>R2256</f>
        <v>DELETE</v>
      </c>
    </row>
    <row r="2258" spans="2:22" ht="9" customHeight="1" x14ac:dyDescent="0.45">
      <c r="B2258" s="441"/>
      <c r="C2258" s="417"/>
      <c r="J2258" s="292"/>
      <c r="K2258" s="292"/>
      <c r="L2258" s="405"/>
      <c r="M2258" s="421"/>
      <c r="N2258" s="292"/>
      <c r="O2258" s="372"/>
      <c r="P2258" s="295"/>
      <c r="Q2258" s="442"/>
      <c r="R2258" s="403" t="str">
        <f>R2257</f>
        <v>DELETE</v>
      </c>
    </row>
    <row r="2259" spans="2:22" ht="31.5" customHeight="1" x14ac:dyDescent="0.45">
      <c r="B2259" s="441"/>
      <c r="C2259" s="417"/>
      <c r="D2259" s="400" t="s">
        <v>205</v>
      </c>
      <c r="J2259" s="292"/>
      <c r="K2259" s="292"/>
      <c r="L2259" s="405"/>
      <c r="M2259" s="421"/>
      <c r="N2259" s="292"/>
      <c r="O2259" s="373">
        <f>-TrialBalance!L94</f>
        <v>0</v>
      </c>
      <c r="P2259" s="295"/>
      <c r="Q2259" s="442"/>
      <c r="R2259" s="403" t="str">
        <f t="shared" ref="R2259:R2264" si="186">IF(O2259=0,"DELETE"," ")</f>
        <v>DELETE</v>
      </c>
    </row>
    <row r="2260" spans="2:22" ht="31.5" customHeight="1" x14ac:dyDescent="0.45">
      <c r="B2260" s="441"/>
      <c r="C2260" s="417"/>
      <c r="D2260" s="400" t="s">
        <v>531</v>
      </c>
      <c r="J2260" s="292"/>
      <c r="K2260" s="292"/>
      <c r="L2260" s="405"/>
      <c r="M2260" s="421"/>
      <c r="N2260" s="292"/>
      <c r="O2260" s="373">
        <f>-SUM(TrialBalance!L90:L92)</f>
        <v>0</v>
      </c>
      <c r="P2260" s="295"/>
      <c r="Q2260" s="442"/>
      <c r="R2260" s="403" t="str">
        <f t="shared" si="186"/>
        <v>DELETE</v>
      </c>
    </row>
    <row r="2261" spans="2:22" ht="31.5" customHeight="1" x14ac:dyDescent="0.45">
      <c r="B2261" s="441"/>
      <c r="C2261" s="417"/>
      <c r="D2261" s="400" t="s">
        <v>532</v>
      </c>
      <c r="J2261" s="292"/>
      <c r="K2261" s="292"/>
      <c r="L2261" s="405"/>
      <c r="M2261" s="421"/>
      <c r="N2261" s="292"/>
      <c r="O2261" s="375">
        <f>-SUM(TrialBalance!L85:L88)</f>
        <v>0</v>
      </c>
      <c r="P2261" s="295"/>
      <c r="Q2261" s="442"/>
      <c r="R2261" s="403" t="str">
        <f t="shared" si="186"/>
        <v>DELETE</v>
      </c>
    </row>
    <row r="2262" spans="2:22" ht="31.5" customHeight="1" x14ac:dyDescent="0.45">
      <c r="B2262" s="441"/>
      <c r="C2262" s="417"/>
      <c r="D2262" s="400" t="s">
        <v>207</v>
      </c>
      <c r="J2262" s="292"/>
      <c r="K2262" s="292"/>
      <c r="L2262" s="405"/>
      <c r="M2262" s="421"/>
      <c r="N2262" s="292"/>
      <c r="O2262" s="375">
        <f>-SUM(TrialBalance!L95)</f>
        <v>0</v>
      </c>
      <c r="P2262" s="295"/>
      <c r="Q2262" s="442"/>
      <c r="R2262" s="403" t="str">
        <f t="shared" si="186"/>
        <v>DELETE</v>
      </c>
    </row>
    <row r="2263" spans="2:22" ht="31.5" customHeight="1" x14ac:dyDescent="0.45">
      <c r="B2263" s="441"/>
      <c r="C2263" s="417"/>
      <c r="D2263" s="400" t="s">
        <v>548</v>
      </c>
      <c r="J2263" s="292"/>
      <c r="K2263" s="292"/>
      <c r="L2263" s="405"/>
      <c r="M2263" s="421"/>
      <c r="N2263" s="292"/>
      <c r="O2263" s="373">
        <f>IF(TrialBalance!L93&lt;0,-TrialBalance!L93,0)</f>
        <v>0</v>
      </c>
      <c r="P2263" s="295"/>
      <c r="Q2263" s="442"/>
      <c r="R2263" s="403" t="str">
        <f t="shared" si="186"/>
        <v>DELETE</v>
      </c>
    </row>
    <row r="2264" spans="2:22" ht="31.5" customHeight="1" x14ac:dyDescent="0.45">
      <c r="B2264" s="441"/>
      <c r="C2264" s="417"/>
      <c r="D2264" s="400" t="s">
        <v>359</v>
      </c>
      <c r="J2264" s="292"/>
      <c r="K2264" s="292"/>
      <c r="L2264" s="405"/>
      <c r="M2264" s="421"/>
      <c r="N2264" s="292"/>
      <c r="O2264" s="373">
        <f>-TrialBalance!L83</f>
        <v>0</v>
      </c>
      <c r="P2264" s="295"/>
      <c r="Q2264" s="442"/>
      <c r="R2264" s="403" t="str">
        <f t="shared" si="186"/>
        <v>DELETE</v>
      </c>
    </row>
    <row r="2265" spans="2:22" ht="31.5" customHeight="1" x14ac:dyDescent="0.45">
      <c r="B2265" s="441"/>
      <c r="C2265" s="417"/>
      <c r="D2265" s="400" t="str">
        <f>TrialBalance!C96</f>
        <v>Revaluation of investment property</v>
      </c>
      <c r="J2265" s="292"/>
      <c r="K2265" s="292"/>
      <c r="L2265" s="405"/>
      <c r="M2265" s="421"/>
      <c r="N2265" s="292"/>
      <c r="O2265" s="373">
        <f>-TrialBalance!L96</f>
        <v>0</v>
      </c>
      <c r="P2265" s="295"/>
      <c r="Q2265" s="442"/>
      <c r="R2265" s="403" t="str">
        <f>IF(O2265=0,"DELETE"," ")</f>
        <v>DELETE</v>
      </c>
    </row>
    <row r="2266" spans="2:22" ht="9" customHeight="1" x14ac:dyDescent="0.45">
      <c r="B2266" s="441"/>
      <c r="C2266" s="417"/>
      <c r="J2266" s="292"/>
      <c r="K2266" s="292"/>
      <c r="L2266" s="405"/>
      <c r="M2266" s="421"/>
      <c r="N2266" s="292"/>
      <c r="O2266" s="374"/>
      <c r="P2266" s="295"/>
      <c r="Q2266" s="442"/>
      <c r="R2266" s="403" t="str">
        <f>R2256</f>
        <v>DELETE</v>
      </c>
    </row>
    <row r="2267" spans="2:22" ht="9" customHeight="1" x14ac:dyDescent="0.45">
      <c r="B2267" s="441"/>
      <c r="C2267" s="417"/>
      <c r="J2267" s="292"/>
      <c r="K2267" s="292"/>
      <c r="L2267" s="405"/>
      <c r="M2267" s="421"/>
      <c r="N2267" s="292"/>
      <c r="O2267" s="349"/>
      <c r="P2267" s="295"/>
      <c r="Q2267" s="442"/>
      <c r="R2267" s="403" t="str">
        <f>R2266</f>
        <v>DELETE</v>
      </c>
    </row>
    <row r="2268" spans="2:22" ht="9" customHeight="1" x14ac:dyDescent="0.45">
      <c r="B2268" s="441"/>
      <c r="C2268" s="417"/>
      <c r="J2268" s="292"/>
      <c r="K2268" s="292"/>
      <c r="L2268" s="405"/>
      <c r="M2268" s="421"/>
      <c r="N2268" s="292"/>
      <c r="O2268" s="347"/>
      <c r="P2268" s="295"/>
      <c r="Q2268" s="442"/>
      <c r="R2268" s="403" t="str">
        <f>R2267</f>
        <v>DELETE</v>
      </c>
    </row>
    <row r="2269" spans="2:22" ht="31.5" customHeight="1" x14ac:dyDescent="0.45">
      <c r="B2269" s="441"/>
      <c r="C2269" s="417"/>
      <c r="J2269" s="292"/>
      <c r="K2269" s="292"/>
      <c r="L2269" s="405"/>
      <c r="M2269" s="421"/>
      <c r="N2269" s="292"/>
      <c r="O2269" s="347">
        <f>SUM(S2128:S2266)</f>
        <v>0</v>
      </c>
      <c r="P2269" s="295"/>
      <c r="Q2269" s="442"/>
      <c r="R2269" s="403" t="str">
        <f t="shared" ref="R2269:R2270" si="187">R2268</f>
        <v>DELETE</v>
      </c>
    </row>
    <row r="2270" spans="2:22" ht="31.5" customHeight="1" x14ac:dyDescent="0.45">
      <c r="B2270" s="441"/>
      <c r="C2270" s="417"/>
      <c r="J2270" s="292"/>
      <c r="K2270" s="292"/>
      <c r="L2270" s="405"/>
      <c r="M2270" s="421"/>
      <c r="N2270" s="292"/>
      <c r="O2270" s="347"/>
      <c r="P2270" s="295"/>
      <c r="Q2270" s="442"/>
      <c r="R2270" s="403" t="str">
        <f t="shared" si="187"/>
        <v>DELETE</v>
      </c>
    </row>
    <row r="2271" spans="2:22" ht="31.5" customHeight="1" x14ac:dyDescent="0.45">
      <c r="B2271" s="441"/>
      <c r="C2271" s="417" t="s">
        <v>262</v>
      </c>
      <c r="J2271" s="292"/>
      <c r="K2271" s="292">
        <f>B1024</f>
        <v>7</v>
      </c>
      <c r="L2271" s="405"/>
      <c r="M2271" s="421"/>
      <c r="N2271" s="292"/>
      <c r="O2271" s="347">
        <f>SUM(TrialBalance!L142:L152)</f>
        <v>0</v>
      </c>
      <c r="P2271" s="295"/>
      <c r="Q2271" s="442"/>
      <c r="R2271" s="403" t="str">
        <f t="shared" ref="R2271" si="188">IF(O2271=0,"DELETE"," ")</f>
        <v>DELETE</v>
      </c>
      <c r="S2271" s="380">
        <f>-O2271</f>
        <v>0</v>
      </c>
      <c r="T2271" s="380"/>
      <c r="U2271" s="380"/>
      <c r="V2271" s="380"/>
    </row>
    <row r="2272" spans="2:22" ht="9" customHeight="1" x14ac:dyDescent="0.45">
      <c r="B2272" s="441"/>
      <c r="C2272" s="417"/>
      <c r="J2272" s="292"/>
      <c r="K2272" s="292"/>
      <c r="L2272" s="405"/>
      <c r="M2272" s="421"/>
      <c r="N2272" s="292"/>
      <c r="O2272" s="349"/>
      <c r="P2272" s="295"/>
      <c r="Q2272" s="442"/>
    </row>
    <row r="2273" spans="2:23" ht="9" customHeight="1" x14ac:dyDescent="0.45">
      <c r="B2273" s="441"/>
      <c r="C2273" s="417"/>
      <c r="J2273" s="292"/>
      <c r="K2273" s="292"/>
      <c r="L2273" s="405"/>
      <c r="M2273" s="421"/>
      <c r="N2273" s="292"/>
      <c r="O2273" s="347"/>
      <c r="P2273" s="295"/>
      <c r="Q2273" s="442"/>
    </row>
    <row r="2274" spans="2:23" ht="31.5" customHeight="1" x14ac:dyDescent="0.45">
      <c r="B2274" s="441"/>
      <c r="C2274" s="315" t="str">
        <f>IF(W2274=2,"PROFIT BEFORE TAXATION","LOSS BEFORE TAXATION")</f>
        <v>PROFIT BEFORE TAXATION</v>
      </c>
      <c r="J2274" s="292"/>
      <c r="K2274" s="292"/>
      <c r="L2274" s="405"/>
      <c r="M2274" s="421"/>
      <c r="N2274" s="292"/>
      <c r="O2274" s="347">
        <f>SUM(S2128:S2273)</f>
        <v>0</v>
      </c>
      <c r="P2274" s="295"/>
      <c r="Q2274" s="442"/>
      <c r="W2274" s="378">
        <f>IF(O2274&lt;0,1,2)</f>
        <v>2</v>
      </c>
    </row>
    <row r="2275" spans="2:23" ht="31.5" customHeight="1" x14ac:dyDescent="0.45">
      <c r="B2275" s="441"/>
      <c r="C2275" s="315"/>
      <c r="J2275" s="292"/>
      <c r="K2275" s="292"/>
      <c r="L2275" s="405"/>
      <c r="M2275" s="421"/>
      <c r="N2275" s="292"/>
      <c r="O2275" s="347"/>
      <c r="P2275" s="295"/>
      <c r="Q2275" s="442"/>
    </row>
    <row r="2276" spans="2:23" ht="31.5" customHeight="1" x14ac:dyDescent="0.45">
      <c r="B2276" s="441"/>
      <c r="C2276" s="315" t="s">
        <v>643</v>
      </c>
      <c r="J2276" s="292"/>
      <c r="K2276" s="292"/>
      <c r="L2276" s="405"/>
      <c r="M2276" s="421"/>
      <c r="N2276" s="292"/>
      <c r="O2276" s="347"/>
      <c r="P2276" s="295"/>
      <c r="Q2276" s="442"/>
      <c r="R2276" s="403" t="str">
        <f>IF(COUNTIF(O2277:O2279,"=0")=3,"DELETE"," ")</f>
        <v>DELETE</v>
      </c>
    </row>
    <row r="2277" spans="2:23" ht="31.5" customHeight="1" x14ac:dyDescent="0.45">
      <c r="B2277" s="441"/>
      <c r="C2277" s="315"/>
      <c r="D2277" s="297" t="str">
        <f>IF(W2277=2,CONCATENATE("Net profit - ",Criteria!H14),CONCATENATE("Net loss - ",Criteria!H14))</f>
        <v>Net profit - Subsidiary One 111 (Pty) Ltd</v>
      </c>
      <c r="L2277" s="405"/>
      <c r="M2277" s="400" t="s">
        <v>646</v>
      </c>
      <c r="N2277" s="400"/>
      <c r="O2277" s="347">
        <f>-SUM(TrialBalanceA!I5:I154)</f>
        <v>0</v>
      </c>
      <c r="Q2277" s="442"/>
      <c r="R2277" s="403" t="str">
        <f t="shared" ref="R2277:R2279" si="189">IF(O2277=0,"DELETE"," ")</f>
        <v>DELETE</v>
      </c>
      <c r="S2277" s="380">
        <f>O2277</f>
        <v>0</v>
      </c>
      <c r="W2277" s="378">
        <f>IF(O2277&lt;0,1,2)</f>
        <v>2</v>
      </c>
    </row>
    <row r="2278" spans="2:23" ht="31.5" customHeight="1" x14ac:dyDescent="0.45">
      <c r="B2278" s="441"/>
      <c r="C2278" s="315"/>
      <c r="D2278" s="297" t="str">
        <f>IF(W2278=2,CONCATENATE("Net profit - ",Criteria!H15),CONCATENATE("Net loss - ",Criteria!H15))</f>
        <v>Net profit - Subsidiary Two 15 (Pty) Ltd</v>
      </c>
      <c r="L2278" s="405"/>
      <c r="M2278" s="400" t="s">
        <v>647</v>
      </c>
      <c r="N2278" s="400"/>
      <c r="O2278" s="347">
        <f>-SUM(TrialBalanceB!I5:I154)</f>
        <v>0</v>
      </c>
      <c r="Q2278" s="442"/>
      <c r="R2278" s="403" t="str">
        <f t="shared" si="189"/>
        <v>DELETE</v>
      </c>
      <c r="S2278" s="380">
        <f>O2278</f>
        <v>0</v>
      </c>
      <c r="W2278" s="378">
        <f>IF(O2278&lt;0,1,2)</f>
        <v>2</v>
      </c>
    </row>
    <row r="2279" spans="2:23" ht="31.5" customHeight="1" x14ac:dyDescent="0.45">
      <c r="B2279" s="441"/>
      <c r="C2279" s="315"/>
      <c r="D2279" s="297" t="str">
        <f>IF(W2279=2,CONCATENATE("Net profit - ",Criteria!H16),CONCATENATE("Net loss - ",Criteria!H16))</f>
        <v xml:space="preserve">Net profit - </v>
      </c>
      <c r="L2279" s="405"/>
      <c r="M2279" s="400" t="s">
        <v>648</v>
      </c>
      <c r="N2279" s="400"/>
      <c r="O2279" s="347">
        <f>-SUM(TrialBalanceC!I5:I154)</f>
        <v>0</v>
      </c>
      <c r="Q2279" s="442"/>
      <c r="R2279" s="403" t="str">
        <f t="shared" si="189"/>
        <v>DELETE</v>
      </c>
      <c r="S2279" s="380">
        <f>O2279</f>
        <v>0</v>
      </c>
      <c r="W2279" s="378">
        <f>IF(O2279&lt;0,1,2)</f>
        <v>2</v>
      </c>
    </row>
    <row r="2280" spans="2:23" ht="9" customHeight="1" x14ac:dyDescent="0.45">
      <c r="B2280" s="441"/>
      <c r="C2280" s="315"/>
      <c r="J2280" s="292"/>
      <c r="K2280" s="292"/>
      <c r="L2280" s="405"/>
      <c r="M2280" s="421"/>
      <c r="N2280" s="292"/>
      <c r="O2280" s="349"/>
      <c r="P2280" s="295"/>
      <c r="Q2280" s="442"/>
      <c r="R2280" s="403" t="str">
        <f>R2282</f>
        <v>DELETE</v>
      </c>
    </row>
    <row r="2281" spans="2:23" ht="9" customHeight="1" x14ac:dyDescent="0.45">
      <c r="B2281" s="441"/>
      <c r="C2281" s="315"/>
      <c r="J2281" s="292"/>
      <c r="K2281" s="292"/>
      <c r="L2281" s="405"/>
      <c r="M2281" s="421"/>
      <c r="N2281" s="292"/>
      <c r="O2281" s="347"/>
      <c r="P2281" s="295"/>
      <c r="Q2281" s="442"/>
      <c r="R2281" s="403" t="str">
        <f>R2282</f>
        <v>DELETE</v>
      </c>
    </row>
    <row r="2282" spans="2:23" ht="31.5" customHeight="1" x14ac:dyDescent="0.45">
      <c r="B2282" s="441"/>
      <c r="C2282" s="315"/>
      <c r="J2282" s="292"/>
      <c r="K2282" s="292"/>
      <c r="L2282" s="405"/>
      <c r="M2282" s="421"/>
      <c r="N2282" s="292"/>
      <c r="O2282" s="347">
        <f>SUM(S2128:S2280)</f>
        <v>0</v>
      </c>
      <c r="P2282" s="295"/>
      <c r="Q2282" s="442"/>
      <c r="R2282" s="403" t="str">
        <f>R2276</f>
        <v>DELETE</v>
      </c>
    </row>
    <row r="2283" spans="2:23" ht="31.5" customHeight="1" x14ac:dyDescent="0.45">
      <c r="B2283" s="441"/>
      <c r="C2283" s="417"/>
      <c r="J2283" s="292"/>
      <c r="K2283" s="292"/>
      <c r="L2283" s="405"/>
      <c r="M2283" s="421"/>
      <c r="N2283" s="292"/>
      <c r="O2283" s="347"/>
      <c r="P2283" s="295"/>
      <c r="Q2283" s="442"/>
      <c r="R2283" s="403" t="str">
        <f>R2282</f>
        <v>DELETE</v>
      </c>
      <c r="U2283" s="381"/>
      <c r="V2283" s="381"/>
    </row>
    <row r="2284" spans="2:23" ht="31.5" customHeight="1" x14ac:dyDescent="0.45">
      <c r="B2284" s="441"/>
      <c r="C2284" s="417" t="s">
        <v>263</v>
      </c>
      <c r="J2284" s="292"/>
      <c r="K2284" s="292"/>
      <c r="L2284" s="405"/>
      <c r="M2284" s="421"/>
      <c r="N2284" s="292"/>
      <c r="O2284" s="347">
        <f>SUM(TrialBalance!L157:L162)</f>
        <v>0</v>
      </c>
      <c r="P2284" s="295"/>
      <c r="Q2284" s="442"/>
      <c r="S2284" s="380">
        <f>-O2284</f>
        <v>0</v>
      </c>
      <c r="T2284" s="380"/>
    </row>
    <row r="2285" spans="2:23" ht="9" customHeight="1" x14ac:dyDescent="0.45">
      <c r="B2285" s="441"/>
      <c r="C2285" s="417"/>
      <c r="J2285" s="292"/>
      <c r="K2285" s="292"/>
      <c r="L2285" s="405"/>
      <c r="M2285" s="421"/>
      <c r="N2285" s="292"/>
      <c r="O2285" s="349"/>
      <c r="P2285" s="295"/>
      <c r="Q2285" s="442"/>
    </row>
    <row r="2286" spans="2:23" ht="9" customHeight="1" x14ac:dyDescent="0.45">
      <c r="B2286" s="441"/>
      <c r="C2286" s="417"/>
      <c r="J2286" s="292"/>
      <c r="K2286" s="292"/>
      <c r="L2286" s="405"/>
      <c r="M2286" s="421"/>
      <c r="N2286" s="292"/>
      <c r="O2286" s="347"/>
      <c r="P2286" s="295"/>
      <c r="Q2286" s="442"/>
    </row>
    <row r="2287" spans="2:23" ht="31.5" customHeight="1" x14ac:dyDescent="0.45">
      <c r="B2287" s="441"/>
      <c r="C2287" s="315" t="str">
        <f>IF(W2287=2,"NET PROFIT FOR THE YEAR AFTER TAXATION","NET LOSS FOR THE YEAR AFTER TAXATION")</f>
        <v>NET PROFIT FOR THE YEAR AFTER TAXATION</v>
      </c>
      <c r="J2287" s="292"/>
      <c r="K2287" s="292"/>
      <c r="L2287" s="405"/>
      <c r="M2287" s="421"/>
      <c r="N2287" s="292"/>
      <c r="O2287" s="347">
        <f>SUM(S2128:S2285)</f>
        <v>0</v>
      </c>
      <c r="P2287" s="295"/>
      <c r="Q2287" s="442"/>
      <c r="U2287" s="378" t="b">
        <f>-SUM(TrialBalance!L5:L162)='FS2'!O2287</f>
        <v>1</v>
      </c>
      <c r="W2287" s="378">
        <f>IF(O2287&lt;0,1,2)</f>
        <v>2</v>
      </c>
    </row>
    <row r="2288" spans="2:23" ht="9" customHeight="1" thickBot="1" x14ac:dyDescent="0.5">
      <c r="B2288" s="441"/>
      <c r="C2288" s="417"/>
      <c r="J2288" s="292"/>
      <c r="K2288" s="292"/>
      <c r="L2288" s="405"/>
      <c r="M2288" s="421"/>
      <c r="N2288" s="292"/>
      <c r="O2288" s="351"/>
      <c r="P2288" s="295"/>
      <c r="Q2288" s="442"/>
    </row>
    <row r="2289" spans="2:23" ht="9" customHeight="1" thickTop="1" x14ac:dyDescent="0.45">
      <c r="B2289" s="441"/>
      <c r="C2289" s="417"/>
      <c r="J2289" s="292"/>
      <c r="K2289" s="292"/>
      <c r="L2289" s="405"/>
      <c r="M2289" s="421"/>
      <c r="N2289" s="292"/>
      <c r="O2289" s="347"/>
      <c r="P2289" s="295"/>
      <c r="Q2289" s="442"/>
    </row>
    <row r="2290" spans="2:23" ht="31.5" customHeight="1" x14ac:dyDescent="0.45">
      <c r="B2290" s="441"/>
      <c r="C2290" s="417"/>
      <c r="J2290" s="292"/>
      <c r="K2290" s="292"/>
      <c r="L2290" s="292"/>
      <c r="M2290" s="347"/>
      <c r="N2290" s="298"/>
      <c r="O2290" s="347"/>
      <c r="P2290" s="295"/>
      <c r="Q2290" s="442"/>
    </row>
    <row r="2291" spans="2:23" ht="31.5" customHeight="1" x14ac:dyDescent="0.45">
      <c r="B2291" s="445"/>
      <c r="C2291" s="429"/>
      <c r="D2291" s="429"/>
      <c r="E2291" s="429"/>
      <c r="F2291" s="429"/>
      <c r="G2291" s="429"/>
      <c r="H2291" s="429"/>
      <c r="I2291" s="429"/>
      <c r="J2291" s="429"/>
      <c r="K2291" s="429"/>
      <c r="L2291" s="429"/>
      <c r="M2291" s="437"/>
      <c r="N2291" s="461"/>
      <c r="O2291" s="437"/>
      <c r="P2291" s="433"/>
      <c r="Q2291" s="446"/>
    </row>
    <row r="2292" spans="2:23" ht="31.5" customHeight="1" x14ac:dyDescent="0.45">
      <c r="M2292" s="426"/>
      <c r="N2292" s="406"/>
      <c r="O2292" s="426"/>
    </row>
    <row r="2293" spans="2:23" ht="31.5" customHeight="1" x14ac:dyDescent="0.45">
      <c r="M2293" s="426"/>
      <c r="N2293" s="406"/>
      <c r="O2293" s="426"/>
      <c r="R2293" s="403" t="str">
        <f>IF(SUM(S2305:S2307)+SUM(S2325:S2332)+SUM(S2432:S2442)+O2450=0,"DELETE"," ")</f>
        <v>DELETE</v>
      </c>
      <c r="T2293" s="381"/>
      <c r="U2293" s="382"/>
      <c r="V2293" s="382"/>
      <c r="W2293" s="381"/>
    </row>
    <row r="2294" spans="2:23" ht="31.5" customHeight="1" x14ac:dyDescent="0.45">
      <c r="D2294" s="417" t="s">
        <v>526</v>
      </c>
      <c r="M2294" s="426"/>
      <c r="N2294" s="406"/>
      <c r="O2294" s="426"/>
      <c r="R2294" s="403" t="str">
        <f t="shared" ref="R2294:R2304" si="190">R$2293</f>
        <v>DELETE</v>
      </c>
      <c r="T2294" s="381"/>
      <c r="U2294" s="379"/>
    </row>
    <row r="2295" spans="2:23" ht="31.5" customHeight="1" x14ac:dyDescent="0.45">
      <c r="M2295" s="426"/>
      <c r="N2295" s="406"/>
      <c r="O2295" s="426"/>
      <c r="R2295" s="403" t="str">
        <f t="shared" si="190"/>
        <v>DELETE</v>
      </c>
      <c r="T2295" s="381"/>
    </row>
    <row r="2296" spans="2:23" ht="31.5" customHeight="1" x14ac:dyDescent="0.45">
      <c r="D2296" s="417" t="str">
        <f>Criteria!E14</f>
        <v>SUBSIDIARY ONE 111 (PTY) LTD</v>
      </c>
      <c r="M2296" s="426"/>
      <c r="N2296" s="406"/>
      <c r="O2296" s="347" t="s">
        <v>96</v>
      </c>
      <c r="Q2296" s="292">
        <v>1</v>
      </c>
      <c r="R2296" s="403" t="str">
        <f t="shared" si="190"/>
        <v>DELETE</v>
      </c>
      <c r="T2296" s="381"/>
    </row>
    <row r="2297" spans="2:23" ht="31.5" customHeight="1" x14ac:dyDescent="0.45">
      <c r="D2297" s="405"/>
      <c r="M2297" s="426"/>
      <c r="N2297" s="406"/>
      <c r="O2297" s="426"/>
      <c r="R2297" s="403" t="str">
        <f t="shared" si="190"/>
        <v>DELETE</v>
      </c>
      <c r="T2297" s="381"/>
    </row>
    <row r="2298" spans="2:23" ht="31.5" customHeight="1" x14ac:dyDescent="0.45">
      <c r="M2298" s="426"/>
      <c r="N2298" s="406"/>
      <c r="O2298" s="426"/>
      <c r="R2298" s="403" t="str">
        <f t="shared" si="190"/>
        <v>DELETE</v>
      </c>
      <c r="T2298" s="381"/>
    </row>
    <row r="2299" spans="2:23" ht="31.5" customHeight="1" x14ac:dyDescent="0.45">
      <c r="D2299" s="417" t="s">
        <v>91</v>
      </c>
      <c r="M2299" s="426"/>
      <c r="N2299" s="406"/>
      <c r="O2299" s="426"/>
      <c r="R2299" s="403" t="str">
        <f t="shared" si="190"/>
        <v>DELETE</v>
      </c>
      <c r="T2299" s="381"/>
    </row>
    <row r="2300" spans="2:23" ht="31.5" customHeight="1" x14ac:dyDescent="0.45">
      <c r="D2300" s="417" t="str">
        <f>Criteria!E20</f>
        <v>29 FEBRUARY 2024</v>
      </c>
      <c r="M2300" s="426"/>
      <c r="N2300" s="406"/>
      <c r="O2300" s="426"/>
      <c r="R2300" s="403" t="str">
        <f t="shared" si="190"/>
        <v>DELETE</v>
      </c>
      <c r="T2300" s="381"/>
    </row>
    <row r="2301" spans="2:23" ht="31.5" customHeight="1" x14ac:dyDescent="0.45">
      <c r="M2301" s="426"/>
      <c r="N2301" s="406"/>
      <c r="O2301" s="426"/>
      <c r="R2301" s="403" t="str">
        <f t="shared" si="190"/>
        <v>DELETE</v>
      </c>
      <c r="T2301" s="381"/>
    </row>
    <row r="2302" spans="2:23" ht="31.5" customHeight="1" x14ac:dyDescent="0.45">
      <c r="B2302" s="438"/>
      <c r="C2302" s="439"/>
      <c r="D2302" s="439"/>
      <c r="E2302" s="439"/>
      <c r="F2302" s="439"/>
      <c r="G2302" s="439"/>
      <c r="H2302" s="439"/>
      <c r="I2302" s="439"/>
      <c r="J2302" s="439"/>
      <c r="K2302" s="439"/>
      <c r="L2302" s="439"/>
      <c r="M2302" s="469"/>
      <c r="N2302" s="470"/>
      <c r="O2302" s="469"/>
      <c r="P2302" s="448"/>
      <c r="Q2302" s="440"/>
      <c r="R2302" s="403" t="str">
        <f t="shared" si="190"/>
        <v>DELETE</v>
      </c>
      <c r="T2302" s="381"/>
    </row>
    <row r="2303" spans="2:23" ht="31.5" customHeight="1" x14ac:dyDescent="0.45">
      <c r="B2303" s="441"/>
      <c r="J2303" s="292"/>
      <c r="K2303" s="292" t="s">
        <v>104</v>
      </c>
      <c r="L2303" s="405"/>
      <c r="M2303" s="421"/>
      <c r="N2303" s="292"/>
      <c r="O2303" s="344">
        <f>Criteria!E22</f>
        <v>2024</v>
      </c>
      <c r="P2303" s="295"/>
      <c r="Q2303" s="442"/>
      <c r="R2303" s="403" t="str">
        <f t="shared" si="190"/>
        <v>DELETE</v>
      </c>
      <c r="T2303" s="381"/>
    </row>
    <row r="2304" spans="2:23" ht="31.5" customHeight="1" x14ac:dyDescent="0.45">
      <c r="B2304" s="441"/>
      <c r="J2304" s="292"/>
      <c r="K2304" s="292"/>
      <c r="L2304" s="405"/>
      <c r="M2304" s="421"/>
      <c r="N2304" s="292"/>
      <c r="O2304" s="347"/>
      <c r="P2304" s="295"/>
      <c r="Q2304" s="442"/>
      <c r="R2304" s="403" t="str">
        <f t="shared" si="190"/>
        <v>DELETE</v>
      </c>
      <c r="T2304" s="381"/>
    </row>
    <row r="2305" spans="2:22" ht="31.5" customHeight="1" x14ac:dyDescent="0.45">
      <c r="B2305" s="441"/>
      <c r="C2305" s="417" t="s">
        <v>112</v>
      </c>
      <c r="J2305" s="292"/>
      <c r="K2305" s="292"/>
      <c r="L2305" s="405"/>
      <c r="M2305" s="421"/>
      <c r="N2305" s="292"/>
      <c r="O2305" s="347">
        <f>-SUM(TrialBalanceA!I5:I10)</f>
        <v>0</v>
      </c>
      <c r="P2305" s="295"/>
      <c r="Q2305" s="442"/>
      <c r="R2305" s="403" t="str">
        <f>IF(R2293="DELETE","DELETE",IF(O2305=0,IF(O2307=0," ","DELETE")," "))</f>
        <v>DELETE</v>
      </c>
      <c r="S2305" s="380">
        <f>O2305</f>
        <v>0</v>
      </c>
      <c r="T2305" s="381"/>
      <c r="U2305" s="380"/>
      <c r="V2305" s="380"/>
    </row>
    <row r="2306" spans="2:22" ht="31.5" customHeight="1" x14ac:dyDescent="0.45">
      <c r="B2306" s="441"/>
      <c r="C2306" s="417"/>
      <c r="J2306" s="292"/>
      <c r="K2306" s="292"/>
      <c r="L2306" s="405"/>
      <c r="M2306" s="421"/>
      <c r="N2306" s="292"/>
      <c r="O2306" s="347"/>
      <c r="P2306" s="295"/>
      <c r="Q2306" s="442"/>
      <c r="R2306" s="403" t="str">
        <f>R2305</f>
        <v>DELETE</v>
      </c>
      <c r="S2306" s="380"/>
      <c r="T2306" s="381"/>
      <c r="U2306" s="380"/>
      <c r="V2306" s="380"/>
    </row>
    <row r="2307" spans="2:22" ht="31.5" customHeight="1" x14ac:dyDescent="0.45">
      <c r="B2307" s="441"/>
      <c r="C2307" s="417" t="s">
        <v>525</v>
      </c>
      <c r="J2307" s="292"/>
      <c r="K2307" s="292"/>
      <c r="L2307" s="405"/>
      <c r="M2307" s="421"/>
      <c r="N2307" s="292"/>
      <c r="O2307" s="347">
        <f>-TrialBalanceA!I11</f>
        <v>0</v>
      </c>
      <c r="P2307" s="295"/>
      <c r="Q2307" s="442"/>
      <c r="R2307" s="403" t="str">
        <f>IF(R$2293="DELETE","DELETE",IF(O2307=0,"DELETE"," "))</f>
        <v>DELETE</v>
      </c>
      <c r="S2307" s="380">
        <f>O2307</f>
        <v>0</v>
      </c>
      <c r="T2307" s="381"/>
      <c r="U2307" s="380"/>
      <c r="V2307" s="380"/>
    </row>
    <row r="2308" spans="2:22" ht="31.5" customHeight="1" x14ac:dyDescent="0.45">
      <c r="B2308" s="441"/>
      <c r="C2308" s="417"/>
      <c r="J2308" s="292"/>
      <c r="K2308" s="292"/>
      <c r="L2308" s="405"/>
      <c r="M2308" s="421"/>
      <c r="N2308" s="292"/>
      <c r="O2308" s="347"/>
      <c r="P2308" s="295"/>
      <c r="Q2308" s="442"/>
      <c r="R2308" s="403" t="str">
        <f>R2307</f>
        <v>DELETE</v>
      </c>
      <c r="T2308" s="381"/>
    </row>
    <row r="2309" spans="2:22" ht="31.5" customHeight="1" x14ac:dyDescent="0.45">
      <c r="B2309" s="441"/>
      <c r="C2309" s="417" t="s">
        <v>273</v>
      </c>
      <c r="J2309" s="292"/>
      <c r="K2309" s="292"/>
      <c r="L2309" s="405"/>
      <c r="M2309" s="421"/>
      <c r="N2309" s="292"/>
      <c r="O2309" s="347">
        <f>SUM(O2312:O2319)</f>
        <v>0</v>
      </c>
      <c r="P2309" s="295"/>
      <c r="Q2309" s="442"/>
      <c r="R2309" s="403" t="str">
        <f>IF(R$2293="DELETE","DELETE",IF(O2309=0,"DELETE"," "))</f>
        <v>DELETE</v>
      </c>
      <c r="S2309" s="380">
        <f>-O2309</f>
        <v>0</v>
      </c>
      <c r="T2309" s="381"/>
      <c r="U2309" s="380"/>
      <c r="V2309" s="380"/>
    </row>
    <row r="2310" spans="2:22" ht="9" customHeight="1" x14ac:dyDescent="0.45">
      <c r="B2310" s="441"/>
      <c r="C2310" s="417"/>
      <c r="J2310" s="292"/>
      <c r="K2310" s="292"/>
      <c r="L2310" s="405"/>
      <c r="M2310" s="421"/>
      <c r="N2310" s="292"/>
      <c r="O2310" s="347"/>
      <c r="P2310" s="295"/>
      <c r="Q2310" s="442"/>
      <c r="R2310" s="403" t="str">
        <f>R2309</f>
        <v>DELETE</v>
      </c>
      <c r="T2310" s="381"/>
    </row>
    <row r="2311" spans="2:22" ht="9" customHeight="1" x14ac:dyDescent="0.45">
      <c r="B2311" s="441"/>
      <c r="C2311" s="417"/>
      <c r="J2311" s="292"/>
      <c r="K2311" s="292"/>
      <c r="L2311" s="405"/>
      <c r="M2311" s="421"/>
      <c r="N2311" s="292"/>
      <c r="O2311" s="372"/>
      <c r="P2311" s="295"/>
      <c r="Q2311" s="442"/>
      <c r="R2311" s="403" t="str">
        <f>R2310</f>
        <v>DELETE</v>
      </c>
      <c r="T2311" s="381"/>
    </row>
    <row r="2312" spans="2:22" ht="31.5" customHeight="1" x14ac:dyDescent="0.45">
      <c r="B2312" s="441"/>
      <c r="C2312" s="417"/>
      <c r="D2312" s="400" t="s">
        <v>527</v>
      </c>
      <c r="J2312" s="292"/>
      <c r="K2312" s="292"/>
      <c r="L2312" s="405"/>
      <c r="M2312" s="421"/>
      <c r="N2312" s="292"/>
      <c r="O2312" s="373">
        <f>SUM(TrialBalanceA!I13:I16)</f>
        <v>0</v>
      </c>
      <c r="P2312" s="295"/>
      <c r="Q2312" s="442"/>
      <c r="R2312" s="403" t="str">
        <f t="shared" ref="R2312:R2319" si="191">IF(R$2293="DELETE","DELETE",IF(O2312=0,"DELETE"," "))</f>
        <v>DELETE</v>
      </c>
      <c r="T2312" s="381"/>
    </row>
    <row r="2313" spans="2:22" ht="31.5" customHeight="1" x14ac:dyDescent="0.45">
      <c r="B2313" s="441"/>
      <c r="C2313" s="417"/>
      <c r="D2313" s="400" t="s">
        <v>274</v>
      </c>
      <c r="J2313" s="292"/>
      <c r="K2313" s="292"/>
      <c r="L2313" s="405"/>
      <c r="M2313" s="421"/>
      <c r="N2313" s="292"/>
      <c r="O2313" s="373">
        <f>TrialBalanceA!I17</f>
        <v>0</v>
      </c>
      <c r="P2313" s="295"/>
      <c r="Q2313" s="442"/>
      <c r="R2313" s="403" t="str">
        <f t="shared" si="191"/>
        <v>DELETE</v>
      </c>
      <c r="T2313" s="381"/>
    </row>
    <row r="2314" spans="2:22" ht="31.5" customHeight="1" x14ac:dyDescent="0.45">
      <c r="B2314" s="441"/>
      <c r="C2314" s="417"/>
      <c r="D2314" s="400">
        <f>TrialBalanceA!C18</f>
        <v>0</v>
      </c>
      <c r="J2314" s="292"/>
      <c r="K2314" s="292"/>
      <c r="L2314" s="405"/>
      <c r="M2314" s="421"/>
      <c r="N2314" s="292"/>
      <c r="O2314" s="373">
        <f>TrialBalanceA!I18</f>
        <v>0</v>
      </c>
      <c r="P2314" s="295"/>
      <c r="Q2314" s="442"/>
      <c r="R2314" s="403" t="str">
        <f t="shared" si="191"/>
        <v>DELETE</v>
      </c>
      <c r="T2314" s="381"/>
    </row>
    <row r="2315" spans="2:22" ht="31.5" customHeight="1" x14ac:dyDescent="0.45">
      <c r="B2315" s="441"/>
      <c r="C2315" s="417"/>
      <c r="D2315" s="400">
        <f>TrialBalanceA!C19</f>
        <v>0</v>
      </c>
      <c r="J2315" s="292"/>
      <c r="K2315" s="292"/>
      <c r="L2315" s="405"/>
      <c r="M2315" s="421"/>
      <c r="N2315" s="292"/>
      <c r="O2315" s="373">
        <f>TrialBalanceA!I19</f>
        <v>0</v>
      </c>
      <c r="P2315" s="295"/>
      <c r="Q2315" s="442"/>
      <c r="R2315" s="403" t="str">
        <f t="shared" si="191"/>
        <v>DELETE</v>
      </c>
      <c r="T2315" s="381"/>
    </row>
    <row r="2316" spans="2:22" ht="31.5" customHeight="1" x14ac:dyDescent="0.45">
      <c r="B2316" s="441"/>
      <c r="C2316" s="417"/>
      <c r="D2316" s="400">
        <f>TrialBalanceA!C20</f>
        <v>0</v>
      </c>
      <c r="J2316" s="292"/>
      <c r="K2316" s="292"/>
      <c r="L2316" s="405"/>
      <c r="M2316" s="421"/>
      <c r="N2316" s="292"/>
      <c r="O2316" s="373">
        <f>TrialBalanceA!I20</f>
        <v>0</v>
      </c>
      <c r="P2316" s="295"/>
      <c r="Q2316" s="442"/>
      <c r="R2316" s="403" t="str">
        <f t="shared" si="191"/>
        <v>DELETE</v>
      </c>
      <c r="T2316" s="381"/>
    </row>
    <row r="2317" spans="2:22" ht="31.5" customHeight="1" x14ac:dyDescent="0.45">
      <c r="B2317" s="441"/>
      <c r="C2317" s="417"/>
      <c r="D2317" s="400">
        <f>TrialBalanceA!C21</f>
        <v>0</v>
      </c>
      <c r="J2317" s="292"/>
      <c r="K2317" s="292"/>
      <c r="L2317" s="405"/>
      <c r="M2317" s="421"/>
      <c r="N2317" s="292"/>
      <c r="O2317" s="373">
        <f>TrialBalanceA!I21</f>
        <v>0</v>
      </c>
      <c r="P2317" s="295"/>
      <c r="Q2317" s="442"/>
      <c r="R2317" s="403" t="str">
        <f t="shared" si="191"/>
        <v>DELETE</v>
      </c>
      <c r="T2317" s="381"/>
    </row>
    <row r="2318" spans="2:22" ht="31.5" customHeight="1" x14ac:dyDescent="0.45">
      <c r="B2318" s="441"/>
      <c r="C2318" s="417"/>
      <c r="D2318" s="400">
        <f>TrialBalanceA!C22</f>
        <v>0</v>
      </c>
      <c r="J2318" s="292"/>
      <c r="K2318" s="292"/>
      <c r="L2318" s="405"/>
      <c r="M2318" s="421"/>
      <c r="N2318" s="292"/>
      <c r="O2318" s="373">
        <f>TrialBalanceA!I22</f>
        <v>0</v>
      </c>
      <c r="P2318" s="295"/>
      <c r="Q2318" s="442"/>
      <c r="R2318" s="403" t="str">
        <f t="shared" si="191"/>
        <v>DELETE</v>
      </c>
      <c r="T2318" s="381"/>
    </row>
    <row r="2319" spans="2:22" ht="31.5" customHeight="1" x14ac:dyDescent="0.45">
      <c r="B2319" s="441"/>
      <c r="C2319" s="417"/>
      <c r="D2319" s="400" t="s">
        <v>528</v>
      </c>
      <c r="J2319" s="292"/>
      <c r="K2319" s="292"/>
      <c r="L2319" s="405"/>
      <c r="M2319" s="421"/>
      <c r="N2319" s="292"/>
      <c r="O2319" s="373">
        <f>SUM(TrialBalanceA!I23:I26)</f>
        <v>0</v>
      </c>
      <c r="P2319" s="295"/>
      <c r="Q2319" s="442"/>
      <c r="R2319" s="403" t="str">
        <f t="shared" si="191"/>
        <v>DELETE</v>
      </c>
      <c r="T2319" s="381"/>
    </row>
    <row r="2320" spans="2:22" ht="9" customHeight="1" x14ac:dyDescent="0.45">
      <c r="B2320" s="441"/>
      <c r="C2320" s="417"/>
      <c r="J2320" s="292"/>
      <c r="K2320" s="292"/>
      <c r="L2320" s="405"/>
      <c r="M2320" s="421"/>
      <c r="N2320" s="292"/>
      <c r="O2320" s="374"/>
      <c r="P2320" s="295"/>
      <c r="Q2320" s="442"/>
      <c r="R2320" s="403" t="str">
        <f>R2309</f>
        <v>DELETE</v>
      </c>
      <c r="T2320" s="381"/>
    </row>
    <row r="2321" spans="2:22" ht="9" customHeight="1" x14ac:dyDescent="0.45">
      <c r="B2321" s="441"/>
      <c r="C2321" s="417"/>
      <c r="J2321" s="292"/>
      <c r="K2321" s="292"/>
      <c r="L2321" s="405"/>
      <c r="M2321" s="421"/>
      <c r="N2321" s="292"/>
      <c r="O2321" s="349"/>
      <c r="P2321" s="295"/>
      <c r="Q2321" s="442"/>
      <c r="R2321" s="403" t="str">
        <f>R2309</f>
        <v>DELETE</v>
      </c>
      <c r="T2321" s="381"/>
    </row>
    <row r="2322" spans="2:22" ht="9" customHeight="1" x14ac:dyDescent="0.45">
      <c r="B2322" s="441"/>
      <c r="C2322" s="417"/>
      <c r="J2322" s="292"/>
      <c r="K2322" s="292"/>
      <c r="L2322" s="405"/>
      <c r="M2322" s="421"/>
      <c r="N2322" s="292"/>
      <c r="O2322" s="347"/>
      <c r="P2322" s="295"/>
      <c r="Q2322" s="442"/>
      <c r="R2322" s="403" t="str">
        <f>R2321</f>
        <v>DELETE</v>
      </c>
      <c r="T2322" s="381"/>
    </row>
    <row r="2323" spans="2:22" ht="31.5" customHeight="1" x14ac:dyDescent="0.45">
      <c r="B2323" s="441"/>
      <c r="C2323" s="315" t="str">
        <f>IF(O2323&lt;0,"GROSS LOSS","GROSS PROFIT")</f>
        <v>GROSS PROFIT</v>
      </c>
      <c r="J2323" s="292"/>
      <c r="K2323" s="292"/>
      <c r="L2323" s="405"/>
      <c r="M2323" s="421"/>
      <c r="N2323" s="292"/>
      <c r="O2323" s="347">
        <f>SUM(S2305:S2320)</f>
        <v>0</v>
      </c>
      <c r="P2323" s="295"/>
      <c r="Q2323" s="442"/>
      <c r="R2323" s="403" t="str">
        <f>R2322</f>
        <v>DELETE</v>
      </c>
      <c r="T2323" s="381"/>
    </row>
    <row r="2324" spans="2:22" ht="31.5" customHeight="1" x14ac:dyDescent="0.45">
      <c r="B2324" s="441"/>
      <c r="C2324" s="417"/>
      <c r="J2324" s="292"/>
      <c r="K2324" s="292"/>
      <c r="L2324" s="405"/>
      <c r="M2324" s="421"/>
      <c r="N2324" s="292"/>
      <c r="O2324" s="347"/>
      <c r="P2324" s="295"/>
      <c r="Q2324" s="442"/>
      <c r="R2324" s="403" t="str">
        <f>R2323</f>
        <v>DELETE</v>
      </c>
      <c r="T2324" s="381"/>
    </row>
    <row r="2325" spans="2:22" ht="31.5" customHeight="1" x14ac:dyDescent="0.45">
      <c r="B2325" s="441"/>
      <c r="C2325" s="417" t="s">
        <v>323</v>
      </c>
      <c r="J2325" s="292"/>
      <c r="K2325" s="292"/>
      <c r="L2325" s="405"/>
      <c r="M2325" s="421"/>
      <c r="N2325" s="292"/>
      <c r="O2325" s="347">
        <f>SUM(O2327:O2334)</f>
        <v>0</v>
      </c>
      <c r="P2325" s="295"/>
      <c r="Q2325" s="442"/>
      <c r="R2325" s="403" t="str">
        <f t="shared" ref="R2325" si="192">IF(R$2293="DELETE","DELETE",IF(O2325=0,"DELETE"," "))</f>
        <v>DELETE</v>
      </c>
      <c r="S2325" s="380">
        <f>O2325</f>
        <v>0</v>
      </c>
      <c r="T2325" s="381"/>
      <c r="U2325" s="380"/>
      <c r="V2325" s="380"/>
    </row>
    <row r="2326" spans="2:22" ht="9" customHeight="1" x14ac:dyDescent="0.45">
      <c r="B2326" s="441"/>
      <c r="C2326" s="417"/>
      <c r="J2326" s="292"/>
      <c r="K2326" s="292"/>
      <c r="L2326" s="405"/>
      <c r="M2326" s="421"/>
      <c r="N2326" s="292"/>
      <c r="O2326" s="347"/>
      <c r="P2326" s="295"/>
      <c r="Q2326" s="442"/>
      <c r="R2326" s="403" t="str">
        <f>R2325</f>
        <v>DELETE</v>
      </c>
      <c r="T2326" s="381"/>
    </row>
    <row r="2327" spans="2:22" ht="9" customHeight="1" x14ac:dyDescent="0.45">
      <c r="B2327" s="441"/>
      <c r="C2327" s="417"/>
      <c r="J2327" s="292"/>
      <c r="K2327" s="292"/>
      <c r="L2327" s="405"/>
      <c r="M2327" s="421"/>
      <c r="N2327" s="292"/>
      <c r="O2327" s="372"/>
      <c r="P2327" s="295"/>
      <c r="Q2327" s="442"/>
      <c r="R2327" s="403" t="str">
        <f>R2325</f>
        <v>DELETE</v>
      </c>
      <c r="T2327" s="381"/>
    </row>
    <row r="2328" spans="2:22" ht="31.5" customHeight="1" x14ac:dyDescent="0.45">
      <c r="B2328" s="441"/>
      <c r="C2328" s="417"/>
      <c r="D2328" s="400" t="str">
        <f>TrialBalanceA!C28</f>
        <v>Insurance claims - Subsidiary One 111 (Pty) Ltd</v>
      </c>
      <c r="J2328" s="292"/>
      <c r="K2328" s="292"/>
      <c r="L2328" s="405"/>
      <c r="M2328" s="421"/>
      <c r="N2328" s="292"/>
      <c r="O2328" s="373">
        <f>-TrialBalanceA!I28</f>
        <v>0</v>
      </c>
      <c r="P2328" s="295"/>
      <c r="Q2328" s="442"/>
      <c r="R2328" s="403" t="str">
        <f t="shared" ref="R2328:R2332" si="193">IF(R$2293="DELETE","DELETE",IF(O2328=0,"DELETE"," "))</f>
        <v>DELETE</v>
      </c>
      <c r="T2328" s="381"/>
    </row>
    <row r="2329" spans="2:22" ht="31.5" customHeight="1" x14ac:dyDescent="0.45">
      <c r="B2329" s="441"/>
      <c r="C2329" s="417"/>
      <c r="D2329" s="400" t="str">
        <f>TrialBalanceA!C29</f>
        <v>Government grants received</v>
      </c>
      <c r="J2329" s="292"/>
      <c r="K2329" s="292"/>
      <c r="L2329" s="405"/>
      <c r="M2329" s="421"/>
      <c r="N2329" s="292"/>
      <c r="O2329" s="373">
        <f>-TrialBalanceA!I29</f>
        <v>0</v>
      </c>
      <c r="P2329" s="295"/>
      <c r="Q2329" s="442"/>
      <c r="R2329" s="403" t="str">
        <f t="shared" si="193"/>
        <v>DELETE</v>
      </c>
      <c r="T2329" s="381"/>
    </row>
    <row r="2330" spans="2:22" ht="31.5" customHeight="1" x14ac:dyDescent="0.45">
      <c r="B2330" s="441"/>
      <c r="C2330" s="417"/>
      <c r="D2330" s="400">
        <f>TrialBalanceA!C30</f>
        <v>0</v>
      </c>
      <c r="J2330" s="292"/>
      <c r="K2330" s="292"/>
      <c r="L2330" s="405"/>
      <c r="M2330" s="421"/>
      <c r="N2330" s="292"/>
      <c r="O2330" s="373">
        <f>-TrialBalanceA!I30</f>
        <v>0</v>
      </c>
      <c r="P2330" s="295"/>
      <c r="Q2330" s="442"/>
      <c r="R2330" s="403" t="str">
        <f t="shared" si="193"/>
        <v>DELETE</v>
      </c>
      <c r="T2330" s="381"/>
    </row>
    <row r="2331" spans="2:22" ht="31.5" customHeight="1" x14ac:dyDescent="0.45">
      <c r="B2331" s="441"/>
      <c r="C2331" s="417"/>
      <c r="D2331" s="400">
        <f>TrialBalanceA!C31</f>
        <v>0</v>
      </c>
      <c r="J2331" s="292"/>
      <c r="K2331" s="292"/>
      <c r="L2331" s="405"/>
      <c r="M2331" s="421"/>
      <c r="N2331" s="292"/>
      <c r="O2331" s="373">
        <f>-TrialBalanceA!I31</f>
        <v>0</v>
      </c>
      <c r="P2331" s="295"/>
      <c r="Q2331" s="442"/>
      <c r="R2331" s="403" t="str">
        <f t="shared" si="193"/>
        <v>DELETE</v>
      </c>
      <c r="T2331" s="381"/>
    </row>
    <row r="2332" spans="2:22" ht="31.5" customHeight="1" x14ac:dyDescent="0.45">
      <c r="B2332" s="441"/>
      <c r="C2332" s="417"/>
      <c r="D2332" s="400">
        <f>TrialBalanceA!C32</f>
        <v>0</v>
      </c>
      <c r="J2332" s="292"/>
      <c r="K2332" s="292"/>
      <c r="L2332" s="405"/>
      <c r="M2332" s="421"/>
      <c r="N2332" s="292"/>
      <c r="O2332" s="373">
        <f>-TrialBalanceA!I32</f>
        <v>0</v>
      </c>
      <c r="P2332" s="295"/>
      <c r="Q2332" s="442"/>
      <c r="R2332" s="403" t="str">
        <f t="shared" si="193"/>
        <v>DELETE</v>
      </c>
      <c r="T2332" s="381"/>
    </row>
    <row r="2333" spans="2:22" ht="31.5" customHeight="1" x14ac:dyDescent="0.45">
      <c r="B2333" s="441"/>
      <c r="C2333" s="417"/>
      <c r="D2333" s="400" t="str">
        <f>TrialBalanceA!C33</f>
        <v>Recoupment of depreciation</v>
      </c>
      <c r="J2333" s="292"/>
      <c r="K2333" s="292"/>
      <c r="L2333" s="405"/>
      <c r="M2333" s="421"/>
      <c r="N2333" s="292"/>
      <c r="O2333" s="373">
        <f>-TrialBalanceA!I33</f>
        <v>0</v>
      </c>
      <c r="P2333" s="295"/>
      <c r="Q2333" s="442"/>
      <c r="R2333" s="403" t="str">
        <f t="shared" ref="R2333" si="194">IF(R$2293="DELETE","DELETE",IF(O2333=0,"DELETE"," "))</f>
        <v>DELETE</v>
      </c>
      <c r="T2333" s="381"/>
    </row>
    <row r="2334" spans="2:22" ht="9" customHeight="1" x14ac:dyDescent="0.45">
      <c r="B2334" s="441"/>
      <c r="C2334" s="417"/>
      <c r="J2334" s="292"/>
      <c r="K2334" s="292"/>
      <c r="L2334" s="405"/>
      <c r="M2334" s="421"/>
      <c r="N2334" s="292"/>
      <c r="O2334" s="374"/>
      <c r="P2334" s="295"/>
      <c r="Q2334" s="442"/>
      <c r="R2334" s="403" t="str">
        <f>R2325</f>
        <v>DELETE</v>
      </c>
      <c r="T2334" s="381"/>
    </row>
    <row r="2335" spans="2:22" ht="9" customHeight="1" x14ac:dyDescent="0.45">
      <c r="B2335" s="441"/>
      <c r="C2335" s="417"/>
      <c r="J2335" s="292"/>
      <c r="K2335" s="292"/>
      <c r="L2335" s="405"/>
      <c r="M2335" s="421"/>
      <c r="N2335" s="292"/>
      <c r="O2335" s="364"/>
      <c r="P2335" s="295"/>
      <c r="Q2335" s="442"/>
      <c r="R2335" s="403" t="str">
        <f>R2334</f>
        <v>DELETE</v>
      </c>
      <c r="T2335" s="381"/>
    </row>
    <row r="2336" spans="2:22" ht="9" customHeight="1" x14ac:dyDescent="0.45">
      <c r="B2336" s="441"/>
      <c r="C2336" s="417"/>
      <c r="J2336" s="292"/>
      <c r="K2336" s="292"/>
      <c r="L2336" s="405"/>
      <c r="M2336" s="421"/>
      <c r="N2336" s="292"/>
      <c r="O2336" s="347"/>
      <c r="P2336" s="295"/>
      <c r="Q2336" s="442"/>
      <c r="R2336" s="403" t="str">
        <f>R2335</f>
        <v>DELETE</v>
      </c>
      <c r="T2336" s="381"/>
    </row>
    <row r="2337" spans="2:22" ht="31.5" customHeight="1" x14ac:dyDescent="0.45">
      <c r="B2337" s="441"/>
      <c r="C2337" s="417"/>
      <c r="J2337" s="292"/>
      <c r="K2337" s="292"/>
      <c r="L2337" s="405"/>
      <c r="M2337" s="421"/>
      <c r="N2337" s="292"/>
      <c r="O2337" s="347">
        <f>SUM(S2305:S2325)</f>
        <v>0</v>
      </c>
      <c r="P2337" s="295"/>
      <c r="Q2337" s="442"/>
      <c r="R2337" s="403" t="str">
        <f>R2325</f>
        <v>DELETE</v>
      </c>
      <c r="T2337" s="381"/>
    </row>
    <row r="2338" spans="2:22" ht="31.5" customHeight="1" x14ac:dyDescent="0.45">
      <c r="B2338" s="441"/>
      <c r="C2338" s="417"/>
      <c r="J2338" s="292"/>
      <c r="K2338" s="292"/>
      <c r="L2338" s="405"/>
      <c r="M2338" s="421"/>
      <c r="N2338" s="292"/>
      <c r="O2338" s="347"/>
      <c r="P2338" s="295"/>
      <c r="Q2338" s="442"/>
      <c r="R2338" s="403" t="str">
        <f>R2337</f>
        <v>DELETE</v>
      </c>
      <c r="T2338" s="381"/>
    </row>
    <row r="2339" spans="2:22" ht="31.5" customHeight="1" x14ac:dyDescent="0.45">
      <c r="B2339" s="441"/>
      <c r="C2339" s="417" t="s">
        <v>996</v>
      </c>
      <c r="J2339" s="292"/>
      <c r="K2339" s="292"/>
      <c r="L2339" s="405"/>
      <c r="M2339" s="421"/>
      <c r="N2339" s="292"/>
      <c r="O2339" s="347">
        <f>SUM(O2341:O2369)</f>
        <v>0</v>
      </c>
      <c r="P2339" s="295"/>
      <c r="Q2339" s="442"/>
      <c r="R2339" s="403" t="str">
        <f t="shared" ref="R2339" si="195">IF(R$2293="DELETE","DELETE",IF(O2339=0,"DELETE"," "))</f>
        <v>DELETE</v>
      </c>
      <c r="S2339" s="380">
        <f>-O2339</f>
        <v>0</v>
      </c>
      <c r="T2339" s="381"/>
      <c r="U2339" s="380"/>
      <c r="V2339" s="380"/>
    </row>
    <row r="2340" spans="2:22" ht="9" customHeight="1" x14ac:dyDescent="0.45">
      <c r="B2340" s="441"/>
      <c r="C2340" s="417"/>
      <c r="J2340" s="292"/>
      <c r="K2340" s="292"/>
      <c r="L2340" s="405"/>
      <c r="M2340" s="421"/>
      <c r="N2340" s="292"/>
      <c r="O2340" s="347"/>
      <c r="P2340" s="295"/>
      <c r="Q2340" s="442"/>
      <c r="R2340" s="403" t="str">
        <f>R2339</f>
        <v>DELETE</v>
      </c>
      <c r="T2340" s="381"/>
    </row>
    <row r="2341" spans="2:22" ht="9" customHeight="1" x14ac:dyDescent="0.45">
      <c r="B2341" s="441"/>
      <c r="C2341" s="417"/>
      <c r="J2341" s="292"/>
      <c r="K2341" s="292"/>
      <c r="L2341" s="405"/>
      <c r="M2341" s="421"/>
      <c r="N2341" s="292"/>
      <c r="O2341" s="372"/>
      <c r="P2341" s="295"/>
      <c r="Q2341" s="442"/>
      <c r="R2341" s="403" t="str">
        <f>R2340</f>
        <v>DELETE</v>
      </c>
      <c r="T2341" s="381"/>
    </row>
    <row r="2342" spans="2:22" ht="31.5" customHeight="1" x14ac:dyDescent="0.45">
      <c r="B2342" s="441"/>
      <c r="C2342" s="417"/>
      <c r="D2342" s="400" t="s">
        <v>275</v>
      </c>
      <c r="J2342" s="292"/>
      <c r="K2342" s="292"/>
      <c r="L2342" s="405"/>
      <c r="M2342" s="421"/>
      <c r="N2342" s="292"/>
      <c r="O2342" s="373">
        <f>TrialBalanceA!I40</f>
        <v>0</v>
      </c>
      <c r="P2342" s="295"/>
      <c r="Q2342" s="442"/>
      <c r="R2342" s="403" t="str">
        <f t="shared" ref="R2342:R2368" si="196">IF(R$2293="DELETE","DELETE",IF(O2342=0,"DELETE"," "))</f>
        <v>DELETE</v>
      </c>
      <c r="T2342" s="381"/>
    </row>
    <row r="2343" spans="2:22" ht="31.5" customHeight="1" x14ac:dyDescent="0.45">
      <c r="B2343" s="441"/>
      <c r="C2343" s="417"/>
      <c r="D2343" s="400" t="s">
        <v>702</v>
      </c>
      <c r="J2343" s="292"/>
      <c r="K2343" s="292"/>
      <c r="L2343" s="405"/>
      <c r="M2343" s="421"/>
      <c r="N2343" s="292"/>
      <c r="O2343" s="373">
        <f>TrialBalanceA!I41</f>
        <v>0</v>
      </c>
      <c r="P2343" s="295"/>
      <c r="Q2343" s="442"/>
      <c r="R2343" s="403" t="str">
        <f t="shared" si="196"/>
        <v>DELETE</v>
      </c>
      <c r="T2343" s="381"/>
    </row>
    <row r="2344" spans="2:22" ht="31.5" customHeight="1" x14ac:dyDescent="0.45">
      <c r="B2344" s="441"/>
      <c r="C2344" s="417"/>
      <c r="D2344" s="400" t="s">
        <v>276</v>
      </c>
      <c r="J2344" s="292"/>
      <c r="K2344" s="292"/>
      <c r="L2344" s="405"/>
      <c r="M2344" s="421"/>
      <c r="N2344" s="292"/>
      <c r="O2344" s="373">
        <f>TrialBalanceA!I42</f>
        <v>0</v>
      </c>
      <c r="P2344" s="295"/>
      <c r="Q2344" s="442"/>
      <c r="R2344" s="403" t="str">
        <f t="shared" si="196"/>
        <v>DELETE</v>
      </c>
      <c r="T2344" s="381"/>
    </row>
    <row r="2345" spans="2:22" ht="31.5" customHeight="1" x14ac:dyDescent="0.45">
      <c r="B2345" s="441"/>
      <c r="C2345" s="417"/>
      <c r="D2345" s="400" t="s">
        <v>277</v>
      </c>
      <c r="J2345" s="292"/>
      <c r="K2345" s="292">
        <f>C$940</f>
        <v>5.2999999999999989</v>
      </c>
      <c r="L2345" s="405"/>
      <c r="M2345" s="421"/>
      <c r="N2345" s="292"/>
      <c r="O2345" s="373">
        <f>SUM(TrialBalanceA!I44:I46)</f>
        <v>0</v>
      </c>
      <c r="P2345" s="295"/>
      <c r="Q2345" s="442"/>
      <c r="R2345" s="403" t="str">
        <f t="shared" si="196"/>
        <v>DELETE</v>
      </c>
      <c r="T2345" s="381"/>
    </row>
    <row r="2346" spans="2:22" ht="31.5" customHeight="1" x14ac:dyDescent="0.45">
      <c r="B2346" s="441"/>
      <c r="C2346" s="417"/>
      <c r="D2346" s="400" t="s">
        <v>529</v>
      </c>
      <c r="J2346" s="292"/>
      <c r="K2346" s="292"/>
      <c r="L2346" s="405"/>
      <c r="M2346" s="421"/>
      <c r="N2346" s="292"/>
      <c r="O2346" s="373">
        <f>TrialBalanceA!I47</f>
        <v>0</v>
      </c>
      <c r="P2346" s="295"/>
      <c r="Q2346" s="442"/>
      <c r="R2346" s="403" t="str">
        <f t="shared" si="196"/>
        <v>DELETE</v>
      </c>
      <c r="S2346" s="383"/>
      <c r="T2346" s="381"/>
      <c r="U2346" s="383"/>
      <c r="V2346" s="383"/>
    </row>
    <row r="2347" spans="2:22" ht="31.5" customHeight="1" x14ac:dyDescent="0.45">
      <c r="B2347" s="441"/>
      <c r="C2347" s="417"/>
      <c r="D2347" s="400" t="s">
        <v>725</v>
      </c>
      <c r="J2347" s="292"/>
      <c r="K2347" s="292"/>
      <c r="L2347" s="405"/>
      <c r="M2347" s="421"/>
      <c r="N2347" s="292"/>
      <c r="O2347" s="373">
        <f>TrialBalanceA!I48</f>
        <v>0</v>
      </c>
      <c r="P2347" s="295"/>
      <c r="Q2347" s="442"/>
      <c r="R2347" s="403" t="str">
        <f t="shared" si="196"/>
        <v>DELETE</v>
      </c>
      <c r="T2347" s="381"/>
    </row>
    <row r="2348" spans="2:22" ht="31.5" customHeight="1" x14ac:dyDescent="0.45">
      <c r="B2348" s="441"/>
      <c r="C2348" s="417"/>
      <c r="D2348" s="400" t="s">
        <v>59</v>
      </c>
      <c r="J2348" s="292"/>
      <c r="K2348" s="292"/>
      <c r="L2348" s="405"/>
      <c r="M2348" s="421"/>
      <c r="N2348" s="292"/>
      <c r="O2348" s="373">
        <f>TrialBalanceA!I49</f>
        <v>0</v>
      </c>
      <c r="P2348" s="295"/>
      <c r="Q2348" s="442"/>
      <c r="R2348" s="403" t="str">
        <f t="shared" si="196"/>
        <v>DELETE</v>
      </c>
      <c r="T2348" s="381"/>
    </row>
    <row r="2349" spans="2:22" ht="31.5" customHeight="1" x14ac:dyDescent="0.45">
      <c r="B2349" s="441"/>
      <c r="C2349" s="417"/>
      <c r="D2349" s="400" t="s">
        <v>278</v>
      </c>
      <c r="J2349" s="292"/>
      <c r="K2349" s="292"/>
      <c r="L2349" s="405"/>
      <c r="M2349" s="421"/>
      <c r="N2349" s="292"/>
      <c r="O2349" s="373">
        <f>TrialBalanceA!I50</f>
        <v>0</v>
      </c>
      <c r="P2349" s="295"/>
      <c r="Q2349" s="442"/>
      <c r="R2349" s="403" t="str">
        <f t="shared" si="196"/>
        <v>DELETE</v>
      </c>
      <c r="T2349" s="381"/>
    </row>
    <row r="2350" spans="2:22" ht="31.5" customHeight="1" x14ac:dyDescent="0.45">
      <c r="B2350" s="441"/>
      <c r="C2350" s="417"/>
      <c r="D2350" s="400" t="s">
        <v>546</v>
      </c>
      <c r="J2350" s="292"/>
      <c r="K2350" s="292"/>
      <c r="L2350" s="405"/>
      <c r="M2350" s="421"/>
      <c r="N2350" s="292"/>
      <c r="O2350" s="373">
        <f>SUM(TrialBalanceA!I51:I52)</f>
        <v>0</v>
      </c>
      <c r="P2350" s="295"/>
      <c r="Q2350" s="442"/>
      <c r="R2350" s="403" t="str">
        <f t="shared" si="196"/>
        <v>DELETE</v>
      </c>
      <c r="T2350" s="381"/>
    </row>
    <row r="2351" spans="2:22" ht="31.5" customHeight="1" x14ac:dyDescent="0.45">
      <c r="B2351" s="441"/>
      <c r="C2351" s="417"/>
      <c r="D2351" s="400" t="s">
        <v>545</v>
      </c>
      <c r="J2351" s="292"/>
      <c r="K2351" s="292"/>
      <c r="L2351" s="405"/>
      <c r="M2351" s="421"/>
      <c r="N2351" s="292"/>
      <c r="O2351" s="373">
        <f>TrialBalanceA!I53</f>
        <v>0</v>
      </c>
      <c r="P2351" s="295"/>
      <c r="Q2351" s="442"/>
      <c r="R2351" s="403" t="str">
        <f t="shared" si="196"/>
        <v>DELETE</v>
      </c>
      <c r="T2351" s="381"/>
    </row>
    <row r="2352" spans="2:22" ht="31.5" customHeight="1" x14ac:dyDescent="0.45">
      <c r="B2352" s="441"/>
      <c r="C2352" s="417"/>
      <c r="D2352" s="400" t="s">
        <v>530</v>
      </c>
      <c r="J2352" s="292"/>
      <c r="K2352" s="292"/>
      <c r="L2352" s="405"/>
      <c r="M2352" s="421"/>
      <c r="N2352" s="292"/>
      <c r="O2352" s="373">
        <f>SUM(TrialBalanceA!I55:I59)</f>
        <v>0</v>
      </c>
      <c r="P2352" s="295"/>
      <c r="Q2352" s="442"/>
      <c r="R2352" s="403" t="str">
        <f t="shared" si="196"/>
        <v>DELETE</v>
      </c>
      <c r="T2352" s="381"/>
    </row>
    <row r="2353" spans="2:20" ht="31.5" customHeight="1" x14ac:dyDescent="0.45">
      <c r="B2353" s="441"/>
      <c r="C2353" s="417"/>
      <c r="D2353" s="400" t="s">
        <v>512</v>
      </c>
      <c r="J2353" s="292"/>
      <c r="K2353" s="292">
        <f>'FS2'!C$908</f>
        <v>5.1999999999999993</v>
      </c>
      <c r="L2353" s="405"/>
      <c r="M2353" s="421"/>
      <c r="N2353" s="292"/>
      <c r="O2353" s="373">
        <f>SUM(TrialBalanceA!I61:I63)</f>
        <v>0</v>
      </c>
      <c r="P2353" s="295"/>
      <c r="Q2353" s="442"/>
      <c r="R2353" s="403" t="str">
        <f t="shared" si="196"/>
        <v>DELETE</v>
      </c>
      <c r="T2353" s="381"/>
    </row>
    <row r="2354" spans="2:20" ht="31.5" customHeight="1" x14ac:dyDescent="0.45">
      <c r="B2354" s="441"/>
      <c r="C2354" s="417"/>
      <c r="D2354" s="400" t="s">
        <v>62</v>
      </c>
      <c r="J2354" s="292"/>
      <c r="K2354" s="292"/>
      <c r="L2354" s="405"/>
      <c r="M2354" s="421"/>
      <c r="N2354" s="292"/>
      <c r="O2354" s="373">
        <f>TrialBalanceA!I64</f>
        <v>0</v>
      </c>
      <c r="P2354" s="295"/>
      <c r="Q2354" s="442"/>
      <c r="R2354" s="403" t="str">
        <f t="shared" si="196"/>
        <v>DELETE</v>
      </c>
      <c r="T2354" s="381"/>
    </row>
    <row r="2355" spans="2:20" ht="31.5" customHeight="1" x14ac:dyDescent="0.45">
      <c r="B2355" s="441"/>
      <c r="C2355" s="417"/>
      <c r="D2355" s="400" t="s">
        <v>253</v>
      </c>
      <c r="J2355" s="292"/>
      <c r="K2355" s="292"/>
      <c r="L2355" s="405"/>
      <c r="M2355" s="421"/>
      <c r="N2355" s="292"/>
      <c r="O2355" s="373">
        <f>SUM(TrialBalanceA!I65:I67)</f>
        <v>0</v>
      </c>
      <c r="P2355" s="295"/>
      <c r="Q2355" s="442"/>
      <c r="R2355" s="403" t="str">
        <f t="shared" si="196"/>
        <v>DELETE</v>
      </c>
      <c r="T2355" s="381"/>
    </row>
    <row r="2356" spans="2:20" ht="31.5" customHeight="1" x14ac:dyDescent="0.45">
      <c r="B2356" s="441"/>
      <c r="C2356" s="417"/>
      <c r="D2356" s="400" t="s">
        <v>726</v>
      </c>
      <c r="J2356" s="292"/>
      <c r="K2356" s="292"/>
      <c r="L2356" s="405"/>
      <c r="M2356" s="421"/>
      <c r="N2356" s="292"/>
      <c r="O2356" s="373">
        <f>SUM(TrialBalanceA!I68:I69)</f>
        <v>0</v>
      </c>
      <c r="P2356" s="295"/>
      <c r="Q2356" s="442"/>
      <c r="R2356" s="403" t="str">
        <f t="shared" si="196"/>
        <v>DELETE</v>
      </c>
      <c r="T2356" s="381"/>
    </row>
    <row r="2357" spans="2:20" ht="31.5" customHeight="1" x14ac:dyDescent="0.45">
      <c r="B2357" s="441"/>
      <c r="C2357" s="417"/>
      <c r="D2357" s="400" t="s">
        <v>254</v>
      </c>
      <c r="J2357" s="292"/>
      <c r="K2357" s="292"/>
      <c r="L2357" s="405"/>
      <c r="M2357" s="421"/>
      <c r="N2357" s="292"/>
      <c r="O2357" s="373">
        <f>TrialBalanceA!I70</f>
        <v>0</v>
      </c>
      <c r="P2357" s="295"/>
      <c r="Q2357" s="442"/>
      <c r="R2357" s="403" t="str">
        <f t="shared" si="196"/>
        <v>DELETE</v>
      </c>
      <c r="T2357" s="381"/>
    </row>
    <row r="2358" spans="2:20" ht="31.5" customHeight="1" x14ac:dyDescent="0.45">
      <c r="B2358" s="441"/>
      <c r="C2358" s="417"/>
      <c r="D2358" s="400" t="s">
        <v>387</v>
      </c>
      <c r="J2358" s="292"/>
      <c r="K2358" s="292"/>
      <c r="L2358" s="405"/>
      <c r="M2358" s="421"/>
      <c r="N2358" s="292"/>
      <c r="O2358" s="373">
        <f>TrialBalanceA!I71</f>
        <v>0</v>
      </c>
      <c r="P2358" s="295"/>
      <c r="Q2358" s="442"/>
      <c r="R2358" s="403" t="str">
        <f t="shared" si="196"/>
        <v>DELETE</v>
      </c>
      <c r="T2358" s="381"/>
    </row>
    <row r="2359" spans="2:20" ht="31.5" customHeight="1" x14ac:dyDescent="0.45">
      <c r="B2359" s="441"/>
      <c r="C2359" s="417"/>
      <c r="D2359" s="400">
        <f>TrialBalanceA!C72</f>
        <v>0</v>
      </c>
      <c r="J2359" s="292"/>
      <c r="K2359" s="292"/>
      <c r="L2359" s="405"/>
      <c r="M2359" s="421"/>
      <c r="N2359" s="292"/>
      <c r="O2359" s="373">
        <f>TrialBalanceA!I72</f>
        <v>0</v>
      </c>
      <c r="P2359" s="295"/>
      <c r="Q2359" s="442"/>
      <c r="R2359" s="403" t="str">
        <f t="shared" si="196"/>
        <v>DELETE</v>
      </c>
      <c r="T2359" s="381"/>
    </row>
    <row r="2360" spans="2:20" ht="31.5" customHeight="1" x14ac:dyDescent="0.45">
      <c r="B2360" s="441"/>
      <c r="C2360" s="417"/>
      <c r="D2360" s="400">
        <f>TrialBalanceA!C73</f>
        <v>0</v>
      </c>
      <c r="J2360" s="292"/>
      <c r="K2360" s="292"/>
      <c r="L2360" s="405"/>
      <c r="M2360" s="421"/>
      <c r="N2360" s="292"/>
      <c r="O2360" s="373">
        <f>TrialBalanceA!I73</f>
        <v>0</v>
      </c>
      <c r="P2360" s="295"/>
      <c r="Q2360" s="442"/>
      <c r="R2360" s="403" t="str">
        <f t="shared" si="196"/>
        <v>DELETE</v>
      </c>
      <c r="T2360" s="381"/>
    </row>
    <row r="2361" spans="2:20" ht="31.5" customHeight="1" x14ac:dyDescent="0.45">
      <c r="B2361" s="441"/>
      <c r="C2361" s="417"/>
      <c r="D2361" s="400">
        <f>TrialBalanceA!C74</f>
        <v>0</v>
      </c>
      <c r="J2361" s="292"/>
      <c r="K2361" s="292"/>
      <c r="L2361" s="405"/>
      <c r="M2361" s="421"/>
      <c r="N2361" s="292"/>
      <c r="O2361" s="373">
        <f>TrialBalanceA!I74</f>
        <v>0</v>
      </c>
      <c r="P2361" s="295"/>
      <c r="Q2361" s="442"/>
      <c r="R2361" s="403" t="str">
        <f t="shared" si="196"/>
        <v>DELETE</v>
      </c>
      <c r="T2361" s="381"/>
    </row>
    <row r="2362" spans="2:20" ht="31.5" customHeight="1" x14ac:dyDescent="0.45">
      <c r="B2362" s="441"/>
      <c r="C2362" s="417"/>
      <c r="D2362" s="400">
        <f>TrialBalanceA!C75</f>
        <v>0</v>
      </c>
      <c r="J2362" s="292"/>
      <c r="K2362" s="292"/>
      <c r="L2362" s="405"/>
      <c r="M2362" s="421"/>
      <c r="N2362" s="292"/>
      <c r="O2362" s="373">
        <f>TrialBalanceA!I75</f>
        <v>0</v>
      </c>
      <c r="P2362" s="295"/>
      <c r="Q2362" s="442"/>
      <c r="R2362" s="403" t="str">
        <f t="shared" si="196"/>
        <v>DELETE</v>
      </c>
      <c r="T2362" s="381"/>
    </row>
    <row r="2363" spans="2:20" ht="31.5" customHeight="1" x14ac:dyDescent="0.45">
      <c r="B2363" s="441"/>
      <c r="C2363" s="417"/>
      <c r="D2363" s="400">
        <f>TrialBalanceA!C76</f>
        <v>0</v>
      </c>
      <c r="J2363" s="292"/>
      <c r="K2363" s="292"/>
      <c r="L2363" s="405"/>
      <c r="M2363" s="421"/>
      <c r="N2363" s="292"/>
      <c r="O2363" s="373">
        <f>TrialBalanceA!I76</f>
        <v>0</v>
      </c>
      <c r="P2363" s="295"/>
      <c r="Q2363" s="442"/>
      <c r="R2363" s="403" t="str">
        <f t="shared" si="196"/>
        <v>DELETE</v>
      </c>
      <c r="T2363" s="381"/>
    </row>
    <row r="2364" spans="2:20" ht="31.5" customHeight="1" x14ac:dyDescent="0.45">
      <c r="B2364" s="441"/>
      <c r="C2364" s="417"/>
      <c r="D2364" s="400">
        <f>TrialBalanceA!C77</f>
        <v>0</v>
      </c>
      <c r="J2364" s="292"/>
      <c r="K2364" s="292"/>
      <c r="L2364" s="405"/>
      <c r="M2364" s="421"/>
      <c r="N2364" s="292"/>
      <c r="O2364" s="373">
        <f>TrialBalanceA!I77</f>
        <v>0</v>
      </c>
      <c r="P2364" s="295"/>
      <c r="Q2364" s="442"/>
      <c r="R2364" s="403" t="str">
        <f t="shared" si="196"/>
        <v>DELETE</v>
      </c>
      <c r="T2364" s="381"/>
    </row>
    <row r="2365" spans="2:20" ht="31.5" customHeight="1" x14ac:dyDescent="0.45">
      <c r="B2365" s="441"/>
      <c r="C2365" s="417"/>
      <c r="D2365" s="400">
        <f>TrialBalanceA!C78</f>
        <v>0</v>
      </c>
      <c r="J2365" s="292"/>
      <c r="K2365" s="292"/>
      <c r="L2365" s="405"/>
      <c r="M2365" s="421"/>
      <c r="N2365" s="292"/>
      <c r="O2365" s="373">
        <f>TrialBalanceA!I78</f>
        <v>0</v>
      </c>
      <c r="P2365" s="295"/>
      <c r="Q2365" s="442"/>
      <c r="R2365" s="403" t="str">
        <f t="shared" si="196"/>
        <v>DELETE</v>
      </c>
      <c r="T2365" s="381"/>
    </row>
    <row r="2366" spans="2:20" ht="31.5" customHeight="1" x14ac:dyDescent="0.45">
      <c r="B2366" s="441"/>
      <c r="C2366" s="417"/>
      <c r="D2366" s="400">
        <f>TrialBalanceA!C79</f>
        <v>0</v>
      </c>
      <c r="J2366" s="292"/>
      <c r="K2366" s="292"/>
      <c r="L2366" s="405"/>
      <c r="M2366" s="421"/>
      <c r="N2366" s="292"/>
      <c r="O2366" s="373">
        <f>TrialBalanceA!I79</f>
        <v>0</v>
      </c>
      <c r="P2366" s="295"/>
      <c r="Q2366" s="442"/>
      <c r="R2366" s="403" t="str">
        <f t="shared" si="196"/>
        <v>DELETE</v>
      </c>
      <c r="T2366" s="381"/>
    </row>
    <row r="2367" spans="2:20" ht="31.5" customHeight="1" x14ac:dyDescent="0.45">
      <c r="B2367" s="441"/>
      <c r="C2367" s="417"/>
      <c r="D2367" s="400">
        <f>TrialBalanceA!C80</f>
        <v>0</v>
      </c>
      <c r="J2367" s="292"/>
      <c r="K2367" s="292"/>
      <c r="L2367" s="405"/>
      <c r="M2367" s="421"/>
      <c r="N2367" s="292"/>
      <c r="O2367" s="373">
        <f>TrialBalanceA!I80</f>
        <v>0</v>
      </c>
      <c r="P2367" s="295"/>
      <c r="Q2367" s="442"/>
      <c r="R2367" s="403" t="str">
        <f t="shared" si="196"/>
        <v>DELETE</v>
      </c>
      <c r="T2367" s="381"/>
    </row>
    <row r="2368" spans="2:20" ht="31.5" customHeight="1" x14ac:dyDescent="0.45">
      <c r="B2368" s="441"/>
      <c r="C2368" s="417"/>
      <c r="D2368" s="400">
        <f>TrialBalanceA!C81</f>
        <v>0</v>
      </c>
      <c r="J2368" s="292"/>
      <c r="K2368" s="292"/>
      <c r="L2368" s="405"/>
      <c r="M2368" s="421"/>
      <c r="N2368" s="292"/>
      <c r="O2368" s="373">
        <f>TrialBalanceA!I81</f>
        <v>0</v>
      </c>
      <c r="P2368" s="295"/>
      <c r="Q2368" s="442"/>
      <c r="R2368" s="403" t="str">
        <f t="shared" si="196"/>
        <v>DELETE</v>
      </c>
      <c r="T2368" s="381"/>
    </row>
    <row r="2369" spans="2:20" ht="9" customHeight="1" x14ac:dyDescent="0.45">
      <c r="B2369" s="441"/>
      <c r="C2369" s="417"/>
      <c r="J2369" s="292"/>
      <c r="K2369" s="292"/>
      <c r="L2369" s="405"/>
      <c r="M2369" s="421"/>
      <c r="N2369" s="292"/>
      <c r="O2369" s="374"/>
      <c r="P2369" s="295"/>
      <c r="Q2369" s="442"/>
      <c r="R2369" s="403" t="str">
        <f>R2339</f>
        <v>DELETE</v>
      </c>
      <c r="T2369" s="381"/>
    </row>
    <row r="2370" spans="2:20" ht="9" customHeight="1" x14ac:dyDescent="0.45">
      <c r="B2370" s="441"/>
      <c r="C2370" s="417"/>
      <c r="J2370" s="292"/>
      <c r="K2370" s="292"/>
      <c r="L2370" s="405"/>
      <c r="M2370" s="421"/>
      <c r="N2370" s="292"/>
      <c r="O2370" s="349"/>
      <c r="P2370" s="295"/>
      <c r="Q2370" s="442"/>
      <c r="R2370" s="403" t="str">
        <f t="shared" ref="R2370:R2390" si="197">R$2293</f>
        <v>DELETE</v>
      </c>
      <c r="T2370" s="381"/>
    </row>
    <row r="2371" spans="2:20" ht="9" customHeight="1" x14ac:dyDescent="0.45">
      <c r="B2371" s="441"/>
      <c r="C2371" s="417"/>
      <c r="J2371" s="292"/>
      <c r="K2371" s="292"/>
      <c r="L2371" s="405"/>
      <c r="M2371" s="421"/>
      <c r="N2371" s="292"/>
      <c r="O2371" s="347"/>
      <c r="P2371" s="295"/>
      <c r="Q2371" s="442"/>
      <c r="R2371" s="403" t="str">
        <f t="shared" si="197"/>
        <v>DELETE</v>
      </c>
      <c r="T2371" s="381"/>
    </row>
    <row r="2372" spans="2:20" ht="31.5" customHeight="1" x14ac:dyDescent="0.45">
      <c r="B2372" s="441"/>
      <c r="C2372" s="315" t="str">
        <f>IF(O2372&lt;0,"OPERATING LOSS","OPERATING PROFIT")</f>
        <v>OPERATING PROFIT</v>
      </c>
      <c r="J2372" s="292"/>
      <c r="K2372" s="292"/>
      <c r="L2372" s="405"/>
      <c r="M2372" s="421"/>
      <c r="N2372" s="292"/>
      <c r="O2372" s="347">
        <f>SUM(S2305:S2370)</f>
        <v>0</v>
      </c>
      <c r="P2372" s="295"/>
      <c r="Q2372" s="442"/>
      <c r="R2372" s="403" t="str">
        <f t="shared" si="197"/>
        <v>DELETE</v>
      </c>
      <c r="T2372" s="381"/>
    </row>
    <row r="2373" spans="2:20" ht="31.5" customHeight="1" x14ac:dyDescent="0.45">
      <c r="B2373" s="441"/>
      <c r="C2373" s="417"/>
      <c r="D2373" s="400" t="s">
        <v>256</v>
      </c>
      <c r="J2373" s="292"/>
      <c r="K2373" s="292"/>
      <c r="L2373" s="405"/>
      <c r="M2373" s="421"/>
      <c r="N2373" s="292"/>
      <c r="O2373" s="347"/>
      <c r="P2373" s="295"/>
      <c r="Q2373" s="442"/>
      <c r="R2373" s="403" t="str">
        <f t="shared" si="197"/>
        <v>DELETE</v>
      </c>
      <c r="T2373" s="381"/>
    </row>
    <row r="2374" spans="2:20" ht="31.5" customHeight="1" x14ac:dyDescent="0.45">
      <c r="B2374" s="441"/>
      <c r="C2374" s="417"/>
      <c r="J2374" s="292"/>
      <c r="K2374" s="292"/>
      <c r="L2374" s="292"/>
      <c r="M2374" s="347"/>
      <c r="N2374" s="298"/>
      <c r="O2374" s="347"/>
      <c r="P2374" s="295"/>
      <c r="Q2374" s="442"/>
      <c r="R2374" s="403" t="str">
        <f t="shared" si="197"/>
        <v>DELETE</v>
      </c>
      <c r="T2374" s="381"/>
    </row>
    <row r="2375" spans="2:20" ht="31.5" customHeight="1" x14ac:dyDescent="0.45">
      <c r="B2375" s="441"/>
      <c r="C2375" s="417"/>
      <c r="J2375" s="292"/>
      <c r="K2375" s="292"/>
      <c r="L2375" s="292"/>
      <c r="M2375" s="347"/>
      <c r="N2375" s="298"/>
      <c r="O2375" s="347"/>
      <c r="P2375" s="295"/>
      <c r="Q2375" s="442"/>
      <c r="R2375" s="403" t="str">
        <f t="shared" si="197"/>
        <v>DELETE</v>
      </c>
      <c r="T2375" s="381"/>
    </row>
    <row r="2376" spans="2:20" ht="31.5" customHeight="1" x14ac:dyDescent="0.45">
      <c r="B2376" s="445"/>
      <c r="C2376" s="465"/>
      <c r="D2376" s="429"/>
      <c r="E2376" s="429"/>
      <c r="F2376" s="429"/>
      <c r="G2376" s="429"/>
      <c r="H2376" s="429"/>
      <c r="I2376" s="429"/>
      <c r="J2376" s="306"/>
      <c r="K2376" s="306"/>
      <c r="L2376" s="306"/>
      <c r="M2376" s="349"/>
      <c r="N2376" s="300"/>
      <c r="O2376" s="349"/>
      <c r="P2376" s="307"/>
      <c r="Q2376" s="446"/>
      <c r="R2376" s="403" t="str">
        <f t="shared" si="197"/>
        <v>DELETE</v>
      </c>
      <c r="T2376" s="381"/>
    </row>
    <row r="2377" spans="2:20" ht="31.5" customHeight="1" x14ac:dyDescent="0.45">
      <c r="C2377" s="417"/>
      <c r="J2377" s="292"/>
      <c r="K2377" s="292"/>
      <c r="L2377" s="292"/>
      <c r="M2377" s="347"/>
      <c r="N2377" s="298"/>
      <c r="O2377" s="347"/>
      <c r="P2377" s="295"/>
      <c r="R2377" s="403" t="str">
        <f t="shared" si="197"/>
        <v>DELETE</v>
      </c>
      <c r="T2377" s="381"/>
    </row>
    <row r="2378" spans="2:20" ht="31.5" customHeight="1" x14ac:dyDescent="0.45">
      <c r="C2378" s="417"/>
      <c r="J2378" s="292"/>
      <c r="K2378" s="292"/>
      <c r="L2378" s="292"/>
      <c r="M2378" s="347"/>
      <c r="N2378" s="298"/>
      <c r="O2378" s="347"/>
      <c r="P2378" s="295"/>
      <c r="R2378" s="403" t="str">
        <f t="shared" si="197"/>
        <v>DELETE</v>
      </c>
      <c r="T2378" s="381"/>
    </row>
    <row r="2379" spans="2:20" ht="31.5" customHeight="1" x14ac:dyDescent="0.45">
      <c r="C2379" s="417"/>
      <c r="D2379" s="417" t="str">
        <f>Criteria!E14</f>
        <v>SUBSIDIARY ONE 111 (PTY) LTD</v>
      </c>
      <c r="J2379" s="292"/>
      <c r="K2379" s="292"/>
      <c r="L2379" s="292"/>
      <c r="M2379" s="347"/>
      <c r="N2379" s="298"/>
      <c r="O2379" s="347" t="s">
        <v>96</v>
      </c>
      <c r="P2379" s="295"/>
      <c r="Q2379" s="292">
        <f>MAX($Q$2296:Q2378)+1</f>
        <v>2</v>
      </c>
      <c r="R2379" s="403" t="str">
        <f t="shared" si="197"/>
        <v>DELETE</v>
      </c>
      <c r="T2379" s="381"/>
    </row>
    <row r="2380" spans="2:20" ht="31.5" customHeight="1" x14ac:dyDescent="0.45">
      <c r="C2380" s="417"/>
      <c r="D2380" s="405"/>
      <c r="J2380" s="292"/>
      <c r="K2380" s="292"/>
      <c r="L2380" s="292"/>
      <c r="M2380" s="347"/>
      <c r="N2380" s="298"/>
      <c r="O2380" s="347"/>
      <c r="P2380" s="295"/>
      <c r="R2380" s="403" t="str">
        <f t="shared" si="197"/>
        <v>DELETE</v>
      </c>
      <c r="T2380" s="381"/>
    </row>
    <row r="2381" spans="2:20" ht="31.5" customHeight="1" x14ac:dyDescent="0.45">
      <c r="C2381" s="417"/>
      <c r="J2381" s="292"/>
      <c r="K2381" s="292"/>
      <c r="L2381" s="292"/>
      <c r="M2381" s="347"/>
      <c r="N2381" s="298"/>
      <c r="O2381" s="347"/>
      <c r="P2381" s="295"/>
      <c r="R2381" s="403" t="str">
        <f t="shared" si="197"/>
        <v>DELETE</v>
      </c>
      <c r="T2381" s="381"/>
    </row>
    <row r="2382" spans="2:20" ht="31.5" customHeight="1" x14ac:dyDescent="0.45">
      <c r="C2382" s="417"/>
      <c r="D2382" s="417" t="s">
        <v>91</v>
      </c>
      <c r="J2382" s="292"/>
      <c r="K2382" s="292"/>
      <c r="L2382" s="292"/>
      <c r="M2382" s="347"/>
      <c r="N2382" s="298"/>
      <c r="O2382" s="347"/>
      <c r="P2382" s="295"/>
      <c r="R2382" s="403" t="str">
        <f t="shared" si="197"/>
        <v>DELETE</v>
      </c>
      <c r="T2382" s="381"/>
    </row>
    <row r="2383" spans="2:20" ht="31.5" customHeight="1" x14ac:dyDescent="0.45">
      <c r="C2383" s="417"/>
      <c r="D2383" s="417" t="str">
        <f>D2300</f>
        <v>29 FEBRUARY 2024</v>
      </c>
      <c r="H2383" s="400" t="s">
        <v>102</v>
      </c>
      <c r="J2383" s="292"/>
      <c r="K2383" s="292"/>
      <c r="L2383" s="292"/>
      <c r="M2383" s="347"/>
      <c r="N2383" s="298"/>
      <c r="O2383" s="347"/>
      <c r="P2383" s="295"/>
      <c r="R2383" s="403" t="str">
        <f t="shared" si="197"/>
        <v>DELETE</v>
      </c>
      <c r="T2383" s="381"/>
    </row>
    <row r="2384" spans="2:20" ht="31.5" customHeight="1" x14ac:dyDescent="0.45">
      <c r="C2384" s="417"/>
      <c r="J2384" s="292"/>
      <c r="K2384" s="306"/>
      <c r="L2384" s="306"/>
      <c r="M2384" s="349"/>
      <c r="N2384" s="300"/>
      <c r="O2384" s="349"/>
      <c r="P2384" s="295"/>
      <c r="R2384" s="403" t="str">
        <f t="shared" si="197"/>
        <v>DELETE</v>
      </c>
      <c r="T2384" s="381"/>
    </row>
    <row r="2385" spans="2:22" ht="31.5" customHeight="1" x14ac:dyDescent="0.45">
      <c r="B2385" s="438"/>
      <c r="C2385" s="458"/>
      <c r="D2385" s="439"/>
      <c r="E2385" s="439"/>
      <c r="F2385" s="439"/>
      <c r="G2385" s="439"/>
      <c r="H2385" s="439"/>
      <c r="I2385" s="439"/>
      <c r="J2385" s="320"/>
      <c r="M2385" s="426"/>
      <c r="N2385" s="406"/>
      <c r="O2385" s="426"/>
      <c r="P2385" s="319"/>
      <c r="Q2385" s="440"/>
      <c r="R2385" s="403" t="str">
        <f t="shared" si="197"/>
        <v>DELETE</v>
      </c>
      <c r="T2385" s="381"/>
    </row>
    <row r="2386" spans="2:22" ht="31.5" customHeight="1" x14ac:dyDescent="0.45">
      <c r="B2386" s="441"/>
      <c r="C2386" s="417"/>
      <c r="J2386" s="292"/>
      <c r="K2386" s="292"/>
      <c r="L2386" s="292"/>
      <c r="M2386" s="421"/>
      <c r="N2386" s="294"/>
      <c r="O2386" s="344">
        <f>Criteria!E22</f>
        <v>2024</v>
      </c>
      <c r="P2386" s="295"/>
      <c r="Q2386" s="442"/>
      <c r="R2386" s="403" t="str">
        <f t="shared" si="197"/>
        <v>DELETE</v>
      </c>
      <c r="T2386" s="381"/>
    </row>
    <row r="2387" spans="2:22" ht="31.5" customHeight="1" x14ac:dyDescent="0.45">
      <c r="B2387" s="441"/>
      <c r="C2387" s="417"/>
      <c r="J2387" s="292"/>
      <c r="K2387" s="292"/>
      <c r="L2387" s="292"/>
      <c r="M2387" s="347"/>
      <c r="N2387" s="298"/>
      <c r="O2387" s="347"/>
      <c r="P2387" s="295"/>
      <c r="Q2387" s="442"/>
      <c r="R2387" s="403" t="str">
        <f t="shared" si="197"/>
        <v>DELETE</v>
      </c>
      <c r="T2387" s="381"/>
    </row>
    <row r="2388" spans="2:22" ht="31.5" customHeight="1" x14ac:dyDescent="0.45">
      <c r="B2388" s="441"/>
      <c r="C2388" s="315" t="str">
        <f>IF(O2388&lt;0,"OPERATING LOSS","OPERATING PROFIT")</f>
        <v>OPERATING PROFIT</v>
      </c>
      <c r="J2388" s="292"/>
      <c r="K2388" s="292"/>
      <c r="L2388" s="405"/>
      <c r="M2388" s="421"/>
      <c r="N2388" s="292"/>
      <c r="O2388" s="347">
        <f>SUM(S2305:S2369)</f>
        <v>0</v>
      </c>
      <c r="P2388" s="295"/>
      <c r="Q2388" s="442"/>
      <c r="R2388" s="403" t="str">
        <f t="shared" si="197"/>
        <v>DELETE</v>
      </c>
      <c r="T2388" s="381"/>
      <c r="U2388" s="378" t="b">
        <f>O2388=O2372</f>
        <v>1</v>
      </c>
    </row>
    <row r="2389" spans="2:22" ht="31.5" customHeight="1" x14ac:dyDescent="0.45">
      <c r="B2389" s="441"/>
      <c r="C2389" s="417"/>
      <c r="D2389" s="400" t="s">
        <v>257</v>
      </c>
      <c r="J2389" s="292"/>
      <c r="K2389" s="292"/>
      <c r="L2389" s="405"/>
      <c r="M2389" s="421"/>
      <c r="N2389" s="292"/>
      <c r="O2389" s="347"/>
      <c r="P2389" s="295"/>
      <c r="Q2389" s="442"/>
      <c r="R2389" s="403" t="str">
        <f t="shared" si="197"/>
        <v>DELETE</v>
      </c>
      <c r="T2389" s="381"/>
    </row>
    <row r="2390" spans="2:22" ht="31.5" customHeight="1" x14ac:dyDescent="0.45">
      <c r="B2390" s="441"/>
      <c r="C2390" s="417"/>
      <c r="J2390" s="292"/>
      <c r="K2390" s="292"/>
      <c r="L2390" s="405"/>
      <c r="M2390" s="421"/>
      <c r="N2390" s="292"/>
      <c r="O2390" s="347"/>
      <c r="P2390" s="295"/>
      <c r="Q2390" s="442"/>
      <c r="R2390" s="403" t="str">
        <f t="shared" si="197"/>
        <v>DELETE</v>
      </c>
      <c r="T2390" s="381"/>
    </row>
    <row r="2391" spans="2:22" ht="31.5" customHeight="1" x14ac:dyDescent="0.45">
      <c r="B2391" s="441"/>
      <c r="C2391" s="417" t="s">
        <v>906</v>
      </c>
      <c r="J2391" s="292"/>
      <c r="K2391" s="292"/>
      <c r="L2391" s="405"/>
      <c r="M2391" s="421"/>
      <c r="N2391" s="292"/>
      <c r="O2391" s="347">
        <f>SUM(O2394:O2427)</f>
        <v>0</v>
      </c>
      <c r="P2391" s="295"/>
      <c r="Q2391" s="442"/>
      <c r="R2391" s="403" t="str">
        <f t="shared" ref="R2391" si="198">IF(R$2293="DELETE","DELETE",IF(O2391=0,"DELETE"," "))</f>
        <v>DELETE</v>
      </c>
      <c r="S2391" s="380">
        <f>-O2391</f>
        <v>0</v>
      </c>
      <c r="T2391" s="381"/>
      <c r="U2391" s="380"/>
      <c r="V2391" s="380"/>
    </row>
    <row r="2392" spans="2:22" ht="9" customHeight="1" x14ac:dyDescent="0.45">
      <c r="B2392" s="441"/>
      <c r="C2392" s="417"/>
      <c r="J2392" s="292"/>
      <c r="K2392" s="292"/>
      <c r="L2392" s="405"/>
      <c r="M2392" s="421"/>
      <c r="N2392" s="292"/>
      <c r="O2392" s="347"/>
      <c r="P2392" s="295"/>
      <c r="Q2392" s="442"/>
      <c r="R2392" s="403" t="str">
        <f>R2391</f>
        <v>DELETE</v>
      </c>
      <c r="T2392" s="381"/>
    </row>
    <row r="2393" spans="2:22" ht="9" customHeight="1" x14ac:dyDescent="0.45">
      <c r="B2393" s="441"/>
      <c r="C2393" s="417"/>
      <c r="J2393" s="292"/>
      <c r="K2393" s="292"/>
      <c r="L2393" s="405"/>
      <c r="M2393" s="421"/>
      <c r="N2393" s="292"/>
      <c r="O2393" s="372"/>
      <c r="P2393" s="295"/>
      <c r="Q2393" s="442"/>
      <c r="R2393" s="403" t="str">
        <f>R2392</f>
        <v>DELETE</v>
      </c>
      <c r="T2393" s="381"/>
    </row>
    <row r="2394" spans="2:22" ht="31.5" customHeight="1" x14ac:dyDescent="0.45">
      <c r="B2394" s="441"/>
      <c r="C2394" s="417"/>
      <c r="D2394" s="400" t="s">
        <v>215</v>
      </c>
      <c r="J2394" s="292"/>
      <c r="K2394" s="292"/>
      <c r="L2394" s="405"/>
      <c r="M2394" s="421"/>
      <c r="N2394" s="292"/>
      <c r="O2394" s="373">
        <f>SUM(TrialBalanceA!I98:I101)</f>
        <v>0</v>
      </c>
      <c r="P2394" s="295"/>
      <c r="Q2394" s="442"/>
      <c r="R2394" s="403" t="str">
        <f t="shared" ref="R2394:R2425" si="199">IF(R$2293="DELETE","DELETE",IF(O2394=0,"DELETE"," "))</f>
        <v>DELETE</v>
      </c>
      <c r="T2394" s="381"/>
    </row>
    <row r="2395" spans="2:22" ht="31.5" customHeight="1" x14ac:dyDescent="0.45">
      <c r="B2395" s="441"/>
      <c r="C2395" s="417"/>
      <c r="D2395" s="400" t="s">
        <v>217</v>
      </c>
      <c r="J2395" s="292"/>
      <c r="K2395" s="292"/>
      <c r="L2395" s="405"/>
      <c r="M2395" s="421"/>
      <c r="N2395" s="292"/>
      <c r="O2395" s="373">
        <f>TrialBalanceA!I102</f>
        <v>0</v>
      </c>
      <c r="P2395" s="295"/>
      <c r="Q2395" s="442"/>
      <c r="R2395" s="403" t="str">
        <f t="shared" si="199"/>
        <v>DELETE</v>
      </c>
      <c r="T2395" s="381"/>
    </row>
    <row r="2396" spans="2:22" ht="31.5" customHeight="1" x14ac:dyDescent="0.45">
      <c r="B2396" s="441"/>
      <c r="C2396" s="417"/>
      <c r="D2396" s="400" t="s">
        <v>219</v>
      </c>
      <c r="J2396" s="292"/>
      <c r="K2396" s="292"/>
      <c r="L2396" s="405"/>
      <c r="M2396" s="421"/>
      <c r="N2396" s="292"/>
      <c r="O2396" s="373">
        <f>TrialBalanceA!I103</f>
        <v>0</v>
      </c>
      <c r="P2396" s="295"/>
      <c r="Q2396" s="442"/>
      <c r="R2396" s="403" t="str">
        <f t="shared" si="199"/>
        <v>DELETE</v>
      </c>
      <c r="T2396" s="381"/>
    </row>
    <row r="2397" spans="2:22" ht="31.5" customHeight="1" x14ac:dyDescent="0.45">
      <c r="B2397" s="441"/>
      <c r="C2397" s="417"/>
      <c r="D2397" s="400" t="s">
        <v>258</v>
      </c>
      <c r="J2397" s="292"/>
      <c r="K2397" s="292"/>
      <c r="L2397" s="405"/>
      <c r="M2397" s="421"/>
      <c r="N2397" s="292"/>
      <c r="O2397" s="373">
        <f>TrialBalanceA!I104</f>
        <v>0</v>
      </c>
      <c r="P2397" s="295"/>
      <c r="Q2397" s="442"/>
      <c r="R2397" s="403" t="str">
        <f t="shared" si="199"/>
        <v>DELETE</v>
      </c>
      <c r="T2397" s="381"/>
    </row>
    <row r="2398" spans="2:22" ht="31.5" customHeight="1" x14ac:dyDescent="0.45">
      <c r="B2398" s="441"/>
      <c r="C2398" s="417"/>
      <c r="D2398" s="400" t="s">
        <v>222</v>
      </c>
      <c r="J2398" s="292"/>
      <c r="K2398" s="292"/>
      <c r="L2398" s="405"/>
      <c r="M2398" s="421"/>
      <c r="N2398" s="292"/>
      <c r="O2398" s="373">
        <f>TrialBalanceA!I105</f>
        <v>0</v>
      </c>
      <c r="P2398" s="295"/>
      <c r="Q2398" s="442"/>
      <c r="R2398" s="403" t="str">
        <f t="shared" si="199"/>
        <v>DELETE</v>
      </c>
      <c r="T2398" s="381"/>
    </row>
    <row r="2399" spans="2:22" ht="31.5" customHeight="1" x14ac:dyDescent="0.45">
      <c r="B2399" s="441"/>
      <c r="C2399" s="417"/>
      <c r="D2399" s="400" t="s">
        <v>727</v>
      </c>
      <c r="J2399" s="292"/>
      <c r="K2399" s="292"/>
      <c r="L2399" s="405"/>
      <c r="M2399" s="421"/>
      <c r="N2399" s="292"/>
      <c r="O2399" s="373">
        <f>TrialBalanceA!I106</f>
        <v>0</v>
      </c>
      <c r="P2399" s="295"/>
      <c r="Q2399" s="442"/>
      <c r="R2399" s="403" t="str">
        <f t="shared" si="199"/>
        <v>DELETE</v>
      </c>
      <c r="T2399" s="381"/>
    </row>
    <row r="2400" spans="2:22" ht="31.5" customHeight="1" x14ac:dyDescent="0.45">
      <c r="B2400" s="441"/>
      <c r="C2400" s="417"/>
      <c r="D2400" s="400" t="s">
        <v>277</v>
      </c>
      <c r="J2400" s="292"/>
      <c r="K2400" s="292">
        <f>C$940</f>
        <v>5.2999999999999989</v>
      </c>
      <c r="L2400" s="405"/>
      <c r="M2400" s="421"/>
      <c r="N2400" s="292"/>
      <c r="O2400" s="373">
        <f>SUM(TrialBalanceA!I108:I109)</f>
        <v>0</v>
      </c>
      <c r="P2400" s="295"/>
      <c r="Q2400" s="442"/>
      <c r="R2400" s="403" t="str">
        <f t="shared" si="199"/>
        <v>DELETE</v>
      </c>
      <c r="T2400" s="381"/>
    </row>
    <row r="2401" spans="2:20" ht="31.5" customHeight="1" x14ac:dyDescent="0.45">
      <c r="B2401" s="441"/>
      <c r="C2401" s="417"/>
      <c r="D2401" s="400" t="str">
        <f>IF(MAX(Criteria!I38:I42)&gt;1,"Directors' remuneration","Director's remuneration")</f>
        <v>Director's remuneration</v>
      </c>
      <c r="J2401" s="292"/>
      <c r="K2401" s="292">
        <f>C$881</f>
        <v>5.0999999999999996</v>
      </c>
      <c r="L2401" s="405"/>
      <c r="M2401" s="421"/>
      <c r="N2401" s="292"/>
      <c r="O2401" s="373">
        <f>SUM(TrialBalanceA!I111:I115)</f>
        <v>0</v>
      </c>
      <c r="P2401" s="295"/>
      <c r="Q2401" s="442"/>
      <c r="R2401" s="403" t="str">
        <f t="shared" si="199"/>
        <v>DELETE</v>
      </c>
      <c r="T2401" s="381"/>
    </row>
    <row r="2402" spans="2:20" ht="31.5" customHeight="1" x14ac:dyDescent="0.45">
      <c r="B2402" s="441"/>
      <c r="C2402" s="417"/>
      <c r="D2402" s="400" t="s">
        <v>259</v>
      </c>
      <c r="J2402" s="292"/>
      <c r="K2402" s="292"/>
      <c r="L2402" s="405"/>
      <c r="M2402" s="421"/>
      <c r="N2402" s="292"/>
      <c r="O2402" s="373">
        <f>TrialBalanceA!I116</f>
        <v>0</v>
      </c>
      <c r="P2402" s="295"/>
      <c r="Q2402" s="442"/>
      <c r="R2402" s="403" t="str">
        <f t="shared" si="199"/>
        <v>DELETE</v>
      </c>
      <c r="T2402" s="381"/>
    </row>
    <row r="2403" spans="2:20" ht="31.5" customHeight="1" x14ac:dyDescent="0.45">
      <c r="B2403" s="441"/>
      <c r="C2403" s="417"/>
      <c r="D2403" s="400" t="s">
        <v>369</v>
      </c>
      <c r="J2403" s="292"/>
      <c r="K2403" s="292"/>
      <c r="L2403" s="405"/>
      <c r="M2403" s="421"/>
      <c r="N2403" s="292"/>
      <c r="O2403" s="373">
        <f>TrialBalanceA!I117</f>
        <v>0</v>
      </c>
      <c r="P2403" s="295"/>
      <c r="Q2403" s="442"/>
      <c r="R2403" s="403" t="str">
        <f t="shared" si="199"/>
        <v>DELETE</v>
      </c>
      <c r="T2403" s="381"/>
    </row>
    <row r="2404" spans="2:20" ht="31.5" customHeight="1" x14ac:dyDescent="0.45">
      <c r="B2404" s="441"/>
      <c r="C2404" s="417"/>
      <c r="D2404" s="400" t="s">
        <v>330</v>
      </c>
      <c r="J2404" s="292"/>
      <c r="K2404" s="292"/>
      <c r="L2404" s="405"/>
      <c r="M2404" s="421"/>
      <c r="N2404" s="292"/>
      <c r="O2404" s="373">
        <f>TrialBalanceA!I118</f>
        <v>0</v>
      </c>
      <c r="P2404" s="295"/>
      <c r="Q2404" s="442"/>
      <c r="R2404" s="403" t="str">
        <f t="shared" si="199"/>
        <v>DELETE</v>
      </c>
      <c r="T2404" s="381"/>
    </row>
    <row r="2405" spans="2:20" ht="31.5" customHeight="1" x14ac:dyDescent="0.45">
      <c r="B2405" s="441"/>
      <c r="C2405" s="417"/>
      <c r="D2405" s="400" t="s">
        <v>371</v>
      </c>
      <c r="J2405" s="292"/>
      <c r="K2405" s="292"/>
      <c r="L2405" s="405"/>
      <c r="M2405" s="421"/>
      <c r="N2405" s="292"/>
      <c r="O2405" s="373">
        <f>TrialBalanceA!I119</f>
        <v>0</v>
      </c>
      <c r="P2405" s="295"/>
      <c r="Q2405" s="442"/>
      <c r="R2405" s="403" t="str">
        <f t="shared" si="199"/>
        <v>DELETE</v>
      </c>
      <c r="T2405" s="381"/>
    </row>
    <row r="2406" spans="2:20" ht="31.5" customHeight="1" x14ac:dyDescent="0.45">
      <c r="B2406" s="441"/>
      <c r="C2406" s="417"/>
      <c r="D2406" s="400" t="s">
        <v>1062</v>
      </c>
      <c r="J2406" s="292"/>
      <c r="K2406" s="292"/>
      <c r="L2406" s="405"/>
      <c r="M2406" s="421"/>
      <c r="N2406" s="292"/>
      <c r="O2406" s="373">
        <f>TrialBalanceA!I154</f>
        <v>0</v>
      </c>
      <c r="P2406" s="295"/>
      <c r="Q2406" s="442"/>
      <c r="R2406" s="403" t="str">
        <f>IF(R$2293="DELETE","DELETE",IF(O2406=0,"DELETE"," "))</f>
        <v>DELETE</v>
      </c>
      <c r="T2406" s="381"/>
    </row>
    <row r="2407" spans="2:20" ht="31.5" customHeight="1" x14ac:dyDescent="0.45">
      <c r="B2407" s="441"/>
      <c r="C2407" s="417"/>
      <c r="D2407" s="400" t="s">
        <v>524</v>
      </c>
      <c r="J2407" s="292"/>
      <c r="K2407" s="292"/>
      <c r="L2407" s="405"/>
      <c r="M2407" s="421"/>
      <c r="N2407" s="292"/>
      <c r="O2407" s="373">
        <f>TrialBalanceA!I120+TrialBalanceA!I121</f>
        <v>0</v>
      </c>
      <c r="P2407" s="295"/>
      <c r="Q2407" s="442"/>
      <c r="R2407" s="403" t="str">
        <f t="shared" si="199"/>
        <v>DELETE</v>
      </c>
      <c r="T2407" s="381"/>
    </row>
    <row r="2408" spans="2:20" ht="31.5" customHeight="1" x14ac:dyDescent="0.45">
      <c r="B2408" s="441"/>
      <c r="C2408" s="417"/>
      <c r="D2408" s="400" t="s">
        <v>547</v>
      </c>
      <c r="J2408" s="292"/>
      <c r="K2408" s="292"/>
      <c r="L2408" s="405"/>
      <c r="M2408" s="421"/>
      <c r="N2408" s="292"/>
      <c r="O2408" s="373">
        <f>IF(TrialBalanceA!I93&gt;0,TrialBalanceA!I93,0)</f>
        <v>0</v>
      </c>
      <c r="P2408" s="295"/>
      <c r="Q2408" s="442"/>
      <c r="R2408" s="403" t="str">
        <f>IF(R$2293="DELETE","DELETE",IF(O2408=0,"DELETE"," "))</f>
        <v>DELETE</v>
      </c>
      <c r="T2408" s="381"/>
    </row>
    <row r="2409" spans="2:20" ht="31.5" customHeight="1" x14ac:dyDescent="0.45">
      <c r="B2409" s="441"/>
      <c r="C2409" s="417"/>
      <c r="D2409" s="400" t="s">
        <v>728</v>
      </c>
      <c r="J2409" s="292"/>
      <c r="K2409" s="292"/>
      <c r="L2409" s="405"/>
      <c r="M2409" s="421"/>
      <c r="N2409" s="292"/>
      <c r="O2409" s="373">
        <f>TrialBalanceA!I122</f>
        <v>0</v>
      </c>
      <c r="P2409" s="295"/>
      <c r="Q2409" s="442"/>
      <c r="R2409" s="403" t="str">
        <f t="shared" si="199"/>
        <v>DELETE</v>
      </c>
      <c r="T2409" s="381"/>
    </row>
    <row r="2410" spans="2:20" ht="31.5" customHeight="1" x14ac:dyDescent="0.45">
      <c r="B2410" s="441"/>
      <c r="C2410" s="417"/>
      <c r="D2410" s="400" t="s">
        <v>260</v>
      </c>
      <c r="J2410" s="292"/>
      <c r="K2410" s="292"/>
      <c r="L2410" s="405"/>
      <c r="M2410" s="421"/>
      <c r="N2410" s="292"/>
      <c r="O2410" s="373">
        <f>TrialBalanceA!I123</f>
        <v>0</v>
      </c>
      <c r="P2410" s="295"/>
      <c r="Q2410" s="442"/>
      <c r="R2410" s="403" t="str">
        <f t="shared" si="199"/>
        <v>DELETE</v>
      </c>
      <c r="T2410" s="381"/>
    </row>
    <row r="2411" spans="2:20" ht="31.5" customHeight="1" x14ac:dyDescent="0.45">
      <c r="B2411" s="441"/>
      <c r="C2411" s="417"/>
      <c r="D2411" s="400" t="s">
        <v>1081</v>
      </c>
      <c r="J2411" s="292"/>
      <c r="K2411" s="292"/>
      <c r="L2411" s="405"/>
      <c r="M2411" s="421"/>
      <c r="N2411" s="292"/>
      <c r="O2411" s="373">
        <f>TrialBalanceA!I155</f>
        <v>0</v>
      </c>
      <c r="P2411" s="295"/>
      <c r="Q2411" s="442"/>
      <c r="R2411" s="403" t="str">
        <f t="shared" si="199"/>
        <v>DELETE</v>
      </c>
      <c r="T2411" s="381"/>
    </row>
    <row r="2412" spans="2:20" ht="31.5" customHeight="1" x14ac:dyDescent="0.45">
      <c r="B2412" s="441"/>
      <c r="C2412" s="417"/>
      <c r="D2412" s="400" t="s">
        <v>253</v>
      </c>
      <c r="J2412" s="292"/>
      <c r="K2412" s="292"/>
      <c r="L2412" s="405"/>
      <c r="M2412" s="421"/>
      <c r="N2412" s="292"/>
      <c r="O2412" s="373">
        <f>SUM(TrialBalanceA!I124:I125)</f>
        <v>0</v>
      </c>
      <c r="P2412" s="295"/>
      <c r="Q2412" s="442"/>
      <c r="R2412" s="403" t="str">
        <f t="shared" si="199"/>
        <v>DELETE</v>
      </c>
      <c r="T2412" s="381"/>
    </row>
    <row r="2413" spans="2:20" ht="31.5" customHeight="1" x14ac:dyDescent="0.45">
      <c r="B2413" s="441"/>
      <c r="C2413" s="417"/>
      <c r="D2413" s="400" t="s">
        <v>261</v>
      </c>
      <c r="J2413" s="292"/>
      <c r="K2413" s="292"/>
      <c r="L2413" s="405"/>
      <c r="M2413" s="421"/>
      <c r="N2413" s="292"/>
      <c r="O2413" s="373">
        <f>TrialBalanceA!I126</f>
        <v>0</v>
      </c>
      <c r="P2413" s="295"/>
      <c r="Q2413" s="442"/>
      <c r="R2413" s="403" t="str">
        <f t="shared" si="199"/>
        <v>DELETE</v>
      </c>
      <c r="T2413" s="381"/>
    </row>
    <row r="2414" spans="2:20" ht="31.5" customHeight="1" x14ac:dyDescent="0.45">
      <c r="B2414" s="441"/>
      <c r="C2414" s="417"/>
      <c r="D2414" s="400" t="s">
        <v>729</v>
      </c>
      <c r="J2414" s="292"/>
      <c r="K2414" s="292"/>
      <c r="L2414" s="405"/>
      <c r="M2414" s="421"/>
      <c r="N2414" s="292"/>
      <c r="O2414" s="373">
        <f>TrialBalanceA!I127</f>
        <v>0</v>
      </c>
      <c r="P2414" s="295"/>
      <c r="Q2414" s="442"/>
      <c r="R2414" s="403" t="str">
        <f t="shared" si="199"/>
        <v>DELETE</v>
      </c>
      <c r="T2414" s="381"/>
    </row>
    <row r="2415" spans="2:20" ht="31.5" customHeight="1" x14ac:dyDescent="0.45">
      <c r="B2415" s="441"/>
      <c r="C2415" s="417"/>
      <c r="D2415" s="400" t="s">
        <v>79</v>
      </c>
      <c r="J2415" s="292"/>
      <c r="K2415" s="292"/>
      <c r="L2415" s="405"/>
      <c r="M2415" s="421"/>
      <c r="N2415" s="292"/>
      <c r="O2415" s="373">
        <f>TrialBalanceA!I128</f>
        <v>0</v>
      </c>
      <c r="P2415" s="295"/>
      <c r="Q2415" s="442"/>
      <c r="R2415" s="403" t="str">
        <f t="shared" si="199"/>
        <v>DELETE</v>
      </c>
      <c r="T2415" s="381"/>
    </row>
    <row r="2416" spans="2:20" ht="31.5" customHeight="1" x14ac:dyDescent="0.45">
      <c r="B2416" s="441"/>
      <c r="C2416" s="417"/>
      <c r="D2416" s="400">
        <f>TrialBalanceA!C129</f>
        <v>0</v>
      </c>
      <c r="J2416" s="292"/>
      <c r="K2416" s="292"/>
      <c r="L2416" s="405"/>
      <c r="M2416" s="421"/>
      <c r="N2416" s="292"/>
      <c r="O2416" s="373">
        <f>TrialBalanceA!I129</f>
        <v>0</v>
      </c>
      <c r="P2416" s="295"/>
      <c r="Q2416" s="442"/>
      <c r="R2416" s="403" t="str">
        <f t="shared" si="199"/>
        <v>DELETE</v>
      </c>
      <c r="T2416" s="381"/>
    </row>
    <row r="2417" spans="2:22" ht="31.5" customHeight="1" x14ac:dyDescent="0.45">
      <c r="B2417" s="441"/>
      <c r="C2417" s="417"/>
      <c r="D2417" s="400">
        <f>TrialBalanceA!C130</f>
        <v>0</v>
      </c>
      <c r="J2417" s="292"/>
      <c r="K2417" s="292"/>
      <c r="L2417" s="405"/>
      <c r="M2417" s="421"/>
      <c r="N2417" s="292"/>
      <c r="O2417" s="373">
        <f>TrialBalanceA!I130</f>
        <v>0</v>
      </c>
      <c r="P2417" s="295"/>
      <c r="Q2417" s="442"/>
      <c r="R2417" s="403" t="str">
        <f t="shared" si="199"/>
        <v>DELETE</v>
      </c>
      <c r="T2417" s="381"/>
    </row>
    <row r="2418" spans="2:22" ht="31.5" customHeight="1" x14ac:dyDescent="0.45">
      <c r="B2418" s="441"/>
      <c r="C2418" s="417"/>
      <c r="D2418" s="400">
        <f>TrialBalanceA!C131</f>
        <v>0</v>
      </c>
      <c r="J2418" s="292"/>
      <c r="K2418" s="292"/>
      <c r="L2418" s="405"/>
      <c r="M2418" s="421"/>
      <c r="N2418" s="292"/>
      <c r="O2418" s="373">
        <f>TrialBalanceA!I131</f>
        <v>0</v>
      </c>
      <c r="P2418" s="295"/>
      <c r="Q2418" s="442"/>
      <c r="R2418" s="403" t="str">
        <f t="shared" si="199"/>
        <v>DELETE</v>
      </c>
      <c r="T2418" s="381"/>
    </row>
    <row r="2419" spans="2:22" ht="31.5" customHeight="1" x14ac:dyDescent="0.45">
      <c r="B2419" s="441"/>
      <c r="C2419" s="417"/>
      <c r="D2419" s="400">
        <f>TrialBalanceA!C132</f>
        <v>0</v>
      </c>
      <c r="J2419" s="292"/>
      <c r="K2419" s="292"/>
      <c r="L2419" s="405"/>
      <c r="M2419" s="421"/>
      <c r="N2419" s="292"/>
      <c r="O2419" s="373">
        <f>TrialBalanceA!I132</f>
        <v>0</v>
      </c>
      <c r="P2419" s="295"/>
      <c r="Q2419" s="442"/>
      <c r="R2419" s="403" t="str">
        <f t="shared" si="199"/>
        <v>DELETE</v>
      </c>
      <c r="T2419" s="381"/>
    </row>
    <row r="2420" spans="2:22" ht="31.5" customHeight="1" x14ac:dyDescent="0.45">
      <c r="B2420" s="441"/>
      <c r="C2420" s="417"/>
      <c r="D2420" s="400">
        <f>TrialBalanceA!C133</f>
        <v>0</v>
      </c>
      <c r="J2420" s="292"/>
      <c r="K2420" s="292"/>
      <c r="L2420" s="405"/>
      <c r="M2420" s="421"/>
      <c r="N2420" s="292"/>
      <c r="O2420" s="373">
        <f>TrialBalanceA!I133</f>
        <v>0</v>
      </c>
      <c r="P2420" s="295"/>
      <c r="Q2420" s="442"/>
      <c r="R2420" s="403" t="str">
        <f t="shared" si="199"/>
        <v>DELETE</v>
      </c>
      <c r="T2420" s="381"/>
    </row>
    <row r="2421" spans="2:22" ht="31.5" customHeight="1" x14ac:dyDescent="0.45">
      <c r="B2421" s="441"/>
      <c r="C2421" s="417"/>
      <c r="D2421" s="400">
        <f>TrialBalanceA!C134</f>
        <v>0</v>
      </c>
      <c r="J2421" s="292"/>
      <c r="K2421" s="292"/>
      <c r="L2421" s="405"/>
      <c r="M2421" s="421"/>
      <c r="N2421" s="292"/>
      <c r="O2421" s="373">
        <f>TrialBalanceA!I134</f>
        <v>0</v>
      </c>
      <c r="P2421" s="295"/>
      <c r="Q2421" s="442"/>
      <c r="R2421" s="403" t="str">
        <f t="shared" si="199"/>
        <v>DELETE</v>
      </c>
      <c r="T2421" s="381"/>
    </row>
    <row r="2422" spans="2:22" ht="31.5" customHeight="1" x14ac:dyDescent="0.45">
      <c r="B2422" s="441"/>
      <c r="C2422" s="417"/>
      <c r="D2422" s="400">
        <f>TrialBalanceA!C135</f>
        <v>0</v>
      </c>
      <c r="J2422" s="292"/>
      <c r="K2422" s="292"/>
      <c r="L2422" s="405"/>
      <c r="M2422" s="421"/>
      <c r="N2422" s="292"/>
      <c r="O2422" s="373">
        <f>TrialBalanceA!I135</f>
        <v>0</v>
      </c>
      <c r="P2422" s="295"/>
      <c r="Q2422" s="442"/>
      <c r="R2422" s="403" t="str">
        <f t="shared" si="199"/>
        <v>DELETE</v>
      </c>
      <c r="T2422" s="381"/>
    </row>
    <row r="2423" spans="2:22" ht="31.5" customHeight="1" x14ac:dyDescent="0.45">
      <c r="B2423" s="441"/>
      <c r="C2423" s="417"/>
      <c r="D2423" s="400">
        <f>TrialBalanceA!C136</f>
        <v>0</v>
      </c>
      <c r="J2423" s="292"/>
      <c r="K2423" s="292"/>
      <c r="L2423" s="405"/>
      <c r="M2423" s="421"/>
      <c r="N2423" s="292"/>
      <c r="O2423" s="373">
        <f>TrialBalanceA!I136</f>
        <v>0</v>
      </c>
      <c r="P2423" s="295"/>
      <c r="Q2423" s="442"/>
      <c r="R2423" s="403" t="str">
        <f t="shared" si="199"/>
        <v>DELETE</v>
      </c>
      <c r="T2423" s="381"/>
    </row>
    <row r="2424" spans="2:22" ht="31.5" customHeight="1" x14ac:dyDescent="0.45">
      <c r="B2424" s="441"/>
      <c r="C2424" s="417"/>
      <c r="D2424" s="400">
        <f>TrialBalanceA!C137</f>
        <v>0</v>
      </c>
      <c r="J2424" s="292"/>
      <c r="K2424" s="292"/>
      <c r="L2424" s="405"/>
      <c r="M2424" s="421"/>
      <c r="N2424" s="292"/>
      <c r="O2424" s="373">
        <f>TrialBalanceA!I137</f>
        <v>0</v>
      </c>
      <c r="P2424" s="295"/>
      <c r="Q2424" s="442"/>
      <c r="R2424" s="403" t="str">
        <f t="shared" si="199"/>
        <v>DELETE</v>
      </c>
      <c r="T2424" s="381"/>
    </row>
    <row r="2425" spans="2:22" ht="31.5" customHeight="1" x14ac:dyDescent="0.45">
      <c r="B2425" s="441"/>
      <c r="C2425" s="417"/>
      <c r="D2425" s="400" t="str">
        <f>TrialBalanceA!C138</f>
        <v>Amortisation of prepaid lease agreement</v>
      </c>
      <c r="J2425" s="292"/>
      <c r="K2425" s="292"/>
      <c r="L2425" s="405"/>
      <c r="M2425" s="421"/>
      <c r="N2425" s="292"/>
      <c r="O2425" s="373">
        <f>TrialBalanceA!I138</f>
        <v>0</v>
      </c>
      <c r="P2425" s="295"/>
      <c r="Q2425" s="442"/>
      <c r="R2425" s="403" t="str">
        <f t="shared" si="199"/>
        <v>DELETE</v>
      </c>
      <c r="T2425" s="381"/>
    </row>
    <row r="2426" spans="2:22" ht="31.5" customHeight="1" x14ac:dyDescent="0.45">
      <c r="B2426" s="441"/>
      <c r="C2426" s="417"/>
      <c r="D2426" s="400" t="str">
        <f>TrialBalanceA!C139</f>
        <v>Amortisation of goodwill</v>
      </c>
      <c r="J2426" s="292"/>
      <c r="K2426" s="292"/>
      <c r="L2426" s="405"/>
      <c r="M2426" s="421"/>
      <c r="N2426" s="292"/>
      <c r="O2426" s="373">
        <f>TrialBalanceA!I139</f>
        <v>0</v>
      </c>
      <c r="P2426" s="295"/>
      <c r="Q2426" s="442"/>
      <c r="R2426" s="403" t="str">
        <f t="shared" ref="R2426" si="200">IF(R$2293="DELETE","DELETE",IF(O2426=0,"DELETE"," "))</f>
        <v>DELETE</v>
      </c>
      <c r="T2426" s="381"/>
    </row>
    <row r="2427" spans="2:22" ht="9" customHeight="1" x14ac:dyDescent="0.45">
      <c r="B2427" s="441"/>
      <c r="C2427" s="417"/>
      <c r="J2427" s="292"/>
      <c r="K2427" s="292"/>
      <c r="L2427" s="405"/>
      <c r="M2427" s="421"/>
      <c r="N2427" s="292"/>
      <c r="O2427" s="374"/>
      <c r="P2427" s="295"/>
      <c r="Q2427" s="442"/>
      <c r="R2427" s="403" t="str">
        <f>R2391</f>
        <v>DELETE</v>
      </c>
      <c r="T2427" s="381"/>
    </row>
    <row r="2428" spans="2:22" ht="9" customHeight="1" x14ac:dyDescent="0.45">
      <c r="B2428" s="441"/>
      <c r="C2428" s="417"/>
      <c r="J2428" s="292"/>
      <c r="K2428" s="292"/>
      <c r="L2428" s="405"/>
      <c r="M2428" s="421"/>
      <c r="N2428" s="292"/>
      <c r="O2428" s="349"/>
      <c r="P2428" s="295"/>
      <c r="Q2428" s="442"/>
      <c r="R2428" s="403" t="str">
        <f>R$2293</f>
        <v>DELETE</v>
      </c>
      <c r="T2428" s="381"/>
    </row>
    <row r="2429" spans="2:22" ht="9" customHeight="1" x14ac:dyDescent="0.45">
      <c r="B2429" s="441"/>
      <c r="C2429" s="417"/>
      <c r="J2429" s="292"/>
      <c r="K2429" s="292"/>
      <c r="L2429" s="405"/>
      <c r="M2429" s="421"/>
      <c r="N2429" s="292"/>
      <c r="O2429" s="347"/>
      <c r="P2429" s="295"/>
      <c r="Q2429" s="442"/>
      <c r="R2429" s="403" t="str">
        <f>R$2293</f>
        <v>DELETE</v>
      </c>
      <c r="T2429" s="381"/>
    </row>
    <row r="2430" spans="2:22" ht="31.5" customHeight="1" x14ac:dyDescent="0.45">
      <c r="B2430" s="441"/>
      <c r="C2430" s="315" t="str">
        <f>IF(O2430&lt;0,"OPERATING LOSS FOR THE YEAR","OPERATING PROFIT FOR THE YEAR")</f>
        <v>OPERATING PROFIT FOR THE YEAR</v>
      </c>
      <c r="J2430" s="292"/>
      <c r="K2430" s="292">
        <f>'FS2'!B878</f>
        <v>5</v>
      </c>
      <c r="L2430" s="405"/>
      <c r="M2430" s="421"/>
      <c r="N2430" s="292"/>
      <c r="O2430" s="347">
        <f>SUM(S2305:S2427)</f>
        <v>0</v>
      </c>
      <c r="P2430" s="295"/>
      <c r="Q2430" s="442"/>
      <c r="R2430" s="403" t="str">
        <f>R$2293</f>
        <v>DELETE</v>
      </c>
      <c r="T2430" s="381"/>
    </row>
    <row r="2431" spans="2:22" ht="31.5" customHeight="1" x14ac:dyDescent="0.45">
      <c r="B2431" s="441"/>
      <c r="C2431" s="417"/>
      <c r="J2431" s="292"/>
      <c r="K2431" s="292"/>
      <c r="L2431" s="405"/>
      <c r="M2431" s="421"/>
      <c r="N2431" s="292"/>
      <c r="O2431" s="347"/>
      <c r="P2431" s="295"/>
      <c r="Q2431" s="442"/>
      <c r="R2431" s="403" t="str">
        <f>R$2293</f>
        <v>DELETE</v>
      </c>
      <c r="T2431" s="381"/>
    </row>
    <row r="2432" spans="2:22" ht="31.5" customHeight="1" x14ac:dyDescent="0.45">
      <c r="B2432" s="441"/>
      <c r="C2432" s="417" t="s">
        <v>114</v>
      </c>
      <c r="J2432" s="292"/>
      <c r="K2432" s="292">
        <f>'FS2'!B965</f>
        <v>6</v>
      </c>
      <c r="L2432" s="405"/>
      <c r="M2432" s="421"/>
      <c r="N2432" s="292"/>
      <c r="O2432" s="347">
        <f>SUM(O2435:O2442)</f>
        <v>0</v>
      </c>
      <c r="P2432" s="295"/>
      <c r="Q2432" s="442"/>
      <c r="R2432" s="403" t="str">
        <f t="shared" ref="R2432" si="201">IF(R$2293="DELETE","DELETE",IF(O2432=0,"DELETE"," "))</f>
        <v>DELETE</v>
      </c>
      <c r="S2432" s="380">
        <f>O2432</f>
        <v>0</v>
      </c>
      <c r="T2432" s="381"/>
      <c r="U2432" s="380"/>
      <c r="V2432" s="380"/>
    </row>
    <row r="2433" spans="2:22" ht="9" customHeight="1" x14ac:dyDescent="0.45">
      <c r="B2433" s="441"/>
      <c r="C2433" s="417"/>
      <c r="J2433" s="292"/>
      <c r="K2433" s="292"/>
      <c r="L2433" s="405"/>
      <c r="M2433" s="421"/>
      <c r="N2433" s="292"/>
      <c r="O2433" s="347"/>
      <c r="P2433" s="295"/>
      <c r="Q2433" s="442"/>
      <c r="R2433" s="403" t="str">
        <f>R2432</f>
        <v>DELETE</v>
      </c>
      <c r="T2433" s="381"/>
    </row>
    <row r="2434" spans="2:22" ht="9" customHeight="1" x14ac:dyDescent="0.45">
      <c r="B2434" s="441"/>
      <c r="C2434" s="417"/>
      <c r="J2434" s="292"/>
      <c r="K2434" s="292"/>
      <c r="L2434" s="405"/>
      <c r="M2434" s="421"/>
      <c r="N2434" s="292"/>
      <c r="O2434" s="372"/>
      <c r="P2434" s="295"/>
      <c r="Q2434" s="442"/>
      <c r="R2434" s="403" t="str">
        <f>R2433</f>
        <v>DELETE</v>
      </c>
      <c r="T2434" s="381"/>
    </row>
    <row r="2435" spans="2:22" ht="31.5" customHeight="1" x14ac:dyDescent="0.45">
      <c r="B2435" s="441"/>
      <c r="C2435" s="417"/>
      <c r="D2435" s="400" t="s">
        <v>205</v>
      </c>
      <c r="J2435" s="292"/>
      <c r="K2435" s="292"/>
      <c r="L2435" s="405"/>
      <c r="M2435" s="421"/>
      <c r="N2435" s="292"/>
      <c r="O2435" s="373">
        <f>-TrialBalanceA!I94</f>
        <v>0</v>
      </c>
      <c r="P2435" s="295"/>
      <c r="Q2435" s="442"/>
      <c r="R2435" s="403" t="str">
        <f t="shared" ref="R2435:R2440" si="202">IF(R$2293="DELETE","DELETE",IF(O2435=0,"DELETE"," "))</f>
        <v>DELETE</v>
      </c>
      <c r="T2435" s="381"/>
    </row>
    <row r="2436" spans="2:22" ht="31.5" customHeight="1" x14ac:dyDescent="0.45">
      <c r="B2436" s="441"/>
      <c r="C2436" s="417"/>
      <c r="D2436" s="400" t="s">
        <v>531</v>
      </c>
      <c r="J2436" s="292"/>
      <c r="K2436" s="292"/>
      <c r="L2436" s="405"/>
      <c r="M2436" s="421"/>
      <c r="N2436" s="292"/>
      <c r="O2436" s="373">
        <f>-SUM(TrialBalanceA!I90:I92)</f>
        <v>0</v>
      </c>
      <c r="P2436" s="295"/>
      <c r="Q2436" s="442"/>
      <c r="R2436" s="403" t="str">
        <f t="shared" si="202"/>
        <v>DELETE</v>
      </c>
      <c r="T2436" s="381"/>
    </row>
    <row r="2437" spans="2:22" ht="31.5" customHeight="1" x14ac:dyDescent="0.45">
      <c r="B2437" s="441"/>
      <c r="C2437" s="417"/>
      <c r="D2437" s="400" t="s">
        <v>532</v>
      </c>
      <c r="J2437" s="292"/>
      <c r="K2437" s="292"/>
      <c r="L2437" s="405"/>
      <c r="M2437" s="421"/>
      <c r="N2437" s="292"/>
      <c r="O2437" s="375">
        <f>-SUM(TrialBalanceA!I85:I88)</f>
        <v>0</v>
      </c>
      <c r="P2437" s="295"/>
      <c r="Q2437" s="442"/>
      <c r="R2437" s="403" t="str">
        <f t="shared" si="202"/>
        <v>DELETE</v>
      </c>
      <c r="T2437" s="381"/>
    </row>
    <row r="2438" spans="2:22" ht="31.5" customHeight="1" x14ac:dyDescent="0.45">
      <c r="B2438" s="441"/>
      <c r="C2438" s="417"/>
      <c r="D2438" s="400" t="s">
        <v>207</v>
      </c>
      <c r="J2438" s="292"/>
      <c r="K2438" s="292"/>
      <c r="L2438" s="405"/>
      <c r="M2438" s="421"/>
      <c r="N2438" s="292"/>
      <c r="O2438" s="375">
        <f>-SUM(TrialBalanceA!I95)</f>
        <v>0</v>
      </c>
      <c r="P2438" s="295"/>
      <c r="Q2438" s="442"/>
      <c r="R2438" s="403" t="str">
        <f t="shared" si="202"/>
        <v>DELETE</v>
      </c>
      <c r="T2438" s="381"/>
    </row>
    <row r="2439" spans="2:22" ht="31.5" customHeight="1" x14ac:dyDescent="0.45">
      <c r="B2439" s="441"/>
      <c r="C2439" s="417"/>
      <c r="D2439" s="400" t="s">
        <v>548</v>
      </c>
      <c r="J2439" s="292"/>
      <c r="K2439" s="292"/>
      <c r="L2439" s="405"/>
      <c r="M2439" s="421"/>
      <c r="N2439" s="292"/>
      <c r="O2439" s="373">
        <f>IF(TrialBalanceA!I93&lt;0,-TrialBalanceA!I93,0)</f>
        <v>0</v>
      </c>
      <c r="P2439" s="295"/>
      <c r="Q2439" s="442"/>
      <c r="R2439" s="403" t="str">
        <f t="shared" si="202"/>
        <v>DELETE</v>
      </c>
      <c r="T2439" s="381"/>
    </row>
    <row r="2440" spans="2:22" ht="31.5" customHeight="1" x14ac:dyDescent="0.45">
      <c r="B2440" s="441"/>
      <c r="C2440" s="417"/>
      <c r="D2440" s="400" t="s">
        <v>359</v>
      </c>
      <c r="J2440" s="292"/>
      <c r="K2440" s="292"/>
      <c r="L2440" s="405"/>
      <c r="M2440" s="421"/>
      <c r="N2440" s="292"/>
      <c r="O2440" s="373">
        <f>-TrialBalanceA!I83</f>
        <v>0</v>
      </c>
      <c r="P2440" s="295"/>
      <c r="Q2440" s="442"/>
      <c r="R2440" s="403" t="str">
        <f t="shared" si="202"/>
        <v>DELETE</v>
      </c>
      <c r="T2440" s="381"/>
    </row>
    <row r="2441" spans="2:22" ht="31.5" customHeight="1" x14ac:dyDescent="0.45">
      <c r="B2441" s="441"/>
      <c r="C2441" s="417"/>
      <c r="D2441" s="400" t="str">
        <f>TrialBalance!C96</f>
        <v>Revaluation of investment property</v>
      </c>
      <c r="J2441" s="292"/>
      <c r="K2441" s="292"/>
      <c r="L2441" s="405"/>
      <c r="M2441" s="421"/>
      <c r="N2441" s="292"/>
      <c r="O2441" s="373">
        <f>-TrialBalanceA!I96</f>
        <v>0</v>
      </c>
      <c r="P2441" s="295"/>
      <c r="Q2441" s="442"/>
      <c r="R2441" s="403" t="str">
        <f>IF(R$2293="DELETE","DELETE",IF(O2441=0,"DELETE"," "))</f>
        <v>DELETE</v>
      </c>
      <c r="T2441" s="381"/>
    </row>
    <row r="2442" spans="2:22" ht="9" customHeight="1" x14ac:dyDescent="0.45">
      <c r="B2442" s="441"/>
      <c r="C2442" s="417"/>
      <c r="J2442" s="292"/>
      <c r="K2442" s="292"/>
      <c r="L2442" s="405"/>
      <c r="M2442" s="421"/>
      <c r="N2442" s="292"/>
      <c r="O2442" s="374"/>
      <c r="P2442" s="295"/>
      <c r="Q2442" s="442"/>
      <c r="R2442" s="403" t="str">
        <f>R2432</f>
        <v>DELETE</v>
      </c>
      <c r="T2442" s="381"/>
    </row>
    <row r="2443" spans="2:22" ht="9" customHeight="1" x14ac:dyDescent="0.45">
      <c r="B2443" s="441"/>
      <c r="C2443" s="417"/>
      <c r="J2443" s="292"/>
      <c r="K2443" s="292"/>
      <c r="L2443" s="405"/>
      <c r="M2443" s="421"/>
      <c r="N2443" s="292"/>
      <c r="O2443" s="349"/>
      <c r="P2443" s="295"/>
      <c r="Q2443" s="442"/>
      <c r="R2443" s="403" t="str">
        <f>R2442</f>
        <v>DELETE</v>
      </c>
      <c r="T2443" s="381"/>
    </row>
    <row r="2444" spans="2:22" ht="9" customHeight="1" x14ac:dyDescent="0.45">
      <c r="B2444" s="441"/>
      <c r="C2444" s="417"/>
      <c r="J2444" s="292"/>
      <c r="K2444" s="292"/>
      <c r="L2444" s="405"/>
      <c r="M2444" s="421"/>
      <c r="N2444" s="292"/>
      <c r="O2444" s="347"/>
      <c r="P2444" s="295"/>
      <c r="Q2444" s="442"/>
      <c r="R2444" s="403" t="str">
        <f>R2443</f>
        <v>DELETE</v>
      </c>
      <c r="T2444" s="381"/>
    </row>
    <row r="2445" spans="2:22" ht="31.5" customHeight="1" x14ac:dyDescent="0.45">
      <c r="B2445" s="441"/>
      <c r="C2445" s="417"/>
      <c r="J2445" s="292"/>
      <c r="K2445" s="292"/>
      <c r="L2445" s="405"/>
      <c r="M2445" s="421"/>
      <c r="N2445" s="292"/>
      <c r="O2445" s="347">
        <f>SUM(S2305:S2442)</f>
        <v>0</v>
      </c>
      <c r="P2445" s="295"/>
      <c r="Q2445" s="442"/>
      <c r="R2445" s="403" t="str">
        <f>R2444</f>
        <v>DELETE</v>
      </c>
      <c r="T2445" s="381"/>
    </row>
    <row r="2446" spans="2:22" ht="31.5" customHeight="1" x14ac:dyDescent="0.45">
      <c r="B2446" s="441"/>
      <c r="C2446" s="417"/>
      <c r="J2446" s="292"/>
      <c r="K2446" s="292"/>
      <c r="L2446" s="405"/>
      <c r="M2446" s="421"/>
      <c r="N2446" s="292"/>
      <c r="O2446" s="347"/>
      <c r="P2446" s="295"/>
      <c r="Q2446" s="442"/>
      <c r="R2446" s="403" t="str">
        <f>R2445</f>
        <v>DELETE</v>
      </c>
      <c r="T2446" s="381"/>
    </row>
    <row r="2447" spans="2:22" ht="31.5" customHeight="1" x14ac:dyDescent="0.45">
      <c r="B2447" s="441"/>
      <c r="C2447" s="417" t="s">
        <v>262</v>
      </c>
      <c r="J2447" s="292"/>
      <c r="K2447" s="292">
        <f>'FS2'!B1024</f>
        <v>7</v>
      </c>
      <c r="L2447" s="405"/>
      <c r="M2447" s="421"/>
      <c r="N2447" s="292"/>
      <c r="O2447" s="347">
        <f>SUM(TrialBalanceA!I142:I152)</f>
        <v>0</v>
      </c>
      <c r="P2447" s="295"/>
      <c r="Q2447" s="442"/>
      <c r="R2447" s="403" t="str">
        <f t="shared" ref="R2447" si="203">IF(R$2293="DELETE","DELETE",IF(O2447=0,"DELETE"," "))</f>
        <v>DELETE</v>
      </c>
      <c r="S2447" s="380">
        <f>-O2447</f>
        <v>0</v>
      </c>
      <c r="T2447" s="381"/>
      <c r="U2447" s="380"/>
      <c r="V2447" s="380"/>
    </row>
    <row r="2448" spans="2:22" ht="9" customHeight="1" x14ac:dyDescent="0.45">
      <c r="B2448" s="441"/>
      <c r="C2448" s="417"/>
      <c r="J2448" s="292"/>
      <c r="K2448" s="292"/>
      <c r="L2448" s="405"/>
      <c r="M2448" s="421"/>
      <c r="N2448" s="292"/>
      <c r="O2448" s="349"/>
      <c r="P2448" s="295"/>
      <c r="Q2448" s="442"/>
      <c r="R2448" s="403" t="str">
        <f t="shared" ref="R2448:R2456" si="204">R$2293</f>
        <v>DELETE</v>
      </c>
      <c r="T2448" s="381"/>
    </row>
    <row r="2449" spans="2:22" ht="9" customHeight="1" x14ac:dyDescent="0.45">
      <c r="B2449" s="441"/>
      <c r="C2449" s="417"/>
      <c r="J2449" s="292"/>
      <c r="K2449" s="292"/>
      <c r="L2449" s="405"/>
      <c r="M2449" s="421"/>
      <c r="N2449" s="292"/>
      <c r="O2449" s="347"/>
      <c r="P2449" s="295"/>
      <c r="Q2449" s="442"/>
      <c r="R2449" s="403" t="str">
        <f t="shared" si="204"/>
        <v>DELETE</v>
      </c>
      <c r="T2449" s="381"/>
    </row>
    <row r="2450" spans="2:22" ht="31.5" customHeight="1" x14ac:dyDescent="0.45">
      <c r="B2450" s="441"/>
      <c r="C2450" s="315" t="str">
        <f>IF(O2450&lt;0,"NET LOSS BEFORE TAXATION","NET PROFIT BEFORE TAXATION")</f>
        <v>NET PROFIT BEFORE TAXATION</v>
      </c>
      <c r="J2450" s="292"/>
      <c r="K2450" s="292"/>
      <c r="L2450" s="405"/>
      <c r="M2450" s="421"/>
      <c r="N2450" s="292"/>
      <c r="O2450" s="347">
        <f>SUM(S2305:S2449)</f>
        <v>0</v>
      </c>
      <c r="P2450" s="295"/>
      <c r="Q2450" s="442"/>
      <c r="R2450" s="403" t="str">
        <f t="shared" si="204"/>
        <v>DELETE</v>
      </c>
      <c r="T2450" s="381"/>
      <c r="U2450" s="378" t="b">
        <f>O2450='FS2'!O2277</f>
        <v>1</v>
      </c>
    </row>
    <row r="2451" spans="2:22" ht="9" customHeight="1" thickBot="1" x14ac:dyDescent="0.5">
      <c r="B2451" s="441"/>
      <c r="C2451" s="417"/>
      <c r="J2451" s="292"/>
      <c r="K2451" s="292"/>
      <c r="L2451" s="405"/>
      <c r="M2451" s="421"/>
      <c r="N2451" s="292"/>
      <c r="O2451" s="351"/>
      <c r="P2451" s="295"/>
      <c r="Q2451" s="442"/>
      <c r="R2451" s="403" t="str">
        <f t="shared" si="204"/>
        <v>DELETE</v>
      </c>
      <c r="T2451" s="381"/>
    </row>
    <row r="2452" spans="2:22" ht="9" customHeight="1" thickTop="1" x14ac:dyDescent="0.45">
      <c r="B2452" s="441"/>
      <c r="C2452" s="417"/>
      <c r="J2452" s="292"/>
      <c r="K2452" s="292"/>
      <c r="L2452" s="405"/>
      <c r="M2452" s="421"/>
      <c r="N2452" s="292"/>
      <c r="O2452" s="363"/>
      <c r="P2452" s="295"/>
      <c r="Q2452" s="442"/>
      <c r="R2452" s="403" t="str">
        <f t="shared" si="204"/>
        <v>DELETE</v>
      </c>
      <c r="T2452" s="381"/>
    </row>
    <row r="2453" spans="2:22" ht="31.5" customHeight="1" x14ac:dyDescent="0.45">
      <c r="B2453" s="441"/>
      <c r="C2453" s="417"/>
      <c r="J2453" s="292"/>
      <c r="K2453" s="292"/>
      <c r="L2453" s="405"/>
      <c r="M2453" s="421"/>
      <c r="N2453" s="292"/>
      <c r="O2453" s="347"/>
      <c r="P2453" s="295"/>
      <c r="Q2453" s="442"/>
      <c r="R2453" s="403" t="str">
        <f t="shared" si="204"/>
        <v>DELETE</v>
      </c>
      <c r="T2453" s="381"/>
    </row>
    <row r="2454" spans="2:22" ht="31.5" customHeight="1" x14ac:dyDescent="0.45">
      <c r="B2454" s="441"/>
      <c r="C2454" s="417"/>
      <c r="J2454" s="292"/>
      <c r="K2454" s="292"/>
      <c r="L2454" s="292"/>
      <c r="M2454" s="347"/>
      <c r="N2454" s="298"/>
      <c r="O2454" s="347"/>
      <c r="P2454" s="295"/>
      <c r="Q2454" s="442"/>
      <c r="R2454" s="403" t="str">
        <f t="shared" si="204"/>
        <v>DELETE</v>
      </c>
      <c r="T2454" s="381"/>
    </row>
    <row r="2455" spans="2:22" ht="31.5" customHeight="1" x14ac:dyDescent="0.45">
      <c r="B2455" s="445"/>
      <c r="C2455" s="429"/>
      <c r="D2455" s="429"/>
      <c r="E2455" s="429"/>
      <c r="F2455" s="429"/>
      <c r="G2455" s="429"/>
      <c r="H2455" s="429"/>
      <c r="I2455" s="429"/>
      <c r="J2455" s="429"/>
      <c r="K2455" s="429"/>
      <c r="L2455" s="429"/>
      <c r="M2455" s="437"/>
      <c r="N2455" s="461"/>
      <c r="O2455" s="437"/>
      <c r="P2455" s="433"/>
      <c r="Q2455" s="446"/>
      <c r="R2455" s="403" t="str">
        <f t="shared" si="204"/>
        <v>DELETE</v>
      </c>
      <c r="T2455" s="381"/>
    </row>
    <row r="2456" spans="2:22" ht="31.5" customHeight="1" x14ac:dyDescent="0.45">
      <c r="M2456" s="426"/>
      <c r="N2456" s="406"/>
      <c r="O2456" s="426"/>
      <c r="R2456" s="403" t="str">
        <f t="shared" si="204"/>
        <v>DELETE</v>
      </c>
      <c r="T2456" s="381"/>
    </row>
    <row r="2457" spans="2:22" ht="31.5" customHeight="1" x14ac:dyDescent="0.45">
      <c r="M2457" s="426"/>
      <c r="N2457" s="406"/>
      <c r="O2457" s="426"/>
      <c r="R2457" s="403" t="str">
        <f>IF(SUM(S2469:S2471)+SUM(S2489:S2496)+SUM(S2596:S2606)+O2614=0,"DELETE"," ")</f>
        <v>DELETE</v>
      </c>
      <c r="T2457" s="381"/>
      <c r="U2457" s="382"/>
      <c r="V2457" s="382"/>
    </row>
    <row r="2458" spans="2:22" ht="31.5" customHeight="1" x14ac:dyDescent="0.45">
      <c r="D2458" s="417" t="s">
        <v>644</v>
      </c>
      <c r="M2458" s="426"/>
      <c r="N2458" s="406"/>
      <c r="O2458" s="426"/>
      <c r="R2458" s="403" t="str">
        <f>R$2457</f>
        <v>DELETE</v>
      </c>
      <c r="T2458" s="381"/>
      <c r="U2458" s="379"/>
    </row>
    <row r="2459" spans="2:22" ht="31.5" customHeight="1" x14ac:dyDescent="0.45">
      <c r="M2459" s="426"/>
      <c r="N2459" s="406"/>
      <c r="O2459" s="426"/>
      <c r="R2459" s="403" t="str">
        <f t="shared" ref="R2459:R2468" si="205">R$2457</f>
        <v>DELETE</v>
      </c>
      <c r="T2459" s="381"/>
    </row>
    <row r="2460" spans="2:22" ht="31.5" customHeight="1" x14ac:dyDescent="0.45">
      <c r="D2460" s="417" t="str">
        <f>Criteria!E15</f>
        <v>SUBSIDIARY TWO 15 (PTY) LTD</v>
      </c>
      <c r="M2460" s="426"/>
      <c r="N2460" s="406"/>
      <c r="O2460" s="347" t="s">
        <v>96</v>
      </c>
      <c r="Q2460" s="292">
        <v>1</v>
      </c>
      <c r="R2460" s="403" t="str">
        <f t="shared" si="205"/>
        <v>DELETE</v>
      </c>
      <c r="T2460" s="381"/>
    </row>
    <row r="2461" spans="2:22" ht="31.5" customHeight="1" x14ac:dyDescent="0.45">
      <c r="D2461" s="405"/>
      <c r="M2461" s="426"/>
      <c r="N2461" s="406"/>
      <c r="O2461" s="426"/>
      <c r="R2461" s="403" t="str">
        <f t="shared" si="205"/>
        <v>DELETE</v>
      </c>
      <c r="T2461" s="381"/>
    </row>
    <row r="2462" spans="2:22" ht="31.5" customHeight="1" x14ac:dyDescent="0.45">
      <c r="M2462" s="426"/>
      <c r="N2462" s="406"/>
      <c r="O2462" s="426"/>
      <c r="R2462" s="403" t="str">
        <f t="shared" si="205"/>
        <v>DELETE</v>
      </c>
      <c r="T2462" s="381"/>
    </row>
    <row r="2463" spans="2:22" ht="31.5" customHeight="1" x14ac:dyDescent="0.45">
      <c r="D2463" s="417" t="s">
        <v>91</v>
      </c>
      <c r="M2463" s="426"/>
      <c r="N2463" s="406"/>
      <c r="O2463" s="426"/>
      <c r="R2463" s="403" t="str">
        <f t="shared" si="205"/>
        <v>DELETE</v>
      </c>
      <c r="T2463" s="381"/>
    </row>
    <row r="2464" spans="2:22" ht="31.5" customHeight="1" x14ac:dyDescent="0.45">
      <c r="D2464" s="417" t="str">
        <f>Criteria!E20</f>
        <v>29 FEBRUARY 2024</v>
      </c>
      <c r="M2464" s="426"/>
      <c r="N2464" s="406"/>
      <c r="O2464" s="426"/>
      <c r="R2464" s="403" t="str">
        <f t="shared" si="205"/>
        <v>DELETE</v>
      </c>
      <c r="T2464" s="381"/>
    </row>
    <row r="2465" spans="2:22" ht="31.5" customHeight="1" x14ac:dyDescent="0.45">
      <c r="M2465" s="426"/>
      <c r="N2465" s="406"/>
      <c r="O2465" s="426"/>
      <c r="R2465" s="403" t="str">
        <f t="shared" si="205"/>
        <v>DELETE</v>
      </c>
      <c r="T2465" s="381"/>
    </row>
    <row r="2466" spans="2:22" ht="31.5" customHeight="1" x14ac:dyDescent="0.45">
      <c r="B2466" s="438"/>
      <c r="C2466" s="439"/>
      <c r="D2466" s="439"/>
      <c r="E2466" s="439"/>
      <c r="F2466" s="439"/>
      <c r="G2466" s="439"/>
      <c r="H2466" s="439"/>
      <c r="I2466" s="439"/>
      <c r="J2466" s="439"/>
      <c r="K2466" s="439"/>
      <c r="L2466" s="439"/>
      <c r="M2466" s="469"/>
      <c r="N2466" s="470"/>
      <c r="O2466" s="469"/>
      <c r="P2466" s="448"/>
      <c r="Q2466" s="440"/>
      <c r="R2466" s="403" t="str">
        <f t="shared" si="205"/>
        <v>DELETE</v>
      </c>
      <c r="T2466" s="381"/>
    </row>
    <row r="2467" spans="2:22" ht="31.5" customHeight="1" x14ac:dyDescent="0.45">
      <c r="B2467" s="441"/>
      <c r="J2467" s="292"/>
      <c r="K2467" s="292" t="s">
        <v>104</v>
      </c>
      <c r="L2467" s="405"/>
      <c r="M2467" s="421"/>
      <c r="N2467" s="292"/>
      <c r="O2467" s="344">
        <f>Criteria!E22</f>
        <v>2024</v>
      </c>
      <c r="P2467" s="295"/>
      <c r="Q2467" s="442"/>
      <c r="R2467" s="403" t="str">
        <f t="shared" si="205"/>
        <v>DELETE</v>
      </c>
      <c r="T2467" s="381"/>
    </row>
    <row r="2468" spans="2:22" ht="31.5" customHeight="1" x14ac:dyDescent="0.45">
      <c r="B2468" s="441"/>
      <c r="J2468" s="292"/>
      <c r="K2468" s="292"/>
      <c r="L2468" s="405"/>
      <c r="M2468" s="421"/>
      <c r="N2468" s="292"/>
      <c r="O2468" s="347"/>
      <c r="P2468" s="295"/>
      <c r="Q2468" s="442"/>
      <c r="R2468" s="403" t="str">
        <f t="shared" si="205"/>
        <v>DELETE</v>
      </c>
      <c r="T2468" s="381"/>
    </row>
    <row r="2469" spans="2:22" ht="31.5" customHeight="1" x14ac:dyDescent="0.45">
      <c r="B2469" s="441"/>
      <c r="C2469" s="417" t="s">
        <v>112</v>
      </c>
      <c r="J2469" s="292"/>
      <c r="K2469" s="292"/>
      <c r="L2469" s="405"/>
      <c r="M2469" s="421"/>
      <c r="N2469" s="292"/>
      <c r="O2469" s="347">
        <f>-SUM(TrialBalanceB!I5:I10)</f>
        <v>0</v>
      </c>
      <c r="P2469" s="295"/>
      <c r="Q2469" s="442"/>
      <c r="R2469" s="403" t="str">
        <f>IF(R2457="DELETE","DELETE",IF(O2469=0,IF(O2471=0," ","DELETE")," "))</f>
        <v>DELETE</v>
      </c>
      <c r="S2469" s="380">
        <f>O2469</f>
        <v>0</v>
      </c>
      <c r="T2469" s="381"/>
      <c r="U2469" s="380"/>
      <c r="V2469" s="380"/>
    </row>
    <row r="2470" spans="2:22" ht="31.5" customHeight="1" x14ac:dyDescent="0.45">
      <c r="B2470" s="441"/>
      <c r="C2470" s="417"/>
      <c r="J2470" s="292"/>
      <c r="K2470" s="292"/>
      <c r="L2470" s="405"/>
      <c r="M2470" s="421"/>
      <c r="N2470" s="292"/>
      <c r="O2470" s="347"/>
      <c r="P2470" s="295"/>
      <c r="Q2470" s="442"/>
      <c r="R2470" s="403" t="str">
        <f>R2469</f>
        <v>DELETE</v>
      </c>
      <c r="S2470" s="380"/>
      <c r="T2470" s="381"/>
      <c r="U2470" s="380"/>
      <c r="V2470" s="380"/>
    </row>
    <row r="2471" spans="2:22" ht="31.5" customHeight="1" x14ac:dyDescent="0.45">
      <c r="B2471" s="441"/>
      <c r="C2471" s="417" t="s">
        <v>525</v>
      </c>
      <c r="J2471" s="292"/>
      <c r="K2471" s="292"/>
      <c r="L2471" s="405"/>
      <c r="M2471" s="421"/>
      <c r="N2471" s="292"/>
      <c r="O2471" s="347">
        <f>-TrialBalanceB!I11</f>
        <v>0</v>
      </c>
      <c r="P2471" s="295"/>
      <c r="Q2471" s="442"/>
      <c r="R2471" s="403" t="str">
        <f>IF(R2457="DELETE","DELETE",IF(O2471=0,"DELETE"," "))</f>
        <v>DELETE</v>
      </c>
      <c r="S2471" s="380">
        <f>O2471</f>
        <v>0</v>
      </c>
      <c r="T2471" s="381"/>
      <c r="U2471" s="380"/>
      <c r="V2471" s="380"/>
    </row>
    <row r="2472" spans="2:22" ht="31.5" customHeight="1" x14ac:dyDescent="0.45">
      <c r="B2472" s="441"/>
      <c r="C2472" s="417"/>
      <c r="J2472" s="292"/>
      <c r="K2472" s="292"/>
      <c r="L2472" s="405"/>
      <c r="M2472" s="421"/>
      <c r="N2472" s="292"/>
      <c r="O2472" s="347"/>
      <c r="P2472" s="295"/>
      <c r="Q2472" s="442"/>
      <c r="R2472" s="403" t="str">
        <f>R2471</f>
        <v>DELETE</v>
      </c>
      <c r="T2472" s="381"/>
    </row>
    <row r="2473" spans="2:22" ht="31.5" customHeight="1" x14ac:dyDescent="0.45">
      <c r="B2473" s="441"/>
      <c r="C2473" s="417" t="s">
        <v>273</v>
      </c>
      <c r="J2473" s="292"/>
      <c r="K2473" s="292"/>
      <c r="L2473" s="405"/>
      <c r="M2473" s="421"/>
      <c r="N2473" s="292"/>
      <c r="O2473" s="347">
        <f>SUM(O2476:O2483)</f>
        <v>0</v>
      </c>
      <c r="P2473" s="295"/>
      <c r="Q2473" s="442"/>
      <c r="R2473" s="403" t="str">
        <f>IF(R$2457="DELETE","DELETE",IF(O2473=0,"DELETE"," "))</f>
        <v>DELETE</v>
      </c>
      <c r="S2473" s="380">
        <f>-O2473</f>
        <v>0</v>
      </c>
      <c r="T2473" s="381"/>
      <c r="U2473" s="380"/>
      <c r="V2473" s="380"/>
    </row>
    <row r="2474" spans="2:22" ht="9" customHeight="1" x14ac:dyDescent="0.45">
      <c r="B2474" s="441"/>
      <c r="C2474" s="417"/>
      <c r="J2474" s="292"/>
      <c r="K2474" s="292"/>
      <c r="L2474" s="405"/>
      <c r="M2474" s="421"/>
      <c r="N2474" s="292"/>
      <c r="O2474" s="347"/>
      <c r="P2474" s="295"/>
      <c r="Q2474" s="442"/>
      <c r="R2474" s="403" t="str">
        <f>R2473</f>
        <v>DELETE</v>
      </c>
      <c r="T2474" s="381"/>
    </row>
    <row r="2475" spans="2:22" ht="9" customHeight="1" x14ac:dyDescent="0.45">
      <c r="B2475" s="441"/>
      <c r="C2475" s="417"/>
      <c r="J2475" s="292"/>
      <c r="K2475" s="292"/>
      <c r="L2475" s="405"/>
      <c r="M2475" s="421"/>
      <c r="N2475" s="292"/>
      <c r="O2475" s="372"/>
      <c r="P2475" s="295"/>
      <c r="Q2475" s="442"/>
      <c r="R2475" s="403" t="str">
        <f>R2474</f>
        <v>DELETE</v>
      </c>
      <c r="T2475" s="381"/>
    </row>
    <row r="2476" spans="2:22" ht="31.5" customHeight="1" x14ac:dyDescent="0.45">
      <c r="B2476" s="441"/>
      <c r="C2476" s="417"/>
      <c r="D2476" s="400" t="s">
        <v>527</v>
      </c>
      <c r="J2476" s="292"/>
      <c r="K2476" s="292"/>
      <c r="L2476" s="405"/>
      <c r="M2476" s="421"/>
      <c r="N2476" s="292"/>
      <c r="O2476" s="373">
        <f>SUM(TrialBalanceB!I13:I16)</f>
        <v>0</v>
      </c>
      <c r="P2476" s="295"/>
      <c r="Q2476" s="442"/>
      <c r="R2476" s="403" t="str">
        <f t="shared" ref="R2476:R2483" si="206">IF(R$2457="DELETE","DELETE",IF(O2476=0,"DELETE"," "))</f>
        <v>DELETE</v>
      </c>
      <c r="T2476" s="381"/>
    </row>
    <row r="2477" spans="2:22" ht="31.5" customHeight="1" x14ac:dyDescent="0.45">
      <c r="B2477" s="441"/>
      <c r="C2477" s="417"/>
      <c r="D2477" s="400" t="s">
        <v>274</v>
      </c>
      <c r="J2477" s="292"/>
      <c r="K2477" s="292"/>
      <c r="L2477" s="405"/>
      <c r="M2477" s="421"/>
      <c r="N2477" s="292"/>
      <c r="O2477" s="373">
        <f>TrialBalanceB!I17</f>
        <v>0</v>
      </c>
      <c r="P2477" s="295"/>
      <c r="Q2477" s="442"/>
      <c r="R2477" s="403" t="str">
        <f t="shared" si="206"/>
        <v>DELETE</v>
      </c>
      <c r="T2477" s="381"/>
    </row>
    <row r="2478" spans="2:22" ht="31.5" customHeight="1" x14ac:dyDescent="0.45">
      <c r="B2478" s="441"/>
      <c r="C2478" s="417"/>
      <c r="D2478" s="400">
        <f>TrialBalanceB!C18</f>
        <v>0</v>
      </c>
      <c r="J2478" s="292"/>
      <c r="K2478" s="292"/>
      <c r="L2478" s="405"/>
      <c r="M2478" s="421"/>
      <c r="N2478" s="292"/>
      <c r="O2478" s="373">
        <f>TrialBalanceB!I18</f>
        <v>0</v>
      </c>
      <c r="P2478" s="295"/>
      <c r="Q2478" s="442"/>
      <c r="R2478" s="403" t="str">
        <f t="shared" si="206"/>
        <v>DELETE</v>
      </c>
      <c r="T2478" s="381"/>
    </row>
    <row r="2479" spans="2:22" ht="31.5" customHeight="1" x14ac:dyDescent="0.45">
      <c r="B2479" s="441"/>
      <c r="C2479" s="417"/>
      <c r="D2479" s="400">
        <f>TrialBalanceB!C19</f>
        <v>0</v>
      </c>
      <c r="J2479" s="292"/>
      <c r="K2479" s="292"/>
      <c r="L2479" s="405"/>
      <c r="M2479" s="421"/>
      <c r="N2479" s="292"/>
      <c r="O2479" s="373">
        <f>TrialBalanceB!I19</f>
        <v>0</v>
      </c>
      <c r="P2479" s="295"/>
      <c r="Q2479" s="442"/>
      <c r="R2479" s="403" t="str">
        <f t="shared" si="206"/>
        <v>DELETE</v>
      </c>
      <c r="T2479" s="381"/>
    </row>
    <row r="2480" spans="2:22" ht="31.5" customHeight="1" x14ac:dyDescent="0.45">
      <c r="B2480" s="441"/>
      <c r="C2480" s="417"/>
      <c r="D2480" s="400">
        <f>TrialBalanceB!C20</f>
        <v>0</v>
      </c>
      <c r="J2480" s="292"/>
      <c r="K2480" s="292"/>
      <c r="L2480" s="405"/>
      <c r="M2480" s="421"/>
      <c r="N2480" s="292"/>
      <c r="O2480" s="373">
        <f>TrialBalanceB!I20</f>
        <v>0</v>
      </c>
      <c r="P2480" s="295"/>
      <c r="Q2480" s="442"/>
      <c r="R2480" s="403" t="str">
        <f t="shared" si="206"/>
        <v>DELETE</v>
      </c>
      <c r="T2480" s="381"/>
    </row>
    <row r="2481" spans="2:20" ht="31.5" customHeight="1" x14ac:dyDescent="0.45">
      <c r="B2481" s="441"/>
      <c r="C2481" s="417"/>
      <c r="D2481" s="400">
        <f>TrialBalanceB!C21</f>
        <v>0</v>
      </c>
      <c r="J2481" s="292"/>
      <c r="K2481" s="292"/>
      <c r="L2481" s="405"/>
      <c r="M2481" s="421"/>
      <c r="N2481" s="292"/>
      <c r="O2481" s="373">
        <f>TrialBalanceB!I21</f>
        <v>0</v>
      </c>
      <c r="P2481" s="295"/>
      <c r="Q2481" s="442"/>
      <c r="R2481" s="403" t="str">
        <f t="shared" si="206"/>
        <v>DELETE</v>
      </c>
      <c r="T2481" s="381"/>
    </row>
    <row r="2482" spans="2:20" ht="31.5" customHeight="1" x14ac:dyDescent="0.45">
      <c r="B2482" s="441"/>
      <c r="C2482" s="417"/>
      <c r="D2482" s="400">
        <f>TrialBalanceB!C22</f>
        <v>0</v>
      </c>
      <c r="J2482" s="292"/>
      <c r="K2482" s="292"/>
      <c r="L2482" s="405"/>
      <c r="M2482" s="421"/>
      <c r="N2482" s="292"/>
      <c r="O2482" s="373">
        <f>TrialBalanceB!I22</f>
        <v>0</v>
      </c>
      <c r="P2482" s="295"/>
      <c r="Q2482" s="442"/>
      <c r="R2482" s="403" t="str">
        <f t="shared" si="206"/>
        <v>DELETE</v>
      </c>
      <c r="T2482" s="381"/>
    </row>
    <row r="2483" spans="2:20" ht="31.5" customHeight="1" x14ac:dyDescent="0.45">
      <c r="B2483" s="441"/>
      <c r="C2483" s="417"/>
      <c r="D2483" s="400" t="s">
        <v>528</v>
      </c>
      <c r="J2483" s="292"/>
      <c r="K2483" s="292"/>
      <c r="L2483" s="405"/>
      <c r="M2483" s="421"/>
      <c r="N2483" s="292"/>
      <c r="O2483" s="373">
        <f>SUM(TrialBalanceB!I23:I26)</f>
        <v>0</v>
      </c>
      <c r="P2483" s="295"/>
      <c r="Q2483" s="442"/>
      <c r="R2483" s="403" t="str">
        <f t="shared" si="206"/>
        <v>DELETE</v>
      </c>
      <c r="T2483" s="381"/>
    </row>
    <row r="2484" spans="2:20" ht="9" customHeight="1" x14ac:dyDescent="0.45">
      <c r="B2484" s="441"/>
      <c r="C2484" s="417"/>
      <c r="J2484" s="292"/>
      <c r="K2484" s="292"/>
      <c r="L2484" s="405"/>
      <c r="M2484" s="421"/>
      <c r="N2484" s="292"/>
      <c r="O2484" s="374"/>
      <c r="P2484" s="295"/>
      <c r="Q2484" s="442"/>
      <c r="R2484" s="403" t="str">
        <f>R2473</f>
        <v>DELETE</v>
      </c>
      <c r="T2484" s="381"/>
    </row>
    <row r="2485" spans="2:20" ht="9" customHeight="1" x14ac:dyDescent="0.45">
      <c r="B2485" s="441"/>
      <c r="C2485" s="417"/>
      <c r="J2485" s="292"/>
      <c r="K2485" s="292"/>
      <c r="L2485" s="405"/>
      <c r="M2485" s="421"/>
      <c r="N2485" s="292"/>
      <c r="O2485" s="349"/>
      <c r="P2485" s="295"/>
      <c r="Q2485" s="442"/>
      <c r="R2485" s="403" t="str">
        <f>R2473</f>
        <v>DELETE</v>
      </c>
      <c r="T2485" s="381"/>
    </row>
    <row r="2486" spans="2:20" ht="9" customHeight="1" x14ac:dyDescent="0.45">
      <c r="B2486" s="441"/>
      <c r="C2486" s="417"/>
      <c r="J2486" s="292"/>
      <c r="K2486" s="292"/>
      <c r="L2486" s="405"/>
      <c r="M2486" s="421"/>
      <c r="N2486" s="292"/>
      <c r="O2486" s="347"/>
      <c r="P2486" s="295"/>
      <c r="Q2486" s="442"/>
      <c r="R2486" s="403" t="str">
        <f>R2485</f>
        <v>DELETE</v>
      </c>
      <c r="T2486" s="381"/>
    </row>
    <row r="2487" spans="2:20" ht="31.5" customHeight="1" x14ac:dyDescent="0.45">
      <c r="B2487" s="441"/>
      <c r="C2487" s="315" t="str">
        <f>IF(O2487&lt;0,"GROSS LOSS","GROSS PROFIT")</f>
        <v>GROSS PROFIT</v>
      </c>
      <c r="J2487" s="292"/>
      <c r="K2487" s="292"/>
      <c r="L2487" s="405"/>
      <c r="M2487" s="421"/>
      <c r="N2487" s="292"/>
      <c r="O2487" s="347">
        <f>SUM(S2469:S2484)</f>
        <v>0</v>
      </c>
      <c r="P2487" s="295"/>
      <c r="Q2487" s="442"/>
      <c r="R2487" s="403" t="str">
        <f>R2486</f>
        <v>DELETE</v>
      </c>
      <c r="T2487" s="381"/>
    </row>
    <row r="2488" spans="2:20" ht="31.5" customHeight="1" x14ac:dyDescent="0.45">
      <c r="B2488" s="441"/>
      <c r="C2488" s="417"/>
      <c r="J2488" s="292"/>
      <c r="K2488" s="292"/>
      <c r="L2488" s="405"/>
      <c r="M2488" s="421"/>
      <c r="N2488" s="292"/>
      <c r="O2488" s="347"/>
      <c r="P2488" s="295"/>
      <c r="Q2488" s="442"/>
      <c r="R2488" s="403" t="str">
        <f>R2487</f>
        <v>DELETE</v>
      </c>
      <c r="T2488" s="381"/>
    </row>
    <row r="2489" spans="2:20" ht="31.5" customHeight="1" x14ac:dyDescent="0.45">
      <c r="B2489" s="441"/>
      <c r="C2489" s="417" t="s">
        <v>323</v>
      </c>
      <c r="J2489" s="292"/>
      <c r="K2489" s="292"/>
      <c r="L2489" s="405"/>
      <c r="M2489" s="421"/>
      <c r="N2489" s="292"/>
      <c r="O2489" s="347">
        <f>SUM(O2491:O2498)</f>
        <v>0</v>
      </c>
      <c r="P2489" s="295"/>
      <c r="Q2489" s="442"/>
      <c r="R2489" s="403" t="str">
        <f t="shared" ref="R2489" si="207">IF(R$2457="DELETE","DELETE",IF(O2489=0,"DELETE"," "))</f>
        <v>DELETE</v>
      </c>
      <c r="S2489" s="380">
        <f>O2489</f>
        <v>0</v>
      </c>
      <c r="T2489" s="381"/>
    </row>
    <row r="2490" spans="2:20" ht="9" customHeight="1" x14ac:dyDescent="0.45">
      <c r="B2490" s="441"/>
      <c r="C2490" s="417"/>
      <c r="J2490" s="292"/>
      <c r="K2490" s="292"/>
      <c r="L2490" s="405"/>
      <c r="M2490" s="421"/>
      <c r="N2490" s="292"/>
      <c r="O2490" s="347"/>
      <c r="P2490" s="295"/>
      <c r="Q2490" s="442"/>
      <c r="R2490" s="403" t="str">
        <f>R2489</f>
        <v>DELETE</v>
      </c>
      <c r="T2490" s="381"/>
    </row>
    <row r="2491" spans="2:20" ht="9" customHeight="1" x14ac:dyDescent="0.45">
      <c r="B2491" s="441"/>
      <c r="C2491" s="417"/>
      <c r="J2491" s="292"/>
      <c r="K2491" s="292"/>
      <c r="L2491" s="405"/>
      <c r="M2491" s="421"/>
      <c r="N2491" s="292"/>
      <c r="O2491" s="372"/>
      <c r="P2491" s="295"/>
      <c r="Q2491" s="442"/>
      <c r="R2491" s="403" t="str">
        <f>R2489</f>
        <v>DELETE</v>
      </c>
      <c r="T2491" s="381"/>
    </row>
    <row r="2492" spans="2:20" ht="31.5" customHeight="1" x14ac:dyDescent="0.45">
      <c r="B2492" s="441"/>
      <c r="C2492" s="417"/>
      <c r="D2492" s="400" t="str">
        <f>TrialBalanceB!C28</f>
        <v>Insurance claims - Subsidiary Two 15 (Pty) Ltd</v>
      </c>
      <c r="J2492" s="292"/>
      <c r="K2492" s="292"/>
      <c r="L2492" s="405"/>
      <c r="M2492" s="421"/>
      <c r="N2492" s="292"/>
      <c r="O2492" s="373">
        <f>-TrialBalanceB!I28</f>
        <v>0</v>
      </c>
      <c r="P2492" s="295"/>
      <c r="Q2492" s="442"/>
      <c r="R2492" s="403" t="str">
        <f t="shared" ref="R2492:R2496" si="208">IF(R$2457="DELETE","DELETE",IF(O2492=0,"DELETE"," "))</f>
        <v>DELETE</v>
      </c>
      <c r="T2492" s="381"/>
    </row>
    <row r="2493" spans="2:20" ht="31.5" customHeight="1" x14ac:dyDescent="0.45">
      <c r="B2493" s="441"/>
      <c r="C2493" s="417"/>
      <c r="D2493" s="400" t="str">
        <f>TrialBalanceB!C29</f>
        <v>Government grants received</v>
      </c>
      <c r="J2493" s="292"/>
      <c r="K2493" s="292"/>
      <c r="L2493" s="405"/>
      <c r="M2493" s="421"/>
      <c r="N2493" s="292"/>
      <c r="O2493" s="373">
        <f>-TrialBalanceB!I29</f>
        <v>0</v>
      </c>
      <c r="P2493" s="295"/>
      <c r="Q2493" s="442"/>
      <c r="R2493" s="403" t="str">
        <f t="shared" si="208"/>
        <v>DELETE</v>
      </c>
      <c r="T2493" s="381"/>
    </row>
    <row r="2494" spans="2:20" ht="31.5" customHeight="1" x14ac:dyDescent="0.45">
      <c r="B2494" s="441"/>
      <c r="C2494" s="417"/>
      <c r="D2494" s="400">
        <f>TrialBalanceB!C30</f>
        <v>0</v>
      </c>
      <c r="J2494" s="292"/>
      <c r="K2494" s="292"/>
      <c r="L2494" s="405"/>
      <c r="M2494" s="421"/>
      <c r="N2494" s="292"/>
      <c r="O2494" s="373">
        <f>-TrialBalanceB!I30</f>
        <v>0</v>
      </c>
      <c r="P2494" s="295"/>
      <c r="Q2494" s="442"/>
      <c r="R2494" s="403" t="str">
        <f t="shared" si="208"/>
        <v>DELETE</v>
      </c>
      <c r="T2494" s="381"/>
    </row>
    <row r="2495" spans="2:20" ht="31.5" customHeight="1" x14ac:dyDescent="0.45">
      <c r="B2495" s="441"/>
      <c r="C2495" s="417"/>
      <c r="D2495" s="400">
        <f>TrialBalanceB!C31</f>
        <v>0</v>
      </c>
      <c r="J2495" s="292"/>
      <c r="K2495" s="292"/>
      <c r="L2495" s="405"/>
      <c r="M2495" s="421"/>
      <c r="N2495" s="292"/>
      <c r="O2495" s="373">
        <f>-TrialBalanceB!I31</f>
        <v>0</v>
      </c>
      <c r="P2495" s="295"/>
      <c r="Q2495" s="442"/>
      <c r="R2495" s="403" t="str">
        <f t="shared" si="208"/>
        <v>DELETE</v>
      </c>
      <c r="T2495" s="381"/>
    </row>
    <row r="2496" spans="2:20" ht="31.5" customHeight="1" x14ac:dyDescent="0.45">
      <c r="B2496" s="441"/>
      <c r="C2496" s="417"/>
      <c r="D2496" s="400">
        <f>TrialBalanceB!C32</f>
        <v>0</v>
      </c>
      <c r="J2496" s="292"/>
      <c r="K2496" s="292"/>
      <c r="L2496" s="405"/>
      <c r="M2496" s="421"/>
      <c r="N2496" s="292"/>
      <c r="O2496" s="373">
        <f>-TrialBalanceB!I32</f>
        <v>0</v>
      </c>
      <c r="P2496" s="295"/>
      <c r="Q2496" s="442"/>
      <c r="R2496" s="403" t="str">
        <f t="shared" si="208"/>
        <v>DELETE</v>
      </c>
      <c r="T2496" s="381"/>
    </row>
    <row r="2497" spans="2:22" ht="31.5" customHeight="1" x14ac:dyDescent="0.45">
      <c r="B2497" s="441"/>
      <c r="C2497" s="417"/>
      <c r="D2497" s="400" t="str">
        <f>TrialBalanceB!C33</f>
        <v>Recoupment of depreciation</v>
      </c>
      <c r="J2497" s="292"/>
      <c r="K2497" s="292"/>
      <c r="L2497" s="405"/>
      <c r="M2497" s="421"/>
      <c r="N2497" s="292"/>
      <c r="O2497" s="373">
        <f>-TrialBalanceB!I33</f>
        <v>0</v>
      </c>
      <c r="P2497" s="295"/>
      <c r="Q2497" s="442"/>
      <c r="R2497" s="403" t="str">
        <f t="shared" ref="R2497" si="209">IF(R$2457="DELETE","DELETE",IF(O2497=0,"DELETE"," "))</f>
        <v>DELETE</v>
      </c>
      <c r="T2497" s="381"/>
    </row>
    <row r="2498" spans="2:22" ht="9" customHeight="1" x14ac:dyDescent="0.45">
      <c r="B2498" s="441"/>
      <c r="C2498" s="417"/>
      <c r="J2498" s="292"/>
      <c r="K2498" s="292"/>
      <c r="L2498" s="405"/>
      <c r="M2498" s="421"/>
      <c r="N2498" s="292"/>
      <c r="O2498" s="374"/>
      <c r="P2498" s="295"/>
      <c r="Q2498" s="442"/>
      <c r="R2498" s="403" t="str">
        <f>R2489</f>
        <v>DELETE</v>
      </c>
      <c r="T2498" s="381"/>
    </row>
    <row r="2499" spans="2:22" ht="9" customHeight="1" x14ac:dyDescent="0.45">
      <c r="B2499" s="441"/>
      <c r="C2499" s="417"/>
      <c r="J2499" s="292"/>
      <c r="K2499" s="292"/>
      <c r="L2499" s="405"/>
      <c r="M2499" s="421"/>
      <c r="N2499" s="292"/>
      <c r="O2499" s="364"/>
      <c r="P2499" s="295"/>
      <c r="Q2499" s="442"/>
      <c r="R2499" s="403" t="str">
        <f>R2498</f>
        <v>DELETE</v>
      </c>
      <c r="T2499" s="381"/>
    </row>
    <row r="2500" spans="2:22" ht="9" customHeight="1" x14ac:dyDescent="0.45">
      <c r="B2500" s="441"/>
      <c r="C2500" s="417"/>
      <c r="J2500" s="292"/>
      <c r="K2500" s="292"/>
      <c r="L2500" s="405"/>
      <c r="M2500" s="421"/>
      <c r="N2500" s="292"/>
      <c r="O2500" s="347"/>
      <c r="P2500" s="295"/>
      <c r="Q2500" s="442"/>
      <c r="R2500" s="403" t="str">
        <f>R2499</f>
        <v>DELETE</v>
      </c>
      <c r="T2500" s="381"/>
    </row>
    <row r="2501" spans="2:22" ht="31.5" customHeight="1" x14ac:dyDescent="0.45">
      <c r="B2501" s="441"/>
      <c r="C2501" s="417"/>
      <c r="J2501" s="292"/>
      <c r="K2501" s="292"/>
      <c r="L2501" s="405"/>
      <c r="M2501" s="421"/>
      <c r="N2501" s="292"/>
      <c r="O2501" s="347">
        <f>SUM(S2469:S2489)</f>
        <v>0</v>
      </c>
      <c r="P2501" s="295"/>
      <c r="Q2501" s="442"/>
      <c r="R2501" s="403" t="str">
        <f>R2489</f>
        <v>DELETE</v>
      </c>
      <c r="T2501" s="381"/>
    </row>
    <row r="2502" spans="2:22" ht="31.5" customHeight="1" x14ac:dyDescent="0.45">
      <c r="B2502" s="441"/>
      <c r="C2502" s="417"/>
      <c r="J2502" s="292"/>
      <c r="K2502" s="292"/>
      <c r="L2502" s="405"/>
      <c r="M2502" s="421"/>
      <c r="N2502" s="292"/>
      <c r="O2502" s="347"/>
      <c r="P2502" s="295"/>
      <c r="Q2502" s="442"/>
      <c r="R2502" s="403" t="str">
        <f>R2501</f>
        <v>DELETE</v>
      </c>
      <c r="T2502" s="381"/>
    </row>
    <row r="2503" spans="2:22" ht="31.5" customHeight="1" x14ac:dyDescent="0.45">
      <c r="B2503" s="441"/>
      <c r="C2503" s="417" t="s">
        <v>996</v>
      </c>
      <c r="J2503" s="292"/>
      <c r="K2503" s="292"/>
      <c r="L2503" s="405"/>
      <c r="M2503" s="421"/>
      <c r="N2503" s="292"/>
      <c r="O2503" s="347">
        <f>SUM(O2505:O2533)</f>
        <v>0</v>
      </c>
      <c r="P2503" s="295"/>
      <c r="Q2503" s="442"/>
      <c r="R2503" s="403" t="str">
        <f t="shared" ref="R2503" si="210">IF(R$2457="DELETE","DELETE",IF(O2503=0,"DELETE"," "))</f>
        <v>DELETE</v>
      </c>
      <c r="S2503" s="380">
        <f>-O2503</f>
        <v>0</v>
      </c>
      <c r="T2503" s="381"/>
      <c r="U2503" s="380"/>
      <c r="V2503" s="380"/>
    </row>
    <row r="2504" spans="2:22" ht="9" customHeight="1" x14ac:dyDescent="0.45">
      <c r="B2504" s="441"/>
      <c r="C2504" s="417"/>
      <c r="J2504" s="292"/>
      <c r="K2504" s="292"/>
      <c r="L2504" s="405"/>
      <c r="M2504" s="421"/>
      <c r="N2504" s="292"/>
      <c r="O2504" s="347"/>
      <c r="P2504" s="295"/>
      <c r="Q2504" s="442"/>
      <c r="R2504" s="403" t="str">
        <f>R2503</f>
        <v>DELETE</v>
      </c>
      <c r="T2504" s="381"/>
    </row>
    <row r="2505" spans="2:22" ht="9" customHeight="1" x14ac:dyDescent="0.45">
      <c r="B2505" s="441"/>
      <c r="C2505" s="417"/>
      <c r="J2505" s="292"/>
      <c r="K2505" s="292"/>
      <c r="L2505" s="405"/>
      <c r="M2505" s="421"/>
      <c r="N2505" s="292"/>
      <c r="O2505" s="372"/>
      <c r="P2505" s="295"/>
      <c r="Q2505" s="442"/>
      <c r="R2505" s="403" t="str">
        <f>R2504</f>
        <v>DELETE</v>
      </c>
      <c r="T2505" s="381"/>
    </row>
    <row r="2506" spans="2:22" ht="31.5" customHeight="1" x14ac:dyDescent="0.45">
      <c r="B2506" s="441"/>
      <c r="C2506" s="417"/>
      <c r="D2506" s="400" t="s">
        <v>275</v>
      </c>
      <c r="J2506" s="292"/>
      <c r="K2506" s="292"/>
      <c r="L2506" s="405"/>
      <c r="M2506" s="421"/>
      <c r="N2506" s="292"/>
      <c r="O2506" s="373">
        <f>TrialBalanceB!I40</f>
        <v>0</v>
      </c>
      <c r="P2506" s="295"/>
      <c r="Q2506" s="442"/>
      <c r="R2506" s="403" t="str">
        <f t="shared" ref="R2506:R2532" si="211">IF(R$2457="DELETE","DELETE",IF(O2506=0,"DELETE"," "))</f>
        <v>DELETE</v>
      </c>
      <c r="T2506" s="381"/>
    </row>
    <row r="2507" spans="2:22" ht="31.5" customHeight="1" x14ac:dyDescent="0.45">
      <c r="B2507" s="441"/>
      <c r="C2507" s="417"/>
      <c r="D2507" s="400" t="s">
        <v>702</v>
      </c>
      <c r="J2507" s="292"/>
      <c r="K2507" s="292"/>
      <c r="L2507" s="405"/>
      <c r="M2507" s="421"/>
      <c r="N2507" s="292"/>
      <c r="O2507" s="373">
        <f>TrialBalanceB!I41</f>
        <v>0</v>
      </c>
      <c r="P2507" s="295"/>
      <c r="Q2507" s="442"/>
      <c r="R2507" s="403" t="str">
        <f t="shared" si="211"/>
        <v>DELETE</v>
      </c>
      <c r="T2507" s="381"/>
    </row>
    <row r="2508" spans="2:22" ht="31.5" customHeight="1" x14ac:dyDescent="0.45">
      <c r="B2508" s="441"/>
      <c r="C2508" s="417"/>
      <c r="D2508" s="400" t="s">
        <v>276</v>
      </c>
      <c r="J2508" s="292"/>
      <c r="K2508" s="292"/>
      <c r="L2508" s="405"/>
      <c r="M2508" s="421"/>
      <c r="N2508" s="292"/>
      <c r="O2508" s="373">
        <f>TrialBalanceB!I42</f>
        <v>0</v>
      </c>
      <c r="P2508" s="295"/>
      <c r="Q2508" s="442"/>
      <c r="R2508" s="403" t="str">
        <f t="shared" si="211"/>
        <v>DELETE</v>
      </c>
      <c r="T2508" s="381"/>
    </row>
    <row r="2509" spans="2:22" ht="31.5" customHeight="1" x14ac:dyDescent="0.45">
      <c r="B2509" s="441"/>
      <c r="C2509" s="417"/>
      <c r="D2509" s="400" t="s">
        <v>277</v>
      </c>
      <c r="J2509" s="292"/>
      <c r="K2509" s="292">
        <f>C$940</f>
        <v>5.2999999999999989</v>
      </c>
      <c r="L2509" s="405"/>
      <c r="M2509" s="421"/>
      <c r="N2509" s="292"/>
      <c r="O2509" s="373">
        <f>SUM(TrialBalanceB!I44:I46)</f>
        <v>0</v>
      </c>
      <c r="P2509" s="295"/>
      <c r="Q2509" s="442"/>
      <c r="R2509" s="403" t="str">
        <f t="shared" si="211"/>
        <v>DELETE</v>
      </c>
      <c r="T2509" s="381"/>
    </row>
    <row r="2510" spans="2:22" ht="31.5" customHeight="1" x14ac:dyDescent="0.45">
      <c r="B2510" s="441"/>
      <c r="C2510" s="417"/>
      <c r="D2510" s="400" t="s">
        <v>529</v>
      </c>
      <c r="J2510" s="292"/>
      <c r="K2510" s="292"/>
      <c r="L2510" s="405"/>
      <c r="M2510" s="421"/>
      <c r="N2510" s="292"/>
      <c r="O2510" s="373">
        <f>TrialBalanceB!I47</f>
        <v>0</v>
      </c>
      <c r="P2510" s="295"/>
      <c r="Q2510" s="442"/>
      <c r="R2510" s="403" t="str">
        <f t="shared" si="211"/>
        <v>DELETE</v>
      </c>
      <c r="S2510" s="383"/>
      <c r="T2510" s="381"/>
      <c r="U2510" s="383"/>
      <c r="V2510" s="383"/>
    </row>
    <row r="2511" spans="2:22" ht="31.5" customHeight="1" x14ac:dyDescent="0.45">
      <c r="B2511" s="441"/>
      <c r="C2511" s="417"/>
      <c r="D2511" s="400" t="s">
        <v>725</v>
      </c>
      <c r="J2511" s="292"/>
      <c r="K2511" s="292"/>
      <c r="L2511" s="405"/>
      <c r="M2511" s="421"/>
      <c r="N2511" s="292"/>
      <c r="O2511" s="373">
        <f>TrialBalanceB!I48</f>
        <v>0</v>
      </c>
      <c r="P2511" s="295"/>
      <c r="Q2511" s="442"/>
      <c r="R2511" s="403" t="str">
        <f t="shared" si="211"/>
        <v>DELETE</v>
      </c>
      <c r="T2511" s="381"/>
    </row>
    <row r="2512" spans="2:22" ht="31.5" customHeight="1" x14ac:dyDescent="0.45">
      <c r="B2512" s="441"/>
      <c r="C2512" s="417"/>
      <c r="D2512" s="400" t="s">
        <v>59</v>
      </c>
      <c r="J2512" s="292"/>
      <c r="K2512" s="292"/>
      <c r="L2512" s="405"/>
      <c r="M2512" s="421"/>
      <c r="N2512" s="292"/>
      <c r="O2512" s="373">
        <f>TrialBalanceB!I49</f>
        <v>0</v>
      </c>
      <c r="P2512" s="295"/>
      <c r="Q2512" s="442"/>
      <c r="R2512" s="403" t="str">
        <f t="shared" si="211"/>
        <v>DELETE</v>
      </c>
      <c r="T2512" s="381"/>
    </row>
    <row r="2513" spans="2:20" ht="31.5" customHeight="1" x14ac:dyDescent="0.45">
      <c r="B2513" s="441"/>
      <c r="C2513" s="417"/>
      <c r="D2513" s="400" t="s">
        <v>278</v>
      </c>
      <c r="J2513" s="292"/>
      <c r="K2513" s="292"/>
      <c r="L2513" s="405"/>
      <c r="M2513" s="421"/>
      <c r="N2513" s="292"/>
      <c r="O2513" s="373">
        <f>TrialBalanceB!I50</f>
        <v>0</v>
      </c>
      <c r="P2513" s="295"/>
      <c r="Q2513" s="442"/>
      <c r="R2513" s="403" t="str">
        <f t="shared" si="211"/>
        <v>DELETE</v>
      </c>
      <c r="T2513" s="381"/>
    </row>
    <row r="2514" spans="2:20" ht="31.5" customHeight="1" x14ac:dyDescent="0.45">
      <c r="B2514" s="441"/>
      <c r="C2514" s="417"/>
      <c r="D2514" s="400" t="s">
        <v>546</v>
      </c>
      <c r="J2514" s="292"/>
      <c r="K2514" s="292"/>
      <c r="L2514" s="405"/>
      <c r="M2514" s="421"/>
      <c r="N2514" s="292"/>
      <c r="O2514" s="373">
        <f>SUM(TrialBalanceB!I51:I52)</f>
        <v>0</v>
      </c>
      <c r="P2514" s="295"/>
      <c r="Q2514" s="442"/>
      <c r="R2514" s="403" t="str">
        <f t="shared" si="211"/>
        <v>DELETE</v>
      </c>
      <c r="T2514" s="381"/>
    </row>
    <row r="2515" spans="2:20" ht="31.5" customHeight="1" x14ac:dyDescent="0.45">
      <c r="B2515" s="441"/>
      <c r="C2515" s="417"/>
      <c r="D2515" s="400" t="s">
        <v>545</v>
      </c>
      <c r="J2515" s="292"/>
      <c r="K2515" s="292"/>
      <c r="L2515" s="405"/>
      <c r="M2515" s="421"/>
      <c r="N2515" s="292"/>
      <c r="O2515" s="373">
        <f>TrialBalanceB!I53</f>
        <v>0</v>
      </c>
      <c r="P2515" s="295"/>
      <c r="Q2515" s="442"/>
      <c r="R2515" s="403" t="str">
        <f t="shared" si="211"/>
        <v>DELETE</v>
      </c>
      <c r="T2515" s="381"/>
    </row>
    <row r="2516" spans="2:20" ht="31.5" customHeight="1" x14ac:dyDescent="0.45">
      <c r="B2516" s="441"/>
      <c r="C2516" s="417"/>
      <c r="D2516" s="400" t="s">
        <v>530</v>
      </c>
      <c r="J2516" s="292"/>
      <c r="K2516" s="292"/>
      <c r="L2516" s="405"/>
      <c r="M2516" s="421"/>
      <c r="N2516" s="292"/>
      <c r="O2516" s="373">
        <f>SUM(TrialBalanceB!I55:I59)</f>
        <v>0</v>
      </c>
      <c r="P2516" s="295"/>
      <c r="Q2516" s="442"/>
      <c r="R2516" s="403" t="str">
        <f t="shared" si="211"/>
        <v>DELETE</v>
      </c>
      <c r="T2516" s="381"/>
    </row>
    <row r="2517" spans="2:20" ht="31.5" customHeight="1" x14ac:dyDescent="0.45">
      <c r="B2517" s="441"/>
      <c r="C2517" s="417"/>
      <c r="D2517" s="400" t="s">
        <v>512</v>
      </c>
      <c r="J2517" s="292"/>
      <c r="K2517" s="292">
        <f>'FS2'!C$908</f>
        <v>5.1999999999999993</v>
      </c>
      <c r="L2517" s="405"/>
      <c r="M2517" s="421"/>
      <c r="N2517" s="292"/>
      <c r="O2517" s="373">
        <f>SUM(TrialBalanceB!I61:I63)</f>
        <v>0</v>
      </c>
      <c r="P2517" s="295"/>
      <c r="Q2517" s="442"/>
      <c r="R2517" s="403" t="str">
        <f t="shared" si="211"/>
        <v>DELETE</v>
      </c>
      <c r="T2517" s="381"/>
    </row>
    <row r="2518" spans="2:20" ht="31.5" customHeight="1" x14ac:dyDescent="0.45">
      <c r="B2518" s="441"/>
      <c r="C2518" s="417"/>
      <c r="D2518" s="400" t="s">
        <v>62</v>
      </c>
      <c r="J2518" s="292"/>
      <c r="K2518" s="292"/>
      <c r="L2518" s="405"/>
      <c r="M2518" s="421"/>
      <c r="N2518" s="292"/>
      <c r="O2518" s="373">
        <f>TrialBalanceB!I64</f>
        <v>0</v>
      </c>
      <c r="P2518" s="295"/>
      <c r="Q2518" s="442"/>
      <c r="R2518" s="403" t="str">
        <f t="shared" si="211"/>
        <v>DELETE</v>
      </c>
      <c r="T2518" s="381"/>
    </row>
    <row r="2519" spans="2:20" ht="31.5" customHeight="1" x14ac:dyDescent="0.45">
      <c r="B2519" s="441"/>
      <c r="C2519" s="417"/>
      <c r="D2519" s="400" t="s">
        <v>253</v>
      </c>
      <c r="J2519" s="292"/>
      <c r="K2519" s="292"/>
      <c r="L2519" s="405"/>
      <c r="M2519" s="421"/>
      <c r="N2519" s="292"/>
      <c r="O2519" s="373">
        <f>SUM(TrialBalanceB!I65:I67)</f>
        <v>0</v>
      </c>
      <c r="P2519" s="295"/>
      <c r="Q2519" s="442"/>
      <c r="R2519" s="403" t="str">
        <f t="shared" si="211"/>
        <v>DELETE</v>
      </c>
      <c r="T2519" s="381"/>
    </row>
    <row r="2520" spans="2:20" ht="31.5" customHeight="1" x14ac:dyDescent="0.45">
      <c r="B2520" s="441"/>
      <c r="C2520" s="417"/>
      <c r="D2520" s="400" t="s">
        <v>726</v>
      </c>
      <c r="J2520" s="292"/>
      <c r="K2520" s="292"/>
      <c r="L2520" s="405"/>
      <c r="M2520" s="421"/>
      <c r="N2520" s="292"/>
      <c r="O2520" s="373">
        <f>SUM(TrialBalanceB!I68:I69)</f>
        <v>0</v>
      </c>
      <c r="P2520" s="295"/>
      <c r="Q2520" s="442"/>
      <c r="R2520" s="403" t="str">
        <f t="shared" si="211"/>
        <v>DELETE</v>
      </c>
      <c r="T2520" s="381"/>
    </row>
    <row r="2521" spans="2:20" ht="31.5" customHeight="1" x14ac:dyDescent="0.45">
      <c r="B2521" s="441"/>
      <c r="C2521" s="417"/>
      <c r="D2521" s="400" t="s">
        <v>254</v>
      </c>
      <c r="J2521" s="292"/>
      <c r="K2521" s="292"/>
      <c r="L2521" s="405"/>
      <c r="M2521" s="421"/>
      <c r="N2521" s="292"/>
      <c r="O2521" s="373">
        <f>TrialBalanceB!I70</f>
        <v>0</v>
      </c>
      <c r="P2521" s="295"/>
      <c r="Q2521" s="442"/>
      <c r="R2521" s="403" t="str">
        <f t="shared" si="211"/>
        <v>DELETE</v>
      </c>
      <c r="T2521" s="381"/>
    </row>
    <row r="2522" spans="2:20" ht="31.5" customHeight="1" x14ac:dyDescent="0.45">
      <c r="B2522" s="441"/>
      <c r="C2522" s="417"/>
      <c r="D2522" s="400" t="s">
        <v>387</v>
      </c>
      <c r="J2522" s="292"/>
      <c r="K2522" s="292"/>
      <c r="L2522" s="405"/>
      <c r="M2522" s="421"/>
      <c r="N2522" s="292"/>
      <c r="O2522" s="373">
        <f>TrialBalanceB!I71</f>
        <v>0</v>
      </c>
      <c r="P2522" s="295"/>
      <c r="Q2522" s="442"/>
      <c r="R2522" s="403" t="str">
        <f t="shared" si="211"/>
        <v>DELETE</v>
      </c>
      <c r="T2522" s="381"/>
    </row>
    <row r="2523" spans="2:20" ht="31.5" customHeight="1" x14ac:dyDescent="0.45">
      <c r="B2523" s="441"/>
      <c r="C2523" s="417"/>
      <c r="D2523" s="400">
        <f>TrialBalanceB!C72</f>
        <v>0</v>
      </c>
      <c r="J2523" s="292"/>
      <c r="K2523" s="292"/>
      <c r="L2523" s="405"/>
      <c r="M2523" s="421"/>
      <c r="N2523" s="292"/>
      <c r="O2523" s="373">
        <f>TrialBalanceB!I72</f>
        <v>0</v>
      </c>
      <c r="P2523" s="295"/>
      <c r="Q2523" s="442"/>
      <c r="R2523" s="403" t="str">
        <f t="shared" si="211"/>
        <v>DELETE</v>
      </c>
      <c r="T2523" s="381"/>
    </row>
    <row r="2524" spans="2:20" ht="31.5" customHeight="1" x14ac:dyDescent="0.45">
      <c r="B2524" s="441"/>
      <c r="C2524" s="417"/>
      <c r="D2524" s="400">
        <f>TrialBalanceB!C73</f>
        <v>0</v>
      </c>
      <c r="J2524" s="292"/>
      <c r="K2524" s="292"/>
      <c r="L2524" s="405"/>
      <c r="M2524" s="421"/>
      <c r="N2524" s="292"/>
      <c r="O2524" s="373">
        <f>TrialBalanceB!I73</f>
        <v>0</v>
      </c>
      <c r="P2524" s="295"/>
      <c r="Q2524" s="442"/>
      <c r="R2524" s="403" t="str">
        <f t="shared" si="211"/>
        <v>DELETE</v>
      </c>
      <c r="T2524" s="381"/>
    </row>
    <row r="2525" spans="2:20" ht="31.5" customHeight="1" x14ac:dyDescent="0.45">
      <c r="B2525" s="441"/>
      <c r="C2525" s="417"/>
      <c r="D2525" s="400">
        <f>TrialBalanceB!C74</f>
        <v>0</v>
      </c>
      <c r="J2525" s="292"/>
      <c r="K2525" s="292"/>
      <c r="L2525" s="405"/>
      <c r="M2525" s="421"/>
      <c r="N2525" s="292"/>
      <c r="O2525" s="373">
        <f>TrialBalanceB!I74</f>
        <v>0</v>
      </c>
      <c r="P2525" s="295"/>
      <c r="Q2525" s="442"/>
      <c r="R2525" s="403" t="str">
        <f t="shared" si="211"/>
        <v>DELETE</v>
      </c>
      <c r="T2525" s="381"/>
    </row>
    <row r="2526" spans="2:20" ht="31.5" customHeight="1" x14ac:dyDescent="0.45">
      <c r="B2526" s="441"/>
      <c r="C2526" s="417"/>
      <c r="D2526" s="400">
        <f>TrialBalanceB!C75</f>
        <v>0</v>
      </c>
      <c r="J2526" s="292"/>
      <c r="K2526" s="292"/>
      <c r="L2526" s="405"/>
      <c r="M2526" s="421"/>
      <c r="N2526" s="292"/>
      <c r="O2526" s="373">
        <f>TrialBalanceB!I75</f>
        <v>0</v>
      </c>
      <c r="P2526" s="295"/>
      <c r="Q2526" s="442"/>
      <c r="R2526" s="403" t="str">
        <f t="shared" si="211"/>
        <v>DELETE</v>
      </c>
      <c r="T2526" s="381"/>
    </row>
    <row r="2527" spans="2:20" ht="31.5" customHeight="1" x14ac:dyDescent="0.45">
      <c r="B2527" s="441"/>
      <c r="C2527" s="417"/>
      <c r="D2527" s="400">
        <f>TrialBalanceB!C76</f>
        <v>0</v>
      </c>
      <c r="J2527" s="292"/>
      <c r="K2527" s="292"/>
      <c r="L2527" s="405"/>
      <c r="M2527" s="421"/>
      <c r="N2527" s="292"/>
      <c r="O2527" s="373">
        <f>TrialBalanceB!I76</f>
        <v>0</v>
      </c>
      <c r="P2527" s="295"/>
      <c r="Q2527" s="442"/>
      <c r="R2527" s="403" t="str">
        <f t="shared" si="211"/>
        <v>DELETE</v>
      </c>
      <c r="T2527" s="381"/>
    </row>
    <row r="2528" spans="2:20" ht="31.5" customHeight="1" x14ac:dyDescent="0.45">
      <c r="B2528" s="441"/>
      <c r="C2528" s="417"/>
      <c r="D2528" s="400">
        <f>TrialBalanceB!C77</f>
        <v>0</v>
      </c>
      <c r="J2528" s="292"/>
      <c r="K2528" s="292"/>
      <c r="L2528" s="405"/>
      <c r="M2528" s="421"/>
      <c r="N2528" s="292"/>
      <c r="O2528" s="373">
        <f>TrialBalanceB!I77</f>
        <v>0</v>
      </c>
      <c r="P2528" s="295"/>
      <c r="Q2528" s="442"/>
      <c r="R2528" s="403" t="str">
        <f t="shared" si="211"/>
        <v>DELETE</v>
      </c>
      <c r="T2528" s="381"/>
    </row>
    <row r="2529" spans="2:20" ht="31.5" customHeight="1" x14ac:dyDescent="0.45">
      <c r="B2529" s="441"/>
      <c r="C2529" s="417"/>
      <c r="D2529" s="400">
        <f>TrialBalanceB!C78</f>
        <v>0</v>
      </c>
      <c r="J2529" s="292"/>
      <c r="K2529" s="292"/>
      <c r="L2529" s="405"/>
      <c r="M2529" s="421"/>
      <c r="N2529" s="292"/>
      <c r="O2529" s="373">
        <f>TrialBalanceB!I78</f>
        <v>0</v>
      </c>
      <c r="P2529" s="295"/>
      <c r="Q2529" s="442"/>
      <c r="R2529" s="403" t="str">
        <f t="shared" si="211"/>
        <v>DELETE</v>
      </c>
      <c r="T2529" s="381"/>
    </row>
    <row r="2530" spans="2:20" ht="31.5" customHeight="1" x14ac:dyDescent="0.45">
      <c r="B2530" s="441"/>
      <c r="C2530" s="417"/>
      <c r="D2530" s="400">
        <f>TrialBalanceB!C79</f>
        <v>0</v>
      </c>
      <c r="J2530" s="292"/>
      <c r="K2530" s="292"/>
      <c r="L2530" s="405"/>
      <c r="M2530" s="421"/>
      <c r="N2530" s="292"/>
      <c r="O2530" s="373">
        <f>TrialBalanceB!I79</f>
        <v>0</v>
      </c>
      <c r="P2530" s="295"/>
      <c r="Q2530" s="442"/>
      <c r="R2530" s="403" t="str">
        <f t="shared" si="211"/>
        <v>DELETE</v>
      </c>
      <c r="T2530" s="381"/>
    </row>
    <row r="2531" spans="2:20" ht="31.5" customHeight="1" x14ac:dyDescent="0.45">
      <c r="B2531" s="441"/>
      <c r="C2531" s="417"/>
      <c r="D2531" s="400">
        <f>TrialBalanceB!C80</f>
        <v>0</v>
      </c>
      <c r="J2531" s="292"/>
      <c r="K2531" s="292"/>
      <c r="L2531" s="405"/>
      <c r="M2531" s="421"/>
      <c r="N2531" s="292"/>
      <c r="O2531" s="373">
        <f>TrialBalanceB!I80</f>
        <v>0</v>
      </c>
      <c r="P2531" s="295"/>
      <c r="Q2531" s="442"/>
      <c r="R2531" s="403" t="str">
        <f t="shared" si="211"/>
        <v>DELETE</v>
      </c>
      <c r="T2531" s="381"/>
    </row>
    <row r="2532" spans="2:20" ht="31.5" customHeight="1" x14ac:dyDescent="0.45">
      <c r="B2532" s="441"/>
      <c r="C2532" s="417"/>
      <c r="D2532" s="400">
        <f>TrialBalanceB!C81</f>
        <v>0</v>
      </c>
      <c r="J2532" s="292"/>
      <c r="K2532" s="292"/>
      <c r="L2532" s="405"/>
      <c r="M2532" s="421"/>
      <c r="N2532" s="292"/>
      <c r="O2532" s="373">
        <f>TrialBalanceB!I81</f>
        <v>0</v>
      </c>
      <c r="P2532" s="295"/>
      <c r="Q2532" s="442"/>
      <c r="R2532" s="403" t="str">
        <f t="shared" si="211"/>
        <v>DELETE</v>
      </c>
      <c r="T2532" s="381"/>
    </row>
    <row r="2533" spans="2:20" ht="9" customHeight="1" x14ac:dyDescent="0.45">
      <c r="B2533" s="441"/>
      <c r="C2533" s="417"/>
      <c r="J2533" s="292"/>
      <c r="K2533" s="292"/>
      <c r="L2533" s="405"/>
      <c r="M2533" s="421"/>
      <c r="N2533" s="292"/>
      <c r="O2533" s="374"/>
      <c r="P2533" s="295"/>
      <c r="Q2533" s="442"/>
      <c r="R2533" s="403" t="str">
        <f>R2503</f>
        <v>DELETE</v>
      </c>
      <c r="T2533" s="381"/>
    </row>
    <row r="2534" spans="2:20" ht="9" customHeight="1" x14ac:dyDescent="0.45">
      <c r="B2534" s="441"/>
      <c r="C2534" s="417"/>
      <c r="J2534" s="292"/>
      <c r="K2534" s="292"/>
      <c r="L2534" s="405"/>
      <c r="M2534" s="421"/>
      <c r="N2534" s="292"/>
      <c r="O2534" s="349"/>
      <c r="P2534" s="295"/>
      <c r="Q2534" s="442"/>
      <c r="R2534" s="403" t="str">
        <f t="shared" ref="R2534:R2554" si="212">R$2457</f>
        <v>DELETE</v>
      </c>
      <c r="T2534" s="381"/>
    </row>
    <row r="2535" spans="2:20" ht="9" customHeight="1" x14ac:dyDescent="0.45">
      <c r="B2535" s="441"/>
      <c r="C2535" s="417"/>
      <c r="J2535" s="292"/>
      <c r="K2535" s="292"/>
      <c r="L2535" s="405"/>
      <c r="M2535" s="421"/>
      <c r="N2535" s="292"/>
      <c r="O2535" s="347"/>
      <c r="P2535" s="295"/>
      <c r="Q2535" s="442"/>
      <c r="R2535" s="403" t="str">
        <f t="shared" si="212"/>
        <v>DELETE</v>
      </c>
      <c r="T2535" s="381"/>
    </row>
    <row r="2536" spans="2:20" ht="31.5" customHeight="1" x14ac:dyDescent="0.45">
      <c r="B2536" s="441"/>
      <c r="C2536" s="315" t="str">
        <f>IF(O2536&lt;0,"OPERATING LOSS","OPERATING PROFIT")</f>
        <v>OPERATING PROFIT</v>
      </c>
      <c r="J2536" s="292"/>
      <c r="K2536" s="292"/>
      <c r="L2536" s="405"/>
      <c r="M2536" s="421"/>
      <c r="N2536" s="292"/>
      <c r="O2536" s="347">
        <f>SUM(S2469:S2534)</f>
        <v>0</v>
      </c>
      <c r="P2536" s="295"/>
      <c r="Q2536" s="442"/>
      <c r="R2536" s="403" t="str">
        <f t="shared" si="212"/>
        <v>DELETE</v>
      </c>
      <c r="T2536" s="381"/>
    </row>
    <row r="2537" spans="2:20" ht="31.5" customHeight="1" x14ac:dyDescent="0.45">
      <c r="B2537" s="441"/>
      <c r="C2537" s="417"/>
      <c r="D2537" s="400" t="s">
        <v>256</v>
      </c>
      <c r="J2537" s="292"/>
      <c r="K2537" s="292"/>
      <c r="L2537" s="405"/>
      <c r="M2537" s="421"/>
      <c r="N2537" s="292"/>
      <c r="O2537" s="347"/>
      <c r="P2537" s="295"/>
      <c r="Q2537" s="442"/>
      <c r="R2537" s="403" t="str">
        <f t="shared" si="212"/>
        <v>DELETE</v>
      </c>
      <c r="T2537" s="381"/>
    </row>
    <row r="2538" spans="2:20" ht="31.5" customHeight="1" x14ac:dyDescent="0.45">
      <c r="B2538" s="441"/>
      <c r="C2538" s="417"/>
      <c r="J2538" s="292"/>
      <c r="K2538" s="292"/>
      <c r="L2538" s="405"/>
      <c r="M2538" s="421"/>
      <c r="N2538" s="292"/>
      <c r="O2538" s="347"/>
      <c r="P2538" s="295"/>
      <c r="Q2538" s="442"/>
      <c r="R2538" s="403" t="str">
        <f t="shared" si="212"/>
        <v>DELETE</v>
      </c>
      <c r="T2538" s="381"/>
    </row>
    <row r="2539" spans="2:20" ht="31.5" customHeight="1" x14ac:dyDescent="0.45">
      <c r="B2539" s="441"/>
      <c r="C2539" s="417"/>
      <c r="J2539" s="292"/>
      <c r="K2539" s="292"/>
      <c r="L2539" s="292"/>
      <c r="M2539" s="347"/>
      <c r="N2539" s="298"/>
      <c r="O2539" s="347"/>
      <c r="P2539" s="295"/>
      <c r="Q2539" s="442"/>
      <c r="R2539" s="403" t="str">
        <f t="shared" si="212"/>
        <v>DELETE</v>
      </c>
      <c r="T2539" s="381"/>
    </row>
    <row r="2540" spans="2:20" ht="31.5" customHeight="1" x14ac:dyDescent="0.45">
      <c r="B2540" s="445"/>
      <c r="C2540" s="465"/>
      <c r="D2540" s="429"/>
      <c r="E2540" s="429"/>
      <c r="F2540" s="429"/>
      <c r="G2540" s="429"/>
      <c r="H2540" s="429"/>
      <c r="I2540" s="429"/>
      <c r="J2540" s="306"/>
      <c r="K2540" s="306"/>
      <c r="L2540" s="306"/>
      <c r="M2540" s="349"/>
      <c r="N2540" s="300"/>
      <c r="O2540" s="349"/>
      <c r="P2540" s="307"/>
      <c r="Q2540" s="446"/>
      <c r="R2540" s="403" t="str">
        <f t="shared" si="212"/>
        <v>DELETE</v>
      </c>
      <c r="T2540" s="381"/>
    </row>
    <row r="2541" spans="2:20" ht="31.5" customHeight="1" x14ac:dyDescent="0.45">
      <c r="C2541" s="417"/>
      <c r="J2541" s="292"/>
      <c r="K2541" s="292"/>
      <c r="L2541" s="292"/>
      <c r="M2541" s="347"/>
      <c r="N2541" s="298"/>
      <c r="O2541" s="347"/>
      <c r="P2541" s="295"/>
      <c r="R2541" s="403" t="str">
        <f t="shared" si="212"/>
        <v>DELETE</v>
      </c>
      <c r="T2541" s="381"/>
    </row>
    <row r="2542" spans="2:20" ht="31.5" customHeight="1" x14ac:dyDescent="0.45">
      <c r="C2542" s="417"/>
      <c r="J2542" s="292"/>
      <c r="K2542" s="292"/>
      <c r="L2542" s="292"/>
      <c r="M2542" s="347"/>
      <c r="N2542" s="298"/>
      <c r="O2542" s="347"/>
      <c r="P2542" s="295"/>
      <c r="R2542" s="403" t="str">
        <f t="shared" si="212"/>
        <v>DELETE</v>
      </c>
      <c r="T2542" s="381"/>
    </row>
    <row r="2543" spans="2:20" ht="31.5" customHeight="1" x14ac:dyDescent="0.45">
      <c r="C2543" s="417"/>
      <c r="D2543" s="417" t="str">
        <f>Criteria!E15</f>
        <v>SUBSIDIARY TWO 15 (PTY) LTD</v>
      </c>
      <c r="J2543" s="292"/>
      <c r="K2543" s="292"/>
      <c r="L2543" s="292"/>
      <c r="M2543" s="347"/>
      <c r="N2543" s="298"/>
      <c r="O2543" s="347" t="s">
        <v>96</v>
      </c>
      <c r="P2543" s="295"/>
      <c r="Q2543" s="292">
        <f>MAX($Q$2460:Q2542)+1</f>
        <v>2</v>
      </c>
      <c r="R2543" s="403" t="str">
        <f t="shared" si="212"/>
        <v>DELETE</v>
      </c>
      <c r="T2543" s="381"/>
    </row>
    <row r="2544" spans="2:20" ht="31.5" customHeight="1" x14ac:dyDescent="0.45">
      <c r="C2544" s="417"/>
      <c r="D2544" s="405"/>
      <c r="J2544" s="292"/>
      <c r="K2544" s="292"/>
      <c r="L2544" s="292"/>
      <c r="M2544" s="347"/>
      <c r="N2544" s="298"/>
      <c r="O2544" s="347"/>
      <c r="P2544" s="295"/>
      <c r="R2544" s="403" t="str">
        <f t="shared" si="212"/>
        <v>DELETE</v>
      </c>
      <c r="T2544" s="381"/>
    </row>
    <row r="2545" spans="2:22" ht="31.5" customHeight="1" x14ac:dyDescent="0.45">
      <c r="C2545" s="417"/>
      <c r="J2545" s="292"/>
      <c r="K2545" s="292"/>
      <c r="L2545" s="292"/>
      <c r="M2545" s="347"/>
      <c r="N2545" s="298"/>
      <c r="O2545" s="347"/>
      <c r="P2545" s="295"/>
      <c r="R2545" s="403" t="str">
        <f t="shared" si="212"/>
        <v>DELETE</v>
      </c>
      <c r="T2545" s="381"/>
    </row>
    <row r="2546" spans="2:22" ht="31.5" customHeight="1" x14ac:dyDescent="0.45">
      <c r="C2546" s="417"/>
      <c r="D2546" s="417" t="s">
        <v>91</v>
      </c>
      <c r="J2546" s="292"/>
      <c r="K2546" s="292"/>
      <c r="L2546" s="292"/>
      <c r="M2546" s="347"/>
      <c r="N2546" s="298"/>
      <c r="O2546" s="347"/>
      <c r="P2546" s="295"/>
      <c r="R2546" s="403" t="str">
        <f t="shared" si="212"/>
        <v>DELETE</v>
      </c>
      <c r="T2546" s="381"/>
    </row>
    <row r="2547" spans="2:22" ht="31.5" customHeight="1" x14ac:dyDescent="0.45">
      <c r="C2547" s="417"/>
      <c r="D2547" s="417" t="str">
        <f>D2464</f>
        <v>29 FEBRUARY 2024</v>
      </c>
      <c r="H2547" s="400" t="s">
        <v>102</v>
      </c>
      <c r="J2547" s="292"/>
      <c r="K2547" s="292"/>
      <c r="L2547" s="292"/>
      <c r="M2547" s="347"/>
      <c r="N2547" s="298"/>
      <c r="O2547" s="347"/>
      <c r="P2547" s="295"/>
      <c r="R2547" s="403" t="str">
        <f t="shared" si="212"/>
        <v>DELETE</v>
      </c>
      <c r="T2547" s="381"/>
    </row>
    <row r="2548" spans="2:22" ht="31.5" customHeight="1" x14ac:dyDescent="0.45">
      <c r="C2548" s="417"/>
      <c r="J2548" s="292"/>
      <c r="K2548" s="306"/>
      <c r="L2548" s="306"/>
      <c r="M2548" s="349"/>
      <c r="N2548" s="300"/>
      <c r="O2548" s="349"/>
      <c r="P2548" s="295"/>
      <c r="R2548" s="403" t="str">
        <f t="shared" si="212"/>
        <v>DELETE</v>
      </c>
      <c r="T2548" s="381"/>
    </row>
    <row r="2549" spans="2:22" ht="31.5" customHeight="1" x14ac:dyDescent="0.45">
      <c r="B2549" s="438"/>
      <c r="C2549" s="458"/>
      <c r="D2549" s="439"/>
      <c r="E2549" s="439"/>
      <c r="F2549" s="439"/>
      <c r="G2549" s="439"/>
      <c r="H2549" s="439"/>
      <c r="I2549" s="439"/>
      <c r="J2549" s="320"/>
      <c r="M2549" s="426"/>
      <c r="N2549" s="406"/>
      <c r="O2549" s="426"/>
      <c r="P2549" s="319"/>
      <c r="Q2549" s="440"/>
      <c r="R2549" s="403" t="str">
        <f t="shared" si="212"/>
        <v>DELETE</v>
      </c>
      <c r="T2549" s="381"/>
    </row>
    <row r="2550" spans="2:22" ht="31.5" customHeight="1" x14ac:dyDescent="0.45">
      <c r="B2550" s="441"/>
      <c r="C2550" s="417"/>
      <c r="J2550" s="292"/>
      <c r="K2550" s="292"/>
      <c r="L2550" s="405"/>
      <c r="M2550" s="421"/>
      <c r="N2550" s="292"/>
      <c r="O2550" s="344">
        <f>Criteria!E22</f>
        <v>2024</v>
      </c>
      <c r="P2550" s="295"/>
      <c r="Q2550" s="442"/>
      <c r="R2550" s="403" t="str">
        <f t="shared" si="212"/>
        <v>DELETE</v>
      </c>
      <c r="T2550" s="381"/>
    </row>
    <row r="2551" spans="2:22" ht="31.5" customHeight="1" x14ac:dyDescent="0.45">
      <c r="B2551" s="441"/>
      <c r="C2551" s="417"/>
      <c r="J2551" s="292"/>
      <c r="K2551" s="292"/>
      <c r="L2551" s="405"/>
      <c r="M2551" s="421"/>
      <c r="N2551" s="292"/>
      <c r="O2551" s="347"/>
      <c r="P2551" s="295"/>
      <c r="Q2551" s="442"/>
      <c r="R2551" s="403" t="str">
        <f t="shared" si="212"/>
        <v>DELETE</v>
      </c>
      <c r="T2551" s="381"/>
    </row>
    <row r="2552" spans="2:22" ht="31.5" customHeight="1" x14ac:dyDescent="0.45">
      <c r="B2552" s="441"/>
      <c r="C2552" s="315" t="str">
        <f>IF(O2552&lt;0,"OPERATING LOSS","OPERATING PROFIT")</f>
        <v>OPERATING PROFIT</v>
      </c>
      <c r="J2552" s="292"/>
      <c r="K2552" s="292"/>
      <c r="L2552" s="405"/>
      <c r="M2552" s="421"/>
      <c r="N2552" s="292"/>
      <c r="O2552" s="347">
        <f>SUM(S2469:S2533)</f>
        <v>0</v>
      </c>
      <c r="P2552" s="295"/>
      <c r="Q2552" s="442"/>
      <c r="R2552" s="403" t="str">
        <f t="shared" si="212"/>
        <v>DELETE</v>
      </c>
      <c r="T2552" s="381"/>
      <c r="U2552" s="378" t="b">
        <f>O2552=O2536</f>
        <v>1</v>
      </c>
    </row>
    <row r="2553" spans="2:22" ht="31.5" customHeight="1" x14ac:dyDescent="0.45">
      <c r="B2553" s="441"/>
      <c r="C2553" s="417"/>
      <c r="D2553" s="400" t="s">
        <v>257</v>
      </c>
      <c r="J2553" s="292"/>
      <c r="K2553" s="292"/>
      <c r="L2553" s="405"/>
      <c r="M2553" s="421"/>
      <c r="N2553" s="292"/>
      <c r="O2553" s="347"/>
      <c r="P2553" s="295"/>
      <c r="Q2553" s="442"/>
      <c r="R2553" s="403" t="str">
        <f t="shared" si="212"/>
        <v>DELETE</v>
      </c>
      <c r="T2553" s="381"/>
    </row>
    <row r="2554" spans="2:22" ht="31.5" customHeight="1" x14ac:dyDescent="0.45">
      <c r="B2554" s="441"/>
      <c r="C2554" s="417"/>
      <c r="J2554" s="292"/>
      <c r="K2554" s="292"/>
      <c r="L2554" s="405"/>
      <c r="M2554" s="421"/>
      <c r="N2554" s="292"/>
      <c r="O2554" s="347"/>
      <c r="P2554" s="295"/>
      <c r="Q2554" s="442"/>
      <c r="R2554" s="403" t="str">
        <f t="shared" si="212"/>
        <v>DELETE</v>
      </c>
      <c r="T2554" s="381"/>
    </row>
    <row r="2555" spans="2:22" ht="31.5" customHeight="1" x14ac:dyDescent="0.45">
      <c r="B2555" s="441"/>
      <c r="C2555" s="417" t="s">
        <v>906</v>
      </c>
      <c r="J2555" s="292"/>
      <c r="K2555" s="292"/>
      <c r="L2555" s="405"/>
      <c r="M2555" s="421"/>
      <c r="N2555" s="292"/>
      <c r="O2555" s="347">
        <f>SUM(O2558:O2591)</f>
        <v>0</v>
      </c>
      <c r="P2555" s="295"/>
      <c r="Q2555" s="442"/>
      <c r="R2555" s="403" t="str">
        <f t="shared" ref="R2555" si="213">IF(R$2457="DELETE","DELETE",IF(O2555=0,"DELETE"," "))</f>
        <v>DELETE</v>
      </c>
      <c r="S2555" s="380">
        <f>-O2555</f>
        <v>0</v>
      </c>
      <c r="T2555" s="381"/>
      <c r="U2555" s="380"/>
      <c r="V2555" s="380"/>
    </row>
    <row r="2556" spans="2:22" ht="9" customHeight="1" x14ac:dyDescent="0.45">
      <c r="B2556" s="441"/>
      <c r="C2556" s="417"/>
      <c r="J2556" s="292"/>
      <c r="K2556" s="292"/>
      <c r="L2556" s="405"/>
      <c r="M2556" s="421"/>
      <c r="N2556" s="292"/>
      <c r="O2556" s="347"/>
      <c r="P2556" s="295"/>
      <c r="Q2556" s="442"/>
      <c r="R2556" s="403" t="str">
        <f>R2555</f>
        <v>DELETE</v>
      </c>
      <c r="T2556" s="381"/>
    </row>
    <row r="2557" spans="2:22" ht="9" customHeight="1" x14ac:dyDescent="0.45">
      <c r="B2557" s="441"/>
      <c r="C2557" s="417"/>
      <c r="J2557" s="292"/>
      <c r="K2557" s="292"/>
      <c r="L2557" s="405"/>
      <c r="M2557" s="421"/>
      <c r="N2557" s="292"/>
      <c r="O2557" s="372"/>
      <c r="P2557" s="295"/>
      <c r="Q2557" s="442"/>
      <c r="R2557" s="403" t="str">
        <f>R2556</f>
        <v>DELETE</v>
      </c>
      <c r="T2557" s="381"/>
    </row>
    <row r="2558" spans="2:22" ht="31.5" customHeight="1" x14ac:dyDescent="0.45">
      <c r="B2558" s="441"/>
      <c r="C2558" s="417"/>
      <c r="D2558" s="400" t="s">
        <v>215</v>
      </c>
      <c r="J2558" s="292"/>
      <c r="K2558" s="292"/>
      <c r="L2558" s="405"/>
      <c r="M2558" s="421"/>
      <c r="N2558" s="292"/>
      <c r="O2558" s="373">
        <f>SUM(TrialBalanceB!I98:I101)</f>
        <v>0</v>
      </c>
      <c r="P2558" s="295"/>
      <c r="Q2558" s="442"/>
      <c r="R2558" s="403" t="str">
        <f t="shared" ref="R2558:R2589" si="214">IF(R$2457="DELETE","DELETE",IF(O2558=0,"DELETE"," "))</f>
        <v>DELETE</v>
      </c>
      <c r="T2558" s="381"/>
    </row>
    <row r="2559" spans="2:22" ht="31.5" customHeight="1" x14ac:dyDescent="0.45">
      <c r="B2559" s="441"/>
      <c r="C2559" s="417"/>
      <c r="D2559" s="400" t="s">
        <v>217</v>
      </c>
      <c r="J2559" s="292"/>
      <c r="K2559" s="292"/>
      <c r="L2559" s="405"/>
      <c r="M2559" s="421"/>
      <c r="N2559" s="292"/>
      <c r="O2559" s="373">
        <f>TrialBalanceB!I102</f>
        <v>0</v>
      </c>
      <c r="P2559" s="295"/>
      <c r="Q2559" s="442"/>
      <c r="R2559" s="403" t="str">
        <f t="shared" si="214"/>
        <v>DELETE</v>
      </c>
      <c r="T2559" s="381"/>
    </row>
    <row r="2560" spans="2:22" ht="31.5" customHeight="1" x14ac:dyDescent="0.45">
      <c r="B2560" s="441"/>
      <c r="C2560" s="417"/>
      <c r="D2560" s="400" t="s">
        <v>219</v>
      </c>
      <c r="J2560" s="292"/>
      <c r="K2560" s="292"/>
      <c r="L2560" s="405"/>
      <c r="M2560" s="421"/>
      <c r="N2560" s="292"/>
      <c r="O2560" s="373">
        <f>TrialBalanceB!I103</f>
        <v>0</v>
      </c>
      <c r="P2560" s="295"/>
      <c r="Q2560" s="442"/>
      <c r="R2560" s="403" t="str">
        <f t="shared" si="214"/>
        <v>DELETE</v>
      </c>
      <c r="T2560" s="381"/>
    </row>
    <row r="2561" spans="2:20" ht="31.5" customHeight="1" x14ac:dyDescent="0.45">
      <c r="B2561" s="441"/>
      <c r="C2561" s="417"/>
      <c r="D2561" s="400" t="s">
        <v>258</v>
      </c>
      <c r="J2561" s="292"/>
      <c r="K2561" s="292"/>
      <c r="L2561" s="405"/>
      <c r="M2561" s="421"/>
      <c r="N2561" s="292"/>
      <c r="O2561" s="373">
        <f>TrialBalanceB!I104</f>
        <v>0</v>
      </c>
      <c r="P2561" s="295"/>
      <c r="Q2561" s="442"/>
      <c r="R2561" s="403" t="str">
        <f t="shared" si="214"/>
        <v>DELETE</v>
      </c>
      <c r="T2561" s="381"/>
    </row>
    <row r="2562" spans="2:20" ht="31.5" customHeight="1" x14ac:dyDescent="0.45">
      <c r="B2562" s="441"/>
      <c r="C2562" s="417"/>
      <c r="D2562" s="400" t="s">
        <v>222</v>
      </c>
      <c r="J2562" s="292"/>
      <c r="K2562" s="292"/>
      <c r="L2562" s="405"/>
      <c r="M2562" s="421"/>
      <c r="N2562" s="292"/>
      <c r="O2562" s="373">
        <f>TrialBalanceB!I105</f>
        <v>0</v>
      </c>
      <c r="P2562" s="295"/>
      <c r="Q2562" s="442"/>
      <c r="R2562" s="403" t="str">
        <f t="shared" si="214"/>
        <v>DELETE</v>
      </c>
      <c r="T2562" s="381"/>
    </row>
    <row r="2563" spans="2:20" ht="31.5" customHeight="1" x14ac:dyDescent="0.45">
      <c r="B2563" s="441"/>
      <c r="C2563" s="417"/>
      <c r="D2563" s="400" t="s">
        <v>727</v>
      </c>
      <c r="J2563" s="292"/>
      <c r="K2563" s="292"/>
      <c r="L2563" s="405"/>
      <c r="M2563" s="421"/>
      <c r="N2563" s="292"/>
      <c r="O2563" s="373">
        <f>TrialBalanceB!I106</f>
        <v>0</v>
      </c>
      <c r="P2563" s="295"/>
      <c r="Q2563" s="442"/>
      <c r="R2563" s="403" t="str">
        <f t="shared" si="214"/>
        <v>DELETE</v>
      </c>
      <c r="T2563" s="381"/>
    </row>
    <row r="2564" spans="2:20" ht="31.5" customHeight="1" x14ac:dyDescent="0.45">
      <c r="B2564" s="441"/>
      <c r="C2564" s="417"/>
      <c r="D2564" s="400" t="s">
        <v>277</v>
      </c>
      <c r="J2564" s="292"/>
      <c r="K2564" s="292">
        <f>C$940</f>
        <v>5.2999999999999989</v>
      </c>
      <c r="L2564" s="405"/>
      <c r="M2564" s="421"/>
      <c r="N2564" s="292"/>
      <c r="O2564" s="373">
        <f>SUM(TrialBalanceB!I108:I109)</f>
        <v>0</v>
      </c>
      <c r="P2564" s="295"/>
      <c r="Q2564" s="442"/>
      <c r="R2564" s="403" t="str">
        <f t="shared" si="214"/>
        <v>DELETE</v>
      </c>
      <c r="T2564" s="381"/>
    </row>
    <row r="2565" spans="2:20" ht="31.5" customHeight="1" x14ac:dyDescent="0.45">
      <c r="B2565" s="441"/>
      <c r="C2565" s="417"/>
      <c r="D2565" s="400" t="str">
        <f>IF(MAX(Criteria!I38:I42)&gt;1,"Directors' remuneration","Director's remuneration")</f>
        <v>Director's remuneration</v>
      </c>
      <c r="J2565" s="292"/>
      <c r="K2565" s="292">
        <f>C$881</f>
        <v>5.0999999999999996</v>
      </c>
      <c r="L2565" s="405"/>
      <c r="M2565" s="421"/>
      <c r="N2565" s="292"/>
      <c r="O2565" s="373">
        <f>SUM(TrialBalanceB!I111:I115)</f>
        <v>0</v>
      </c>
      <c r="P2565" s="295"/>
      <c r="Q2565" s="442"/>
      <c r="R2565" s="403" t="str">
        <f t="shared" si="214"/>
        <v>DELETE</v>
      </c>
      <c r="T2565" s="381"/>
    </row>
    <row r="2566" spans="2:20" ht="31.5" customHeight="1" x14ac:dyDescent="0.45">
      <c r="B2566" s="441"/>
      <c r="C2566" s="417"/>
      <c r="D2566" s="400" t="s">
        <v>259</v>
      </c>
      <c r="J2566" s="292"/>
      <c r="K2566" s="292"/>
      <c r="L2566" s="405"/>
      <c r="M2566" s="421"/>
      <c r="N2566" s="292"/>
      <c r="O2566" s="373">
        <f>TrialBalanceB!I116</f>
        <v>0</v>
      </c>
      <c r="P2566" s="295"/>
      <c r="Q2566" s="442"/>
      <c r="R2566" s="403" t="str">
        <f t="shared" si="214"/>
        <v>DELETE</v>
      </c>
      <c r="T2566" s="381"/>
    </row>
    <row r="2567" spans="2:20" ht="31.5" customHeight="1" x14ac:dyDescent="0.45">
      <c r="B2567" s="441"/>
      <c r="C2567" s="417"/>
      <c r="D2567" s="400" t="s">
        <v>369</v>
      </c>
      <c r="J2567" s="292"/>
      <c r="K2567" s="292"/>
      <c r="L2567" s="405"/>
      <c r="M2567" s="421"/>
      <c r="N2567" s="292"/>
      <c r="O2567" s="373">
        <f>TrialBalanceB!I117</f>
        <v>0</v>
      </c>
      <c r="P2567" s="295"/>
      <c r="Q2567" s="442"/>
      <c r="R2567" s="403" t="str">
        <f t="shared" si="214"/>
        <v>DELETE</v>
      </c>
      <c r="T2567" s="381"/>
    </row>
    <row r="2568" spans="2:20" ht="31.5" customHeight="1" x14ac:dyDescent="0.45">
      <c r="B2568" s="441"/>
      <c r="C2568" s="417"/>
      <c r="D2568" s="400" t="s">
        <v>330</v>
      </c>
      <c r="J2568" s="292"/>
      <c r="K2568" s="292"/>
      <c r="L2568" s="405"/>
      <c r="M2568" s="421"/>
      <c r="N2568" s="292"/>
      <c r="O2568" s="373">
        <f>TrialBalanceB!I118</f>
        <v>0</v>
      </c>
      <c r="P2568" s="295"/>
      <c r="Q2568" s="442"/>
      <c r="R2568" s="403" t="str">
        <f t="shared" si="214"/>
        <v>DELETE</v>
      </c>
      <c r="T2568" s="381"/>
    </row>
    <row r="2569" spans="2:20" ht="31.5" customHeight="1" x14ac:dyDescent="0.45">
      <c r="B2569" s="441"/>
      <c r="C2569" s="417"/>
      <c r="D2569" s="400" t="s">
        <v>371</v>
      </c>
      <c r="J2569" s="292"/>
      <c r="K2569" s="292"/>
      <c r="L2569" s="405"/>
      <c r="M2569" s="421"/>
      <c r="N2569" s="292"/>
      <c r="O2569" s="373">
        <f>TrialBalanceB!I119</f>
        <v>0</v>
      </c>
      <c r="P2569" s="295"/>
      <c r="Q2569" s="442"/>
      <c r="R2569" s="403" t="str">
        <f t="shared" si="214"/>
        <v>DELETE</v>
      </c>
      <c r="T2569" s="381"/>
    </row>
    <row r="2570" spans="2:20" ht="31.5" customHeight="1" x14ac:dyDescent="0.45">
      <c r="B2570" s="441"/>
      <c r="C2570" s="417"/>
      <c r="D2570" s="400" t="s">
        <v>1062</v>
      </c>
      <c r="J2570" s="292"/>
      <c r="K2570" s="292"/>
      <c r="L2570" s="405"/>
      <c r="M2570" s="421"/>
      <c r="N2570" s="292"/>
      <c r="O2570" s="373">
        <f>TrialBalanceB!I154</f>
        <v>0</v>
      </c>
      <c r="P2570" s="295"/>
      <c r="Q2570" s="442"/>
      <c r="R2570" s="403" t="str">
        <f>IF(R$2457="DELETE","DELETE",IF(O2570=0,"DELETE"," "))</f>
        <v>DELETE</v>
      </c>
      <c r="T2570" s="381"/>
    </row>
    <row r="2571" spans="2:20" ht="31.5" customHeight="1" x14ac:dyDescent="0.45">
      <c r="B2571" s="441"/>
      <c r="C2571" s="417"/>
      <c r="D2571" s="400" t="s">
        <v>524</v>
      </c>
      <c r="J2571" s="292"/>
      <c r="K2571" s="292"/>
      <c r="L2571" s="405"/>
      <c r="M2571" s="421"/>
      <c r="N2571" s="292"/>
      <c r="O2571" s="373">
        <f>TrialBalanceB!I120+TrialBalanceB!I121</f>
        <v>0</v>
      </c>
      <c r="P2571" s="295"/>
      <c r="Q2571" s="442"/>
      <c r="R2571" s="403" t="str">
        <f t="shared" si="214"/>
        <v>DELETE</v>
      </c>
      <c r="T2571" s="381"/>
    </row>
    <row r="2572" spans="2:20" ht="31.5" customHeight="1" x14ac:dyDescent="0.45">
      <c r="B2572" s="441"/>
      <c r="C2572" s="417"/>
      <c r="D2572" s="400" t="s">
        <v>547</v>
      </c>
      <c r="J2572" s="292"/>
      <c r="K2572" s="292"/>
      <c r="L2572" s="405"/>
      <c r="M2572" s="421"/>
      <c r="N2572" s="292"/>
      <c r="O2572" s="373">
        <f>IF(TrialBalanceB!I93&gt;0,TrialBalanceB!I93,0)</f>
        <v>0</v>
      </c>
      <c r="P2572" s="295"/>
      <c r="Q2572" s="442"/>
      <c r="R2572" s="403" t="str">
        <f>IF(R$2457="DELETE","DELETE",IF(O2572=0,"DELETE"," "))</f>
        <v>DELETE</v>
      </c>
      <c r="T2572" s="381"/>
    </row>
    <row r="2573" spans="2:20" ht="31.5" customHeight="1" x14ac:dyDescent="0.45">
      <c r="B2573" s="441"/>
      <c r="C2573" s="417"/>
      <c r="D2573" s="400" t="s">
        <v>728</v>
      </c>
      <c r="J2573" s="292"/>
      <c r="K2573" s="292"/>
      <c r="L2573" s="405"/>
      <c r="M2573" s="421"/>
      <c r="N2573" s="292"/>
      <c r="O2573" s="373">
        <f>TrialBalanceB!I122</f>
        <v>0</v>
      </c>
      <c r="P2573" s="295"/>
      <c r="Q2573" s="442"/>
      <c r="R2573" s="403" t="str">
        <f t="shared" si="214"/>
        <v>DELETE</v>
      </c>
      <c r="T2573" s="381"/>
    </row>
    <row r="2574" spans="2:20" ht="31.5" customHeight="1" x14ac:dyDescent="0.45">
      <c r="B2574" s="441"/>
      <c r="C2574" s="417"/>
      <c r="D2574" s="400" t="s">
        <v>260</v>
      </c>
      <c r="J2574" s="292"/>
      <c r="K2574" s="292"/>
      <c r="L2574" s="405"/>
      <c r="M2574" s="421"/>
      <c r="N2574" s="292"/>
      <c r="O2574" s="373">
        <f>TrialBalanceB!I123</f>
        <v>0</v>
      </c>
      <c r="P2574" s="295"/>
      <c r="Q2574" s="442"/>
      <c r="R2574" s="403" t="str">
        <f t="shared" si="214"/>
        <v>DELETE</v>
      </c>
      <c r="T2574" s="381"/>
    </row>
    <row r="2575" spans="2:20" ht="31.5" customHeight="1" x14ac:dyDescent="0.45">
      <c r="B2575" s="441"/>
      <c r="C2575" s="417"/>
      <c r="D2575" s="400" t="s">
        <v>1081</v>
      </c>
      <c r="J2575" s="292"/>
      <c r="K2575" s="292"/>
      <c r="L2575" s="405"/>
      <c r="M2575" s="421"/>
      <c r="N2575" s="292"/>
      <c r="O2575" s="373">
        <f>TrialBalanceB!I155</f>
        <v>0</v>
      </c>
      <c r="P2575" s="295"/>
      <c r="Q2575" s="442"/>
      <c r="R2575" s="403" t="str">
        <f t="shared" si="214"/>
        <v>DELETE</v>
      </c>
      <c r="T2575" s="381"/>
    </row>
    <row r="2576" spans="2:20" ht="31.5" customHeight="1" x14ac:dyDescent="0.45">
      <c r="B2576" s="441"/>
      <c r="C2576" s="417"/>
      <c r="D2576" s="400" t="s">
        <v>253</v>
      </c>
      <c r="J2576" s="292"/>
      <c r="K2576" s="292"/>
      <c r="L2576" s="405"/>
      <c r="M2576" s="421"/>
      <c r="N2576" s="292"/>
      <c r="O2576" s="373">
        <f>SUM(TrialBalanceB!I124:I125)</f>
        <v>0</v>
      </c>
      <c r="P2576" s="295"/>
      <c r="Q2576" s="442"/>
      <c r="R2576" s="403" t="str">
        <f t="shared" si="214"/>
        <v>DELETE</v>
      </c>
      <c r="T2576" s="381"/>
    </row>
    <row r="2577" spans="2:20" ht="31.5" customHeight="1" x14ac:dyDescent="0.45">
      <c r="B2577" s="441"/>
      <c r="C2577" s="417"/>
      <c r="D2577" s="400" t="s">
        <v>261</v>
      </c>
      <c r="J2577" s="292"/>
      <c r="K2577" s="292"/>
      <c r="L2577" s="405"/>
      <c r="M2577" s="421"/>
      <c r="N2577" s="292"/>
      <c r="O2577" s="373">
        <f>TrialBalanceB!I126</f>
        <v>0</v>
      </c>
      <c r="P2577" s="295"/>
      <c r="Q2577" s="442"/>
      <c r="R2577" s="403" t="str">
        <f t="shared" si="214"/>
        <v>DELETE</v>
      </c>
      <c r="T2577" s="381"/>
    </row>
    <row r="2578" spans="2:20" ht="31.5" customHeight="1" x14ac:dyDescent="0.45">
      <c r="B2578" s="441"/>
      <c r="C2578" s="417"/>
      <c r="D2578" s="400" t="s">
        <v>729</v>
      </c>
      <c r="J2578" s="292"/>
      <c r="K2578" s="292"/>
      <c r="L2578" s="405"/>
      <c r="M2578" s="421"/>
      <c r="N2578" s="292"/>
      <c r="O2578" s="373">
        <f>TrialBalanceB!I127</f>
        <v>0</v>
      </c>
      <c r="P2578" s="295"/>
      <c r="Q2578" s="442"/>
      <c r="R2578" s="403" t="str">
        <f t="shared" si="214"/>
        <v>DELETE</v>
      </c>
      <c r="T2578" s="381"/>
    </row>
    <row r="2579" spans="2:20" ht="31.5" customHeight="1" x14ac:dyDescent="0.45">
      <c r="B2579" s="441"/>
      <c r="C2579" s="417"/>
      <c r="D2579" s="400" t="s">
        <v>79</v>
      </c>
      <c r="J2579" s="292"/>
      <c r="K2579" s="292"/>
      <c r="L2579" s="405"/>
      <c r="M2579" s="421"/>
      <c r="N2579" s="292"/>
      <c r="O2579" s="373">
        <f>TrialBalanceB!I128</f>
        <v>0</v>
      </c>
      <c r="P2579" s="295"/>
      <c r="Q2579" s="442"/>
      <c r="R2579" s="403" t="str">
        <f t="shared" si="214"/>
        <v>DELETE</v>
      </c>
      <c r="T2579" s="381"/>
    </row>
    <row r="2580" spans="2:20" ht="31.5" customHeight="1" x14ac:dyDescent="0.45">
      <c r="B2580" s="441"/>
      <c r="C2580" s="417"/>
      <c r="D2580" s="400">
        <f>TrialBalanceB!C129</f>
        <v>0</v>
      </c>
      <c r="J2580" s="292"/>
      <c r="K2580" s="292"/>
      <c r="L2580" s="405"/>
      <c r="M2580" s="421"/>
      <c r="N2580" s="292"/>
      <c r="O2580" s="373">
        <f>TrialBalanceB!I129</f>
        <v>0</v>
      </c>
      <c r="P2580" s="295"/>
      <c r="Q2580" s="442"/>
      <c r="R2580" s="403" t="str">
        <f t="shared" si="214"/>
        <v>DELETE</v>
      </c>
      <c r="T2580" s="381"/>
    </row>
    <row r="2581" spans="2:20" ht="31.5" customHeight="1" x14ac:dyDescent="0.45">
      <c r="B2581" s="441"/>
      <c r="C2581" s="417"/>
      <c r="D2581" s="400">
        <f>TrialBalanceB!C130</f>
        <v>0</v>
      </c>
      <c r="J2581" s="292"/>
      <c r="K2581" s="292"/>
      <c r="L2581" s="405"/>
      <c r="M2581" s="421"/>
      <c r="N2581" s="292"/>
      <c r="O2581" s="373">
        <f>TrialBalanceB!I130</f>
        <v>0</v>
      </c>
      <c r="P2581" s="295"/>
      <c r="Q2581" s="442"/>
      <c r="R2581" s="403" t="str">
        <f t="shared" si="214"/>
        <v>DELETE</v>
      </c>
      <c r="T2581" s="381"/>
    </row>
    <row r="2582" spans="2:20" ht="31.5" customHeight="1" x14ac:dyDescent="0.45">
      <c r="B2582" s="441"/>
      <c r="C2582" s="417"/>
      <c r="D2582" s="400">
        <f>TrialBalanceB!C131</f>
        <v>0</v>
      </c>
      <c r="J2582" s="292"/>
      <c r="K2582" s="292"/>
      <c r="L2582" s="405"/>
      <c r="M2582" s="421"/>
      <c r="N2582" s="292"/>
      <c r="O2582" s="373">
        <f>TrialBalanceB!I131</f>
        <v>0</v>
      </c>
      <c r="P2582" s="295"/>
      <c r="Q2582" s="442"/>
      <c r="R2582" s="403" t="str">
        <f t="shared" si="214"/>
        <v>DELETE</v>
      </c>
      <c r="T2582" s="381"/>
    </row>
    <row r="2583" spans="2:20" ht="31.5" customHeight="1" x14ac:dyDescent="0.45">
      <c r="B2583" s="441"/>
      <c r="C2583" s="417"/>
      <c r="D2583" s="400">
        <f>TrialBalanceB!C132</f>
        <v>0</v>
      </c>
      <c r="J2583" s="292"/>
      <c r="K2583" s="292"/>
      <c r="L2583" s="405"/>
      <c r="M2583" s="421"/>
      <c r="N2583" s="292"/>
      <c r="O2583" s="373">
        <f>TrialBalanceB!I132</f>
        <v>0</v>
      </c>
      <c r="P2583" s="295"/>
      <c r="Q2583" s="442"/>
      <c r="R2583" s="403" t="str">
        <f t="shared" si="214"/>
        <v>DELETE</v>
      </c>
      <c r="T2583" s="381"/>
    </row>
    <row r="2584" spans="2:20" ht="31.5" customHeight="1" x14ac:dyDescent="0.45">
      <c r="B2584" s="441"/>
      <c r="C2584" s="417"/>
      <c r="D2584" s="400">
        <f>TrialBalanceB!C133</f>
        <v>0</v>
      </c>
      <c r="J2584" s="292"/>
      <c r="K2584" s="292"/>
      <c r="L2584" s="405"/>
      <c r="M2584" s="421"/>
      <c r="N2584" s="292"/>
      <c r="O2584" s="373">
        <f>TrialBalanceB!I133</f>
        <v>0</v>
      </c>
      <c r="P2584" s="295"/>
      <c r="Q2584" s="442"/>
      <c r="R2584" s="403" t="str">
        <f t="shared" si="214"/>
        <v>DELETE</v>
      </c>
      <c r="T2584" s="381"/>
    </row>
    <row r="2585" spans="2:20" ht="31.5" customHeight="1" x14ac:dyDescent="0.45">
      <c r="B2585" s="441"/>
      <c r="C2585" s="417"/>
      <c r="D2585" s="400">
        <f>TrialBalanceB!C134</f>
        <v>0</v>
      </c>
      <c r="J2585" s="292"/>
      <c r="K2585" s="292"/>
      <c r="L2585" s="405"/>
      <c r="M2585" s="421"/>
      <c r="N2585" s="292"/>
      <c r="O2585" s="373">
        <f>TrialBalanceB!I134</f>
        <v>0</v>
      </c>
      <c r="P2585" s="295"/>
      <c r="Q2585" s="442"/>
      <c r="R2585" s="403" t="str">
        <f t="shared" si="214"/>
        <v>DELETE</v>
      </c>
      <c r="T2585" s="381"/>
    </row>
    <row r="2586" spans="2:20" ht="31.5" customHeight="1" x14ac:dyDescent="0.45">
      <c r="B2586" s="441"/>
      <c r="C2586" s="417"/>
      <c r="D2586" s="400">
        <f>TrialBalanceB!C135</f>
        <v>0</v>
      </c>
      <c r="J2586" s="292"/>
      <c r="K2586" s="292"/>
      <c r="L2586" s="405"/>
      <c r="M2586" s="421"/>
      <c r="N2586" s="292"/>
      <c r="O2586" s="373">
        <f>TrialBalanceB!I135</f>
        <v>0</v>
      </c>
      <c r="P2586" s="295"/>
      <c r="Q2586" s="442"/>
      <c r="R2586" s="403" t="str">
        <f t="shared" si="214"/>
        <v>DELETE</v>
      </c>
      <c r="T2586" s="381"/>
    </row>
    <row r="2587" spans="2:20" ht="31.5" customHeight="1" x14ac:dyDescent="0.45">
      <c r="B2587" s="441"/>
      <c r="C2587" s="417"/>
      <c r="D2587" s="400">
        <f>TrialBalanceB!C136</f>
        <v>0</v>
      </c>
      <c r="J2587" s="292"/>
      <c r="K2587" s="292"/>
      <c r="L2587" s="405"/>
      <c r="M2587" s="421"/>
      <c r="N2587" s="292"/>
      <c r="O2587" s="373">
        <f>TrialBalanceB!I136</f>
        <v>0</v>
      </c>
      <c r="P2587" s="295"/>
      <c r="Q2587" s="442"/>
      <c r="R2587" s="403" t="str">
        <f t="shared" si="214"/>
        <v>DELETE</v>
      </c>
      <c r="T2587" s="381"/>
    </row>
    <row r="2588" spans="2:20" ht="31.5" customHeight="1" x14ac:dyDescent="0.45">
      <c r="B2588" s="441"/>
      <c r="C2588" s="417"/>
      <c r="D2588" s="400">
        <f>TrialBalanceB!C137</f>
        <v>0</v>
      </c>
      <c r="J2588" s="292"/>
      <c r="K2588" s="292"/>
      <c r="L2588" s="405"/>
      <c r="M2588" s="421"/>
      <c r="N2588" s="292"/>
      <c r="O2588" s="373">
        <f>TrialBalanceB!I137</f>
        <v>0</v>
      </c>
      <c r="P2588" s="295"/>
      <c r="Q2588" s="442"/>
      <c r="R2588" s="403" t="str">
        <f t="shared" si="214"/>
        <v>DELETE</v>
      </c>
      <c r="T2588" s="381"/>
    </row>
    <row r="2589" spans="2:20" ht="31.5" customHeight="1" x14ac:dyDescent="0.45">
      <c r="B2589" s="441"/>
      <c r="C2589" s="417"/>
      <c r="D2589" s="400" t="str">
        <f>TrialBalanceB!C138</f>
        <v>Amortisation of prepaid lease agreement</v>
      </c>
      <c r="J2589" s="292"/>
      <c r="K2589" s="292"/>
      <c r="L2589" s="405"/>
      <c r="M2589" s="421"/>
      <c r="N2589" s="292"/>
      <c r="O2589" s="373">
        <f>TrialBalanceB!I138</f>
        <v>0</v>
      </c>
      <c r="P2589" s="295"/>
      <c r="Q2589" s="442"/>
      <c r="R2589" s="403" t="str">
        <f t="shared" si="214"/>
        <v>DELETE</v>
      </c>
      <c r="T2589" s="381"/>
    </row>
    <row r="2590" spans="2:20" ht="31.5" customHeight="1" x14ac:dyDescent="0.45">
      <c r="B2590" s="441"/>
      <c r="C2590" s="417"/>
      <c r="D2590" s="400" t="str">
        <f>TrialBalanceB!C139</f>
        <v>Amortisation of goodwill</v>
      </c>
      <c r="J2590" s="292"/>
      <c r="K2590" s="292"/>
      <c r="L2590" s="405"/>
      <c r="M2590" s="421"/>
      <c r="N2590" s="292"/>
      <c r="O2590" s="373">
        <f>TrialBalanceB!I139</f>
        <v>0</v>
      </c>
      <c r="P2590" s="295"/>
      <c r="Q2590" s="442"/>
      <c r="R2590" s="403" t="str">
        <f t="shared" ref="R2590" si="215">IF(R$2457="DELETE","DELETE",IF(O2590=0,"DELETE"," "))</f>
        <v>DELETE</v>
      </c>
      <c r="T2590" s="381"/>
    </row>
    <row r="2591" spans="2:20" ht="9" customHeight="1" x14ac:dyDescent="0.45">
      <c r="B2591" s="441"/>
      <c r="C2591" s="417"/>
      <c r="J2591" s="292"/>
      <c r="K2591" s="292"/>
      <c r="L2591" s="405"/>
      <c r="M2591" s="421"/>
      <c r="N2591" s="292"/>
      <c r="O2591" s="374"/>
      <c r="P2591" s="295"/>
      <c r="Q2591" s="442"/>
      <c r="R2591" s="403" t="str">
        <f>R2555</f>
        <v>DELETE</v>
      </c>
      <c r="T2591" s="381"/>
    </row>
    <row r="2592" spans="2:20" ht="9" customHeight="1" x14ac:dyDescent="0.45">
      <c r="B2592" s="441"/>
      <c r="C2592" s="417"/>
      <c r="J2592" s="292"/>
      <c r="K2592" s="292"/>
      <c r="L2592" s="405"/>
      <c r="M2592" s="421"/>
      <c r="N2592" s="292"/>
      <c r="O2592" s="349"/>
      <c r="P2592" s="295"/>
      <c r="Q2592" s="442"/>
      <c r="R2592" s="403" t="str">
        <f t="shared" ref="R2592:R2595" si="216">R$2457</f>
        <v>DELETE</v>
      </c>
      <c r="T2592" s="381"/>
    </row>
    <row r="2593" spans="2:22" ht="9" customHeight="1" x14ac:dyDescent="0.45">
      <c r="B2593" s="441"/>
      <c r="C2593" s="417"/>
      <c r="J2593" s="292"/>
      <c r="K2593" s="292"/>
      <c r="L2593" s="405"/>
      <c r="M2593" s="421"/>
      <c r="N2593" s="292"/>
      <c r="O2593" s="347"/>
      <c r="P2593" s="295"/>
      <c r="Q2593" s="442"/>
      <c r="R2593" s="403" t="str">
        <f t="shared" si="216"/>
        <v>DELETE</v>
      </c>
      <c r="T2593" s="381"/>
    </row>
    <row r="2594" spans="2:22" ht="31.5" customHeight="1" x14ac:dyDescent="0.45">
      <c r="B2594" s="441"/>
      <c r="C2594" s="315" t="str">
        <f>IF(O2594&lt;0,"OPERATING LOSS FOR THE YEAR","OPERATING PROFIT FOR THE YEAR")</f>
        <v>OPERATING PROFIT FOR THE YEAR</v>
      </c>
      <c r="J2594" s="292"/>
      <c r="K2594" s="292">
        <f>'FS2'!B878</f>
        <v>5</v>
      </c>
      <c r="L2594" s="405"/>
      <c r="M2594" s="421"/>
      <c r="N2594" s="292"/>
      <c r="O2594" s="347">
        <f>SUM(S2469:S2591)</f>
        <v>0</v>
      </c>
      <c r="P2594" s="295"/>
      <c r="Q2594" s="442"/>
      <c r="R2594" s="403" t="str">
        <f t="shared" si="216"/>
        <v>DELETE</v>
      </c>
      <c r="T2594" s="381"/>
    </row>
    <row r="2595" spans="2:22" ht="31.5" customHeight="1" x14ac:dyDescent="0.45">
      <c r="B2595" s="441"/>
      <c r="C2595" s="417"/>
      <c r="J2595" s="292"/>
      <c r="K2595" s="292"/>
      <c r="L2595" s="405"/>
      <c r="M2595" s="421"/>
      <c r="N2595" s="292"/>
      <c r="O2595" s="347"/>
      <c r="P2595" s="295"/>
      <c r="Q2595" s="442"/>
      <c r="R2595" s="403" t="str">
        <f t="shared" si="216"/>
        <v>DELETE</v>
      </c>
      <c r="T2595" s="381"/>
    </row>
    <row r="2596" spans="2:22" ht="31.5" customHeight="1" x14ac:dyDescent="0.45">
      <c r="B2596" s="441"/>
      <c r="C2596" s="417" t="s">
        <v>114</v>
      </c>
      <c r="J2596" s="292"/>
      <c r="K2596" s="292">
        <f>'FS2'!B965</f>
        <v>6</v>
      </c>
      <c r="L2596" s="405"/>
      <c r="M2596" s="421"/>
      <c r="N2596" s="292"/>
      <c r="O2596" s="347">
        <f>SUM(O2599:O2606)</f>
        <v>0</v>
      </c>
      <c r="P2596" s="295"/>
      <c r="Q2596" s="442"/>
      <c r="R2596" s="403" t="str">
        <f t="shared" ref="R2596" si="217">IF(R$2457="DELETE","DELETE",IF(O2596=0,"DELETE"," "))</f>
        <v>DELETE</v>
      </c>
      <c r="S2596" s="380">
        <f>O2596</f>
        <v>0</v>
      </c>
      <c r="T2596" s="381"/>
      <c r="U2596" s="380"/>
      <c r="V2596" s="380"/>
    </row>
    <row r="2597" spans="2:22" ht="9" customHeight="1" x14ac:dyDescent="0.45">
      <c r="B2597" s="441"/>
      <c r="C2597" s="417"/>
      <c r="J2597" s="292"/>
      <c r="K2597" s="292"/>
      <c r="L2597" s="405"/>
      <c r="M2597" s="421"/>
      <c r="N2597" s="292"/>
      <c r="O2597" s="347"/>
      <c r="P2597" s="295"/>
      <c r="Q2597" s="442"/>
      <c r="R2597" s="403" t="str">
        <f>R2596</f>
        <v>DELETE</v>
      </c>
      <c r="T2597" s="381"/>
    </row>
    <row r="2598" spans="2:22" ht="9" customHeight="1" x14ac:dyDescent="0.45">
      <c r="B2598" s="441"/>
      <c r="C2598" s="417"/>
      <c r="J2598" s="292"/>
      <c r="K2598" s="292"/>
      <c r="L2598" s="405"/>
      <c r="M2598" s="421"/>
      <c r="N2598" s="292"/>
      <c r="O2598" s="372"/>
      <c r="P2598" s="295"/>
      <c r="Q2598" s="442"/>
      <c r="R2598" s="403" t="str">
        <f>R2597</f>
        <v>DELETE</v>
      </c>
      <c r="T2598" s="381"/>
    </row>
    <row r="2599" spans="2:22" ht="31.5" customHeight="1" x14ac:dyDescent="0.45">
      <c r="B2599" s="441"/>
      <c r="C2599" s="417"/>
      <c r="D2599" s="400" t="s">
        <v>205</v>
      </c>
      <c r="J2599" s="292"/>
      <c r="K2599" s="292"/>
      <c r="L2599" s="405"/>
      <c r="M2599" s="421"/>
      <c r="N2599" s="292"/>
      <c r="O2599" s="373">
        <f>-TrialBalanceB!I94</f>
        <v>0</v>
      </c>
      <c r="P2599" s="295"/>
      <c r="Q2599" s="442"/>
      <c r="R2599" s="403" t="str">
        <f t="shared" ref="R2599:R2604" si="218">IF(R$2457="DELETE","DELETE",IF(O2599=0,"DELETE"," "))</f>
        <v>DELETE</v>
      </c>
      <c r="T2599" s="381"/>
    </row>
    <row r="2600" spans="2:22" ht="31.5" customHeight="1" x14ac:dyDescent="0.45">
      <c r="B2600" s="441"/>
      <c r="C2600" s="417"/>
      <c r="D2600" s="400" t="s">
        <v>531</v>
      </c>
      <c r="J2600" s="292"/>
      <c r="K2600" s="292"/>
      <c r="L2600" s="405"/>
      <c r="M2600" s="421"/>
      <c r="N2600" s="292"/>
      <c r="O2600" s="373">
        <f>-SUM(TrialBalanceB!I90:I92)</f>
        <v>0</v>
      </c>
      <c r="P2600" s="295"/>
      <c r="Q2600" s="442"/>
      <c r="R2600" s="403" t="str">
        <f t="shared" si="218"/>
        <v>DELETE</v>
      </c>
      <c r="T2600" s="381"/>
    </row>
    <row r="2601" spans="2:22" ht="31.5" customHeight="1" x14ac:dyDescent="0.45">
      <c r="B2601" s="441"/>
      <c r="C2601" s="417"/>
      <c r="D2601" s="400" t="s">
        <v>532</v>
      </c>
      <c r="J2601" s="292"/>
      <c r="K2601" s="292"/>
      <c r="L2601" s="405"/>
      <c r="M2601" s="421"/>
      <c r="N2601" s="292"/>
      <c r="O2601" s="375">
        <f>-SUM(TrialBalanceB!I85:I88)</f>
        <v>0</v>
      </c>
      <c r="P2601" s="295"/>
      <c r="Q2601" s="442"/>
      <c r="R2601" s="403" t="str">
        <f t="shared" si="218"/>
        <v>DELETE</v>
      </c>
      <c r="T2601" s="381"/>
    </row>
    <row r="2602" spans="2:22" ht="31.5" customHeight="1" x14ac:dyDescent="0.45">
      <c r="B2602" s="441"/>
      <c r="C2602" s="417"/>
      <c r="D2602" s="400" t="s">
        <v>207</v>
      </c>
      <c r="J2602" s="292"/>
      <c r="K2602" s="292"/>
      <c r="L2602" s="405"/>
      <c r="M2602" s="421"/>
      <c r="N2602" s="292"/>
      <c r="O2602" s="375">
        <f>-SUM(TrialBalanceB!I95)</f>
        <v>0</v>
      </c>
      <c r="P2602" s="295"/>
      <c r="Q2602" s="442"/>
      <c r="R2602" s="403" t="str">
        <f t="shared" si="218"/>
        <v>DELETE</v>
      </c>
      <c r="T2602" s="381"/>
    </row>
    <row r="2603" spans="2:22" ht="31.5" customHeight="1" x14ac:dyDescent="0.45">
      <c r="B2603" s="441"/>
      <c r="C2603" s="417"/>
      <c r="D2603" s="400" t="s">
        <v>548</v>
      </c>
      <c r="J2603" s="292"/>
      <c r="K2603" s="292"/>
      <c r="L2603" s="405"/>
      <c r="M2603" s="421"/>
      <c r="N2603" s="292"/>
      <c r="O2603" s="373">
        <f>IF(TrialBalanceB!I93&lt;0,-TrialBalanceB!I93,0)</f>
        <v>0</v>
      </c>
      <c r="P2603" s="295"/>
      <c r="Q2603" s="442"/>
      <c r="R2603" s="403" t="str">
        <f t="shared" si="218"/>
        <v>DELETE</v>
      </c>
      <c r="T2603" s="381"/>
    </row>
    <row r="2604" spans="2:22" ht="31.5" customHeight="1" x14ac:dyDescent="0.45">
      <c r="B2604" s="441"/>
      <c r="C2604" s="417"/>
      <c r="D2604" s="400" t="s">
        <v>359</v>
      </c>
      <c r="J2604" s="292"/>
      <c r="K2604" s="292"/>
      <c r="L2604" s="405"/>
      <c r="M2604" s="421"/>
      <c r="N2604" s="292"/>
      <c r="O2604" s="373">
        <f>-TrialBalanceB!I83</f>
        <v>0</v>
      </c>
      <c r="P2604" s="295"/>
      <c r="Q2604" s="442"/>
      <c r="R2604" s="403" t="str">
        <f t="shared" si="218"/>
        <v>DELETE</v>
      </c>
      <c r="T2604" s="381"/>
    </row>
    <row r="2605" spans="2:22" ht="31.5" customHeight="1" x14ac:dyDescent="0.45">
      <c r="B2605" s="441"/>
      <c r="C2605" s="417"/>
      <c r="D2605" s="400" t="str">
        <f>TrialBalance!C96</f>
        <v>Revaluation of investment property</v>
      </c>
      <c r="J2605" s="292"/>
      <c r="K2605" s="292"/>
      <c r="L2605" s="405"/>
      <c r="M2605" s="421"/>
      <c r="N2605" s="292"/>
      <c r="O2605" s="373">
        <f>-TrialBalanceB!I96</f>
        <v>0</v>
      </c>
      <c r="P2605" s="295"/>
      <c r="Q2605" s="442"/>
      <c r="R2605" s="403" t="str">
        <f>IF(R$2457="DELETE","DELETE",IF(O2605=0,"DELETE"," "))</f>
        <v>DELETE</v>
      </c>
      <c r="T2605" s="381"/>
    </row>
    <row r="2606" spans="2:22" ht="9" customHeight="1" x14ac:dyDescent="0.45">
      <c r="B2606" s="441"/>
      <c r="C2606" s="417"/>
      <c r="J2606" s="292"/>
      <c r="K2606" s="292"/>
      <c r="L2606" s="405"/>
      <c r="M2606" s="421"/>
      <c r="N2606" s="292"/>
      <c r="O2606" s="374"/>
      <c r="P2606" s="295"/>
      <c r="Q2606" s="442"/>
      <c r="R2606" s="403" t="str">
        <f>R2596</f>
        <v>DELETE</v>
      </c>
      <c r="T2606" s="381"/>
    </row>
    <row r="2607" spans="2:22" ht="9" customHeight="1" x14ac:dyDescent="0.45">
      <c r="B2607" s="441"/>
      <c r="C2607" s="417"/>
      <c r="J2607" s="292"/>
      <c r="K2607" s="292"/>
      <c r="L2607" s="405"/>
      <c r="M2607" s="421"/>
      <c r="N2607" s="292"/>
      <c r="O2607" s="349"/>
      <c r="P2607" s="295"/>
      <c r="Q2607" s="442"/>
      <c r="R2607" s="403" t="str">
        <f>R2606</f>
        <v>DELETE</v>
      </c>
      <c r="T2607" s="381"/>
    </row>
    <row r="2608" spans="2:22" ht="9" customHeight="1" x14ac:dyDescent="0.45">
      <c r="B2608" s="441"/>
      <c r="C2608" s="417"/>
      <c r="J2608" s="292"/>
      <c r="K2608" s="292"/>
      <c r="L2608" s="405"/>
      <c r="M2608" s="421"/>
      <c r="N2608" s="292"/>
      <c r="O2608" s="347"/>
      <c r="P2608" s="295"/>
      <c r="Q2608" s="442"/>
      <c r="R2608" s="403" t="str">
        <f>R2607</f>
        <v>DELETE</v>
      </c>
      <c r="T2608" s="381"/>
    </row>
    <row r="2609" spans="2:22" ht="31.5" customHeight="1" x14ac:dyDescent="0.45">
      <c r="B2609" s="441"/>
      <c r="C2609" s="417"/>
      <c r="J2609" s="292"/>
      <c r="K2609" s="292"/>
      <c r="L2609" s="405"/>
      <c r="M2609" s="421"/>
      <c r="N2609" s="292"/>
      <c r="O2609" s="347">
        <f>SUM(S2469:S2606)</f>
        <v>0</v>
      </c>
      <c r="P2609" s="295"/>
      <c r="Q2609" s="442"/>
      <c r="R2609" s="403" t="str">
        <f>R2608</f>
        <v>DELETE</v>
      </c>
      <c r="T2609" s="381"/>
    </row>
    <row r="2610" spans="2:22" ht="31.5" customHeight="1" x14ac:dyDescent="0.45">
      <c r="B2610" s="441"/>
      <c r="C2610" s="417"/>
      <c r="J2610" s="292"/>
      <c r="K2610" s="292"/>
      <c r="L2610" s="405"/>
      <c r="M2610" s="421"/>
      <c r="N2610" s="292"/>
      <c r="O2610" s="347"/>
      <c r="P2610" s="295"/>
      <c r="Q2610" s="442"/>
      <c r="R2610" s="403" t="str">
        <f>R2609</f>
        <v>DELETE</v>
      </c>
      <c r="T2610" s="381"/>
    </row>
    <row r="2611" spans="2:22" ht="31.5" customHeight="1" x14ac:dyDescent="0.45">
      <c r="B2611" s="441"/>
      <c r="C2611" s="417" t="s">
        <v>262</v>
      </c>
      <c r="J2611" s="292"/>
      <c r="K2611" s="292">
        <f>'FS2'!B1024</f>
        <v>7</v>
      </c>
      <c r="L2611" s="405"/>
      <c r="M2611" s="421"/>
      <c r="N2611" s="292"/>
      <c r="O2611" s="347">
        <f>SUM(TrialBalanceB!I142:I152)</f>
        <v>0</v>
      </c>
      <c r="P2611" s="295"/>
      <c r="Q2611" s="442"/>
      <c r="R2611" s="403" t="str">
        <f t="shared" ref="R2611" si="219">IF(R$2457="DELETE","DELETE",IF(O2611=0,"DELETE"," "))</f>
        <v>DELETE</v>
      </c>
      <c r="S2611" s="380">
        <f>-O2611</f>
        <v>0</v>
      </c>
      <c r="T2611" s="381"/>
      <c r="U2611" s="380"/>
      <c r="V2611" s="380"/>
    </row>
    <row r="2612" spans="2:22" ht="9" customHeight="1" x14ac:dyDescent="0.45">
      <c r="B2612" s="441"/>
      <c r="C2612" s="417"/>
      <c r="J2612" s="292"/>
      <c r="K2612" s="292"/>
      <c r="L2612" s="405"/>
      <c r="M2612" s="421"/>
      <c r="N2612" s="292"/>
      <c r="O2612" s="349"/>
      <c r="P2612" s="295"/>
      <c r="Q2612" s="442"/>
      <c r="R2612" s="403" t="str">
        <f t="shared" ref="R2612:R2620" si="220">R$2457</f>
        <v>DELETE</v>
      </c>
      <c r="T2612" s="381"/>
    </row>
    <row r="2613" spans="2:22" ht="9" customHeight="1" x14ac:dyDescent="0.45">
      <c r="B2613" s="441"/>
      <c r="C2613" s="417"/>
      <c r="J2613" s="292"/>
      <c r="K2613" s="292"/>
      <c r="L2613" s="405"/>
      <c r="M2613" s="421"/>
      <c r="N2613" s="292"/>
      <c r="O2613" s="347"/>
      <c r="P2613" s="295"/>
      <c r="Q2613" s="442"/>
      <c r="R2613" s="403" t="str">
        <f t="shared" si="220"/>
        <v>DELETE</v>
      </c>
      <c r="T2613" s="381"/>
    </row>
    <row r="2614" spans="2:22" ht="31.5" customHeight="1" x14ac:dyDescent="0.45">
      <c r="B2614" s="441"/>
      <c r="C2614" s="315" t="str">
        <f>IF(O2614&lt;0,"LOSS BEFORE TAXATION","PROFIT BEFORE TAXATION")</f>
        <v>PROFIT BEFORE TAXATION</v>
      </c>
      <c r="J2614" s="292"/>
      <c r="K2614" s="292"/>
      <c r="L2614" s="405"/>
      <c r="M2614" s="421"/>
      <c r="N2614" s="292"/>
      <c r="O2614" s="347">
        <f>SUM(S2469:S2613)</f>
        <v>0</v>
      </c>
      <c r="P2614" s="295"/>
      <c r="Q2614" s="442"/>
      <c r="R2614" s="403" t="str">
        <f t="shared" si="220"/>
        <v>DELETE</v>
      </c>
      <c r="T2614" s="381"/>
      <c r="U2614" s="378" t="b">
        <f>O2614='FS2'!O2278</f>
        <v>1</v>
      </c>
    </row>
    <row r="2615" spans="2:22" ht="9" customHeight="1" thickBot="1" x14ac:dyDescent="0.5">
      <c r="B2615" s="441"/>
      <c r="C2615" s="417"/>
      <c r="J2615" s="292"/>
      <c r="K2615" s="292"/>
      <c r="L2615" s="405"/>
      <c r="M2615" s="421"/>
      <c r="N2615" s="292"/>
      <c r="O2615" s="351"/>
      <c r="P2615" s="295"/>
      <c r="Q2615" s="442"/>
      <c r="R2615" s="403" t="str">
        <f t="shared" si="220"/>
        <v>DELETE</v>
      </c>
      <c r="T2615" s="381"/>
    </row>
    <row r="2616" spans="2:22" ht="9" customHeight="1" thickTop="1" x14ac:dyDescent="0.45">
      <c r="B2616" s="441"/>
      <c r="C2616" s="417"/>
      <c r="J2616" s="292"/>
      <c r="K2616" s="292"/>
      <c r="L2616" s="405"/>
      <c r="M2616" s="421"/>
      <c r="N2616" s="292"/>
      <c r="O2616" s="347"/>
      <c r="P2616" s="295"/>
      <c r="Q2616" s="442"/>
      <c r="R2616" s="403" t="str">
        <f t="shared" si="220"/>
        <v>DELETE</v>
      </c>
      <c r="T2616" s="381"/>
    </row>
    <row r="2617" spans="2:22" ht="31.5" customHeight="1" x14ac:dyDescent="0.45">
      <c r="B2617" s="441"/>
      <c r="C2617" s="417"/>
      <c r="J2617" s="292"/>
      <c r="K2617" s="292"/>
      <c r="L2617" s="405"/>
      <c r="M2617" s="421"/>
      <c r="N2617" s="292"/>
      <c r="O2617" s="347"/>
      <c r="P2617" s="295"/>
      <c r="Q2617" s="442"/>
      <c r="R2617" s="403" t="str">
        <f t="shared" si="220"/>
        <v>DELETE</v>
      </c>
      <c r="T2617" s="381"/>
    </row>
    <row r="2618" spans="2:22" ht="31.5" customHeight="1" x14ac:dyDescent="0.45">
      <c r="B2618" s="441"/>
      <c r="C2618" s="417"/>
      <c r="J2618" s="292"/>
      <c r="K2618" s="292"/>
      <c r="L2618" s="292"/>
      <c r="M2618" s="347"/>
      <c r="N2618" s="298"/>
      <c r="O2618" s="347"/>
      <c r="P2618" s="295"/>
      <c r="Q2618" s="442"/>
      <c r="R2618" s="403" t="str">
        <f t="shared" si="220"/>
        <v>DELETE</v>
      </c>
      <c r="T2618" s="381"/>
    </row>
    <row r="2619" spans="2:22" ht="31.5" customHeight="1" x14ac:dyDescent="0.45">
      <c r="B2619" s="445"/>
      <c r="C2619" s="429"/>
      <c r="D2619" s="429"/>
      <c r="E2619" s="429"/>
      <c r="F2619" s="429"/>
      <c r="G2619" s="429"/>
      <c r="H2619" s="429"/>
      <c r="I2619" s="429"/>
      <c r="J2619" s="429"/>
      <c r="K2619" s="429"/>
      <c r="L2619" s="429"/>
      <c r="M2619" s="437"/>
      <c r="N2619" s="461"/>
      <c r="O2619" s="437"/>
      <c r="P2619" s="433"/>
      <c r="Q2619" s="446"/>
      <c r="R2619" s="403" t="str">
        <f t="shared" si="220"/>
        <v>DELETE</v>
      </c>
      <c r="T2619" s="381"/>
    </row>
    <row r="2620" spans="2:22" ht="31.5" customHeight="1" x14ac:dyDescent="0.45">
      <c r="M2620" s="426"/>
      <c r="N2620" s="406"/>
      <c r="O2620" s="426"/>
      <c r="R2620" s="403" t="str">
        <f t="shared" si="220"/>
        <v>DELETE</v>
      </c>
      <c r="T2620" s="381"/>
    </row>
    <row r="2621" spans="2:22" ht="31.5" customHeight="1" x14ac:dyDescent="0.45">
      <c r="M2621" s="426"/>
      <c r="N2621" s="406"/>
      <c r="O2621" s="426"/>
      <c r="R2621" s="403" t="str">
        <f>IF(SUM(S2633:S2635)+SUM(S2653:S2660)+SUM(S2760:S2770)+O2778=0,"DELETE"," ")</f>
        <v>DELETE</v>
      </c>
      <c r="U2621" s="382"/>
      <c r="V2621" s="382"/>
    </row>
    <row r="2622" spans="2:22" ht="31.5" customHeight="1" x14ac:dyDescent="0.45">
      <c r="D2622" s="417" t="s">
        <v>652</v>
      </c>
      <c r="M2622" s="426"/>
      <c r="N2622" s="406"/>
      <c r="O2622" s="426"/>
      <c r="R2622" s="403" t="str">
        <f>R$2621</f>
        <v>DELETE</v>
      </c>
      <c r="U2622" s="379"/>
    </row>
    <row r="2623" spans="2:22" ht="31.5" customHeight="1" x14ac:dyDescent="0.45">
      <c r="M2623" s="426"/>
      <c r="N2623" s="406"/>
      <c r="O2623" s="426"/>
      <c r="R2623" s="403" t="str">
        <f t="shared" ref="R2623:R2632" si="221">R$2621</f>
        <v>DELETE</v>
      </c>
    </row>
    <row r="2624" spans="2:22" ht="31.5" customHeight="1" x14ac:dyDescent="0.45">
      <c r="D2624" s="417">
        <f>Criteria!E16</f>
        <v>0</v>
      </c>
      <c r="M2624" s="426"/>
      <c r="N2624" s="406"/>
      <c r="O2624" s="347" t="s">
        <v>96</v>
      </c>
      <c r="Q2624" s="292">
        <v>1</v>
      </c>
      <c r="R2624" s="403" t="str">
        <f t="shared" si="221"/>
        <v>DELETE</v>
      </c>
    </row>
    <row r="2625" spans="2:43" s="400" customFormat="1" ht="31.5" customHeight="1" x14ac:dyDescent="0.45">
      <c r="M2625" s="426"/>
      <c r="N2625" s="406"/>
      <c r="O2625" s="426"/>
      <c r="P2625" s="402"/>
      <c r="R2625" s="403" t="str">
        <f t="shared" si="221"/>
        <v>DELETE</v>
      </c>
      <c r="S2625" s="378"/>
      <c r="T2625" s="378"/>
      <c r="U2625" s="378"/>
      <c r="V2625" s="378"/>
      <c r="W2625" s="378"/>
      <c r="X2625" s="378"/>
      <c r="Y2625" s="381"/>
      <c r="Z2625" s="381"/>
      <c r="AA2625" s="404"/>
      <c r="AB2625" s="444"/>
      <c r="AC2625" s="444"/>
      <c r="AD2625" s="444"/>
      <c r="AE2625" s="444"/>
      <c r="AF2625" s="444"/>
      <c r="AG2625" s="444"/>
      <c r="AH2625" s="444"/>
      <c r="AI2625" s="444"/>
      <c r="AJ2625" s="444"/>
      <c r="AK2625" s="444"/>
      <c r="AL2625" s="473"/>
      <c r="AM2625" s="473"/>
      <c r="AN2625" s="473"/>
      <c r="AO2625" s="473"/>
      <c r="AP2625" s="473"/>
      <c r="AQ2625" s="473"/>
    </row>
    <row r="2626" spans="2:43" s="400" customFormat="1" ht="31.5" customHeight="1" x14ac:dyDescent="0.45">
      <c r="M2626" s="426"/>
      <c r="N2626" s="406"/>
      <c r="O2626" s="426"/>
      <c r="P2626" s="402"/>
      <c r="R2626" s="403" t="str">
        <f t="shared" si="221"/>
        <v>DELETE</v>
      </c>
      <c r="S2626" s="378"/>
      <c r="T2626" s="378"/>
      <c r="U2626" s="378"/>
      <c r="V2626" s="378"/>
      <c r="W2626" s="378"/>
      <c r="X2626" s="378"/>
      <c r="Y2626" s="381"/>
      <c r="Z2626" s="381"/>
      <c r="AA2626" s="404"/>
      <c r="AB2626" s="444"/>
      <c r="AC2626" s="444"/>
      <c r="AD2626" s="444"/>
      <c r="AE2626" s="444"/>
      <c r="AF2626" s="444"/>
      <c r="AG2626" s="444"/>
      <c r="AH2626" s="444"/>
      <c r="AI2626" s="444"/>
      <c r="AJ2626" s="444"/>
      <c r="AK2626" s="444"/>
      <c r="AL2626" s="473"/>
      <c r="AM2626" s="473"/>
      <c r="AN2626" s="473"/>
      <c r="AO2626" s="473"/>
      <c r="AP2626" s="473"/>
      <c r="AQ2626" s="473"/>
    </row>
    <row r="2627" spans="2:43" s="400" customFormat="1" ht="31.5" customHeight="1" x14ac:dyDescent="0.45">
      <c r="D2627" s="417" t="s">
        <v>91</v>
      </c>
      <c r="M2627" s="426"/>
      <c r="N2627" s="406"/>
      <c r="O2627" s="426"/>
      <c r="P2627" s="402"/>
      <c r="R2627" s="403" t="str">
        <f t="shared" si="221"/>
        <v>DELETE</v>
      </c>
      <c r="S2627" s="378"/>
      <c r="T2627" s="378"/>
      <c r="U2627" s="378"/>
      <c r="V2627" s="378"/>
      <c r="W2627" s="378"/>
      <c r="X2627" s="378"/>
      <c r="Y2627" s="381"/>
      <c r="Z2627" s="381"/>
      <c r="AA2627" s="404"/>
      <c r="AB2627" s="444"/>
      <c r="AC2627" s="444"/>
      <c r="AD2627" s="444"/>
      <c r="AE2627" s="444"/>
      <c r="AF2627" s="444"/>
      <c r="AG2627" s="444"/>
      <c r="AH2627" s="444"/>
      <c r="AI2627" s="444"/>
      <c r="AJ2627" s="444"/>
      <c r="AK2627" s="444"/>
      <c r="AL2627" s="473"/>
      <c r="AM2627" s="473"/>
      <c r="AN2627" s="473"/>
      <c r="AO2627" s="473"/>
      <c r="AP2627" s="473"/>
      <c r="AQ2627" s="473"/>
    </row>
    <row r="2628" spans="2:43" s="400" customFormat="1" ht="31.5" customHeight="1" x14ac:dyDescent="0.45">
      <c r="D2628" s="417" t="str">
        <f>Criteria!E20</f>
        <v>29 FEBRUARY 2024</v>
      </c>
      <c r="M2628" s="426"/>
      <c r="N2628" s="406"/>
      <c r="O2628" s="426"/>
      <c r="P2628" s="402"/>
      <c r="R2628" s="403" t="str">
        <f t="shared" si="221"/>
        <v>DELETE</v>
      </c>
      <c r="S2628" s="378"/>
      <c r="T2628" s="378"/>
      <c r="U2628" s="378"/>
      <c r="V2628" s="378"/>
      <c r="W2628" s="378"/>
      <c r="X2628" s="378"/>
      <c r="Y2628" s="381"/>
      <c r="Z2628" s="381"/>
      <c r="AA2628" s="404"/>
      <c r="AB2628" s="444"/>
      <c r="AC2628" s="444"/>
      <c r="AD2628" s="444"/>
      <c r="AE2628" s="444"/>
      <c r="AF2628" s="444"/>
      <c r="AG2628" s="444"/>
      <c r="AH2628" s="444"/>
      <c r="AI2628" s="444"/>
      <c r="AJ2628" s="444"/>
      <c r="AK2628" s="444"/>
      <c r="AL2628" s="473"/>
      <c r="AM2628" s="473"/>
      <c r="AN2628" s="473"/>
      <c r="AO2628" s="473"/>
      <c r="AP2628" s="473"/>
      <c r="AQ2628" s="473"/>
    </row>
    <row r="2629" spans="2:43" s="400" customFormat="1" ht="31.5" customHeight="1" x14ac:dyDescent="0.45">
      <c r="M2629" s="426"/>
      <c r="N2629" s="406"/>
      <c r="O2629" s="426"/>
      <c r="P2629" s="402"/>
      <c r="R2629" s="403" t="str">
        <f t="shared" si="221"/>
        <v>DELETE</v>
      </c>
      <c r="S2629" s="378"/>
      <c r="T2629" s="378"/>
      <c r="U2629" s="378"/>
      <c r="V2629" s="378"/>
      <c r="W2629" s="378"/>
      <c r="X2629" s="378"/>
      <c r="Y2629" s="381"/>
      <c r="Z2629" s="381"/>
      <c r="AA2629" s="404"/>
      <c r="AB2629" s="444"/>
      <c r="AC2629" s="444"/>
      <c r="AD2629" s="444"/>
      <c r="AE2629" s="444"/>
      <c r="AF2629" s="444"/>
      <c r="AG2629" s="444"/>
      <c r="AH2629" s="444"/>
      <c r="AI2629" s="444"/>
      <c r="AJ2629" s="444"/>
      <c r="AK2629" s="444"/>
      <c r="AL2629" s="473"/>
      <c r="AM2629" s="473"/>
      <c r="AN2629" s="473"/>
      <c r="AO2629" s="473"/>
      <c r="AP2629" s="473"/>
      <c r="AQ2629" s="473"/>
    </row>
    <row r="2630" spans="2:43" s="400" customFormat="1" ht="31.5" customHeight="1" x14ac:dyDescent="0.45">
      <c r="B2630" s="438"/>
      <c r="C2630" s="439"/>
      <c r="D2630" s="439"/>
      <c r="E2630" s="439"/>
      <c r="F2630" s="439"/>
      <c r="G2630" s="439"/>
      <c r="H2630" s="439"/>
      <c r="I2630" s="439"/>
      <c r="J2630" s="439"/>
      <c r="K2630" s="439"/>
      <c r="L2630" s="439"/>
      <c r="M2630" s="469"/>
      <c r="N2630" s="470"/>
      <c r="O2630" s="469"/>
      <c r="P2630" s="448"/>
      <c r="Q2630" s="440"/>
      <c r="R2630" s="403" t="str">
        <f t="shared" si="221"/>
        <v>DELETE</v>
      </c>
      <c r="S2630" s="378"/>
      <c r="T2630" s="378"/>
      <c r="U2630" s="378"/>
      <c r="V2630" s="378"/>
      <c r="W2630" s="378"/>
      <c r="X2630" s="378"/>
      <c r="Y2630" s="381"/>
      <c r="Z2630" s="381"/>
      <c r="AA2630" s="404"/>
      <c r="AB2630" s="444"/>
      <c r="AC2630" s="444"/>
      <c r="AD2630" s="444"/>
      <c r="AE2630" s="444"/>
      <c r="AF2630" s="444"/>
      <c r="AG2630" s="444"/>
      <c r="AH2630" s="444"/>
      <c r="AI2630" s="444"/>
      <c r="AJ2630" s="444"/>
      <c r="AK2630" s="444"/>
      <c r="AL2630" s="473"/>
      <c r="AM2630" s="473"/>
      <c r="AN2630" s="473"/>
      <c r="AO2630" s="473"/>
      <c r="AP2630" s="473"/>
      <c r="AQ2630" s="473"/>
    </row>
    <row r="2631" spans="2:43" s="400" customFormat="1" ht="31.5" customHeight="1" x14ac:dyDescent="0.45">
      <c r="B2631" s="441"/>
      <c r="J2631" s="292"/>
      <c r="K2631" s="292" t="s">
        <v>104</v>
      </c>
      <c r="L2631" s="405"/>
      <c r="M2631" s="421"/>
      <c r="N2631" s="292"/>
      <c r="O2631" s="344">
        <f>Criteria!E22</f>
        <v>2024</v>
      </c>
      <c r="P2631" s="295"/>
      <c r="Q2631" s="442"/>
      <c r="R2631" s="403" t="str">
        <f t="shared" si="221"/>
        <v>DELETE</v>
      </c>
      <c r="S2631" s="378"/>
      <c r="T2631" s="378"/>
      <c r="U2631" s="378"/>
      <c r="V2631" s="378"/>
      <c r="W2631" s="378"/>
      <c r="X2631" s="378"/>
      <c r="Y2631" s="381"/>
      <c r="Z2631" s="381"/>
      <c r="AA2631" s="404"/>
      <c r="AB2631" s="444"/>
      <c r="AC2631" s="444"/>
      <c r="AD2631" s="444"/>
      <c r="AE2631" s="444"/>
      <c r="AF2631" s="444"/>
      <c r="AG2631" s="444"/>
      <c r="AH2631" s="444"/>
      <c r="AI2631" s="444"/>
      <c r="AJ2631" s="444"/>
      <c r="AK2631" s="444"/>
      <c r="AL2631" s="473"/>
      <c r="AM2631" s="473"/>
      <c r="AN2631" s="473"/>
      <c r="AO2631" s="473"/>
      <c r="AP2631" s="473"/>
      <c r="AQ2631" s="473"/>
    </row>
    <row r="2632" spans="2:43" s="400" customFormat="1" ht="31.5" customHeight="1" x14ac:dyDescent="0.45">
      <c r="B2632" s="441"/>
      <c r="J2632" s="292"/>
      <c r="K2632" s="292"/>
      <c r="L2632" s="405"/>
      <c r="M2632" s="421"/>
      <c r="N2632" s="292"/>
      <c r="O2632" s="347"/>
      <c r="P2632" s="295"/>
      <c r="Q2632" s="442"/>
      <c r="R2632" s="403" t="str">
        <f t="shared" si="221"/>
        <v>DELETE</v>
      </c>
      <c r="S2632" s="378"/>
      <c r="T2632" s="378"/>
      <c r="U2632" s="378"/>
      <c r="V2632" s="378"/>
      <c r="W2632" s="378"/>
      <c r="X2632" s="378"/>
      <c r="Y2632" s="381"/>
      <c r="Z2632" s="381"/>
      <c r="AA2632" s="404"/>
      <c r="AB2632" s="444"/>
      <c r="AC2632" s="444"/>
      <c r="AD2632" s="444"/>
      <c r="AE2632" s="444"/>
      <c r="AF2632" s="444"/>
      <c r="AG2632" s="444"/>
      <c r="AH2632" s="444"/>
      <c r="AI2632" s="444"/>
      <c r="AJ2632" s="444"/>
      <c r="AK2632" s="444"/>
      <c r="AL2632" s="473"/>
      <c r="AM2632" s="473"/>
      <c r="AN2632" s="473"/>
      <c r="AO2632" s="473"/>
      <c r="AP2632" s="473"/>
      <c r="AQ2632" s="473"/>
    </row>
    <row r="2633" spans="2:43" s="400" customFormat="1" ht="31.5" customHeight="1" x14ac:dyDescent="0.45">
      <c r="B2633" s="441"/>
      <c r="C2633" s="417" t="s">
        <v>112</v>
      </c>
      <c r="J2633" s="292"/>
      <c r="K2633" s="292"/>
      <c r="L2633" s="405"/>
      <c r="M2633" s="421"/>
      <c r="N2633" s="292"/>
      <c r="O2633" s="347">
        <f>-SUM(TrialBalanceC!I5:I10)</f>
        <v>0</v>
      </c>
      <c r="P2633" s="295"/>
      <c r="Q2633" s="442"/>
      <c r="R2633" s="403" t="str">
        <f>IF(R2621="DELETE","DELETE",IF(O2633=0,IF(O2635=0," ","DELETE")," "))</f>
        <v>DELETE</v>
      </c>
      <c r="S2633" s="380">
        <f>O2633</f>
        <v>0</v>
      </c>
      <c r="T2633" s="380"/>
      <c r="U2633" s="380"/>
      <c r="V2633" s="380"/>
      <c r="W2633" s="378"/>
      <c r="X2633" s="378"/>
      <c r="Y2633" s="381"/>
      <c r="Z2633" s="381"/>
      <c r="AA2633" s="404"/>
      <c r="AB2633" s="444"/>
      <c r="AC2633" s="444"/>
      <c r="AD2633" s="444"/>
      <c r="AE2633" s="444"/>
      <c r="AF2633" s="444"/>
      <c r="AG2633" s="444"/>
      <c r="AH2633" s="444"/>
      <c r="AI2633" s="444"/>
      <c r="AJ2633" s="444"/>
      <c r="AK2633" s="444"/>
      <c r="AL2633" s="473"/>
      <c r="AM2633" s="473"/>
      <c r="AN2633" s="473"/>
      <c r="AO2633" s="473"/>
      <c r="AP2633" s="473"/>
      <c r="AQ2633" s="473"/>
    </row>
    <row r="2634" spans="2:43" s="400" customFormat="1" ht="31.5" customHeight="1" x14ac:dyDescent="0.45">
      <c r="B2634" s="441"/>
      <c r="C2634" s="417"/>
      <c r="J2634" s="292"/>
      <c r="K2634" s="292"/>
      <c r="L2634" s="405"/>
      <c r="M2634" s="421"/>
      <c r="N2634" s="292"/>
      <c r="O2634" s="347"/>
      <c r="P2634" s="295"/>
      <c r="Q2634" s="442"/>
      <c r="R2634" s="403" t="str">
        <f>R2633</f>
        <v>DELETE</v>
      </c>
      <c r="S2634" s="380"/>
      <c r="T2634" s="380"/>
      <c r="U2634" s="380"/>
      <c r="V2634" s="380"/>
      <c r="W2634" s="378"/>
      <c r="X2634" s="378"/>
      <c r="Y2634" s="381"/>
      <c r="Z2634" s="381"/>
      <c r="AA2634" s="404"/>
      <c r="AB2634" s="444"/>
      <c r="AC2634" s="444"/>
      <c r="AD2634" s="444"/>
      <c r="AE2634" s="444"/>
      <c r="AF2634" s="444"/>
      <c r="AG2634" s="444"/>
      <c r="AH2634" s="444"/>
      <c r="AI2634" s="444"/>
      <c r="AJ2634" s="444"/>
      <c r="AK2634" s="444"/>
      <c r="AL2634" s="473"/>
      <c r="AM2634" s="473"/>
      <c r="AN2634" s="473"/>
      <c r="AO2634" s="473"/>
      <c r="AP2634" s="473"/>
      <c r="AQ2634" s="473"/>
    </row>
    <row r="2635" spans="2:43" s="400" customFormat="1" ht="31.5" customHeight="1" x14ac:dyDescent="0.45">
      <c r="B2635" s="441"/>
      <c r="C2635" s="417" t="s">
        <v>525</v>
      </c>
      <c r="J2635" s="292"/>
      <c r="K2635" s="292"/>
      <c r="L2635" s="405"/>
      <c r="M2635" s="421"/>
      <c r="N2635" s="292"/>
      <c r="O2635" s="347">
        <f>-TrialBalanceC!I11</f>
        <v>0</v>
      </c>
      <c r="P2635" s="295"/>
      <c r="Q2635" s="442"/>
      <c r="R2635" s="403" t="str">
        <f>IF(R2621="DELETE","DELETE",IF(O2635=0,"DELETE"," "))</f>
        <v>DELETE</v>
      </c>
      <c r="S2635" s="380">
        <f>O2635</f>
        <v>0</v>
      </c>
      <c r="T2635" s="380"/>
      <c r="U2635" s="380"/>
      <c r="V2635" s="380"/>
      <c r="W2635" s="378"/>
      <c r="X2635" s="378"/>
      <c r="Y2635" s="381"/>
      <c r="Z2635" s="381"/>
      <c r="AA2635" s="404"/>
      <c r="AB2635" s="444"/>
      <c r="AC2635" s="444"/>
      <c r="AD2635" s="444"/>
      <c r="AE2635" s="444"/>
      <c r="AF2635" s="444"/>
      <c r="AG2635" s="444"/>
      <c r="AH2635" s="444"/>
      <c r="AI2635" s="444"/>
      <c r="AJ2635" s="444"/>
      <c r="AK2635" s="444"/>
      <c r="AL2635" s="473"/>
      <c r="AM2635" s="473"/>
      <c r="AN2635" s="473"/>
      <c r="AO2635" s="473"/>
      <c r="AP2635" s="473"/>
      <c r="AQ2635" s="473"/>
    </row>
    <row r="2636" spans="2:43" s="400" customFormat="1" ht="31.5" customHeight="1" x14ac:dyDescent="0.45">
      <c r="B2636" s="441"/>
      <c r="C2636" s="417"/>
      <c r="J2636" s="292"/>
      <c r="K2636" s="292"/>
      <c r="L2636" s="405"/>
      <c r="M2636" s="421"/>
      <c r="N2636" s="292"/>
      <c r="O2636" s="347"/>
      <c r="P2636" s="295"/>
      <c r="Q2636" s="442"/>
      <c r="R2636" s="403" t="str">
        <f>R2635</f>
        <v>DELETE</v>
      </c>
      <c r="S2636" s="378"/>
      <c r="T2636" s="378"/>
      <c r="U2636" s="378"/>
      <c r="V2636" s="378"/>
      <c r="W2636" s="378"/>
      <c r="X2636" s="378"/>
      <c r="Y2636" s="381"/>
      <c r="Z2636" s="381"/>
      <c r="AA2636" s="404"/>
      <c r="AB2636" s="444"/>
      <c r="AC2636" s="444"/>
      <c r="AD2636" s="444"/>
      <c r="AE2636" s="444"/>
      <c r="AF2636" s="444"/>
      <c r="AG2636" s="444"/>
      <c r="AH2636" s="444"/>
      <c r="AI2636" s="444"/>
      <c r="AJ2636" s="444"/>
      <c r="AK2636" s="444"/>
      <c r="AL2636" s="473"/>
      <c r="AM2636" s="473"/>
      <c r="AN2636" s="473"/>
      <c r="AO2636" s="473"/>
      <c r="AP2636" s="473"/>
      <c r="AQ2636" s="473"/>
    </row>
    <row r="2637" spans="2:43" s="400" customFormat="1" ht="31.5" customHeight="1" x14ac:dyDescent="0.45">
      <c r="B2637" s="441"/>
      <c r="C2637" s="417" t="s">
        <v>273</v>
      </c>
      <c r="J2637" s="292"/>
      <c r="K2637" s="292"/>
      <c r="L2637" s="405"/>
      <c r="M2637" s="421"/>
      <c r="N2637" s="292"/>
      <c r="O2637" s="347">
        <f>SUM(O2640:O2647)</f>
        <v>0</v>
      </c>
      <c r="P2637" s="295"/>
      <c r="Q2637" s="442"/>
      <c r="R2637" s="403" t="str">
        <f>IF(R$2621="DELETE","DELETE",IF(O2637=0,"DELETE"," "))</f>
        <v>DELETE</v>
      </c>
      <c r="S2637" s="380">
        <f>-O2637</f>
        <v>0</v>
      </c>
      <c r="T2637" s="380"/>
      <c r="U2637" s="380"/>
      <c r="V2637" s="380"/>
      <c r="W2637" s="378"/>
      <c r="X2637" s="378"/>
      <c r="Y2637" s="381"/>
      <c r="Z2637" s="381"/>
      <c r="AA2637" s="404"/>
      <c r="AB2637" s="444"/>
      <c r="AC2637" s="444"/>
      <c r="AD2637" s="444"/>
      <c r="AE2637" s="444"/>
      <c r="AF2637" s="444"/>
      <c r="AG2637" s="444"/>
      <c r="AH2637" s="444"/>
      <c r="AI2637" s="444"/>
      <c r="AJ2637" s="444"/>
      <c r="AK2637" s="444"/>
      <c r="AL2637" s="473"/>
      <c r="AM2637" s="473"/>
      <c r="AN2637" s="473"/>
      <c r="AO2637" s="473"/>
      <c r="AP2637" s="473"/>
      <c r="AQ2637" s="473"/>
    </row>
    <row r="2638" spans="2:43" s="400" customFormat="1" ht="9" customHeight="1" x14ac:dyDescent="0.45">
      <c r="B2638" s="441"/>
      <c r="C2638" s="417"/>
      <c r="J2638" s="292"/>
      <c r="K2638" s="292"/>
      <c r="L2638" s="405"/>
      <c r="M2638" s="421"/>
      <c r="N2638" s="292"/>
      <c r="O2638" s="347"/>
      <c r="P2638" s="295"/>
      <c r="Q2638" s="442"/>
      <c r="R2638" s="403" t="str">
        <f>R2637</f>
        <v>DELETE</v>
      </c>
      <c r="S2638" s="378"/>
      <c r="T2638" s="378"/>
      <c r="U2638" s="378"/>
      <c r="V2638" s="378"/>
      <c r="W2638" s="378"/>
      <c r="X2638" s="378"/>
      <c r="Y2638" s="381"/>
      <c r="Z2638" s="381"/>
      <c r="AA2638" s="404"/>
      <c r="AB2638" s="444"/>
      <c r="AC2638" s="444"/>
      <c r="AD2638" s="444"/>
      <c r="AE2638" s="444"/>
      <c r="AF2638" s="444"/>
      <c r="AG2638" s="444"/>
      <c r="AH2638" s="444"/>
      <c r="AI2638" s="444"/>
      <c r="AJ2638" s="444"/>
      <c r="AK2638" s="444"/>
      <c r="AL2638" s="473"/>
      <c r="AM2638" s="473"/>
      <c r="AN2638" s="473"/>
      <c r="AO2638" s="473"/>
      <c r="AP2638" s="473"/>
      <c r="AQ2638" s="473"/>
    </row>
    <row r="2639" spans="2:43" s="400" customFormat="1" ht="9" customHeight="1" x14ac:dyDescent="0.45">
      <c r="B2639" s="441"/>
      <c r="C2639" s="417"/>
      <c r="J2639" s="292"/>
      <c r="K2639" s="292"/>
      <c r="L2639" s="405"/>
      <c r="M2639" s="421"/>
      <c r="N2639" s="292"/>
      <c r="O2639" s="372"/>
      <c r="P2639" s="295"/>
      <c r="Q2639" s="442"/>
      <c r="R2639" s="403" t="str">
        <f>R2638</f>
        <v>DELETE</v>
      </c>
      <c r="S2639" s="378"/>
      <c r="T2639" s="378"/>
      <c r="U2639" s="378"/>
      <c r="V2639" s="378"/>
      <c r="W2639" s="378"/>
      <c r="X2639" s="378"/>
      <c r="Y2639" s="381"/>
      <c r="Z2639" s="381"/>
      <c r="AA2639" s="404"/>
      <c r="AB2639" s="444"/>
      <c r="AC2639" s="444"/>
      <c r="AD2639" s="444"/>
      <c r="AE2639" s="444"/>
      <c r="AF2639" s="444"/>
      <c r="AG2639" s="444"/>
      <c r="AH2639" s="444"/>
      <c r="AI2639" s="444"/>
      <c r="AJ2639" s="444"/>
      <c r="AK2639" s="444"/>
      <c r="AL2639" s="473"/>
      <c r="AM2639" s="473"/>
      <c r="AN2639" s="473"/>
      <c r="AO2639" s="473"/>
      <c r="AP2639" s="473"/>
      <c r="AQ2639" s="473"/>
    </row>
    <row r="2640" spans="2:43" s="400" customFormat="1" ht="31.5" customHeight="1" x14ac:dyDescent="0.45">
      <c r="B2640" s="441"/>
      <c r="C2640" s="417"/>
      <c r="D2640" s="400" t="s">
        <v>527</v>
      </c>
      <c r="J2640" s="292"/>
      <c r="K2640" s="292"/>
      <c r="L2640" s="405"/>
      <c r="M2640" s="421"/>
      <c r="N2640" s="292"/>
      <c r="O2640" s="373">
        <f>SUM(TrialBalanceC!I13:I16)</f>
        <v>0</v>
      </c>
      <c r="P2640" s="295"/>
      <c r="Q2640" s="442"/>
      <c r="R2640" s="403" t="str">
        <f t="shared" ref="R2640:R2647" si="222">IF(R$2621="DELETE","DELETE",IF(O2640=0,"DELETE"," "))</f>
        <v>DELETE</v>
      </c>
      <c r="S2640" s="378"/>
      <c r="T2640" s="378"/>
      <c r="U2640" s="378"/>
      <c r="V2640" s="378"/>
      <c r="W2640" s="378"/>
      <c r="X2640" s="378"/>
      <c r="Y2640" s="381"/>
      <c r="Z2640" s="381"/>
      <c r="AA2640" s="404"/>
      <c r="AB2640" s="444"/>
      <c r="AC2640" s="444"/>
      <c r="AD2640" s="444"/>
      <c r="AE2640" s="444"/>
      <c r="AF2640" s="444"/>
      <c r="AG2640" s="444"/>
      <c r="AH2640" s="444"/>
      <c r="AI2640" s="444"/>
      <c r="AJ2640" s="444"/>
      <c r="AK2640" s="444"/>
      <c r="AL2640" s="473"/>
      <c r="AM2640" s="473"/>
      <c r="AN2640" s="473"/>
      <c r="AO2640" s="473"/>
      <c r="AP2640" s="473"/>
      <c r="AQ2640" s="473"/>
    </row>
    <row r="2641" spans="2:43" s="400" customFormat="1" ht="31.5" customHeight="1" x14ac:dyDescent="0.45">
      <c r="B2641" s="441"/>
      <c r="C2641" s="417"/>
      <c r="D2641" s="400" t="s">
        <v>274</v>
      </c>
      <c r="J2641" s="292"/>
      <c r="K2641" s="292"/>
      <c r="L2641" s="405"/>
      <c r="M2641" s="421"/>
      <c r="N2641" s="292"/>
      <c r="O2641" s="373">
        <f>TrialBalanceC!I17</f>
        <v>0</v>
      </c>
      <c r="P2641" s="295"/>
      <c r="Q2641" s="442"/>
      <c r="R2641" s="403" t="str">
        <f t="shared" si="222"/>
        <v>DELETE</v>
      </c>
      <c r="S2641" s="378"/>
      <c r="T2641" s="378"/>
      <c r="U2641" s="378"/>
      <c r="V2641" s="378"/>
      <c r="W2641" s="378"/>
      <c r="X2641" s="378"/>
      <c r="Y2641" s="381"/>
      <c r="Z2641" s="381"/>
      <c r="AA2641" s="404"/>
      <c r="AB2641" s="444"/>
      <c r="AC2641" s="444"/>
      <c r="AD2641" s="444"/>
      <c r="AE2641" s="444"/>
      <c r="AF2641" s="444"/>
      <c r="AG2641" s="444"/>
      <c r="AH2641" s="444"/>
      <c r="AI2641" s="444"/>
      <c r="AJ2641" s="444"/>
      <c r="AK2641" s="444"/>
      <c r="AL2641" s="473"/>
      <c r="AM2641" s="473"/>
      <c r="AN2641" s="473"/>
      <c r="AO2641" s="473"/>
      <c r="AP2641" s="473"/>
      <c r="AQ2641" s="473"/>
    </row>
    <row r="2642" spans="2:43" s="400" customFormat="1" ht="31.5" customHeight="1" x14ac:dyDescent="0.45">
      <c r="B2642" s="441"/>
      <c r="C2642" s="417"/>
      <c r="D2642" s="400">
        <f>TrialBalanceC!C18</f>
        <v>0</v>
      </c>
      <c r="J2642" s="292"/>
      <c r="K2642" s="292"/>
      <c r="L2642" s="405"/>
      <c r="M2642" s="421"/>
      <c r="N2642" s="292"/>
      <c r="O2642" s="373">
        <f>TrialBalanceC!I18</f>
        <v>0</v>
      </c>
      <c r="P2642" s="295"/>
      <c r="Q2642" s="442"/>
      <c r="R2642" s="403" t="str">
        <f t="shared" si="222"/>
        <v>DELETE</v>
      </c>
      <c r="S2642" s="378"/>
      <c r="T2642" s="378"/>
      <c r="U2642" s="378"/>
      <c r="V2642" s="378"/>
      <c r="W2642" s="378"/>
      <c r="X2642" s="378"/>
      <c r="Y2642" s="381"/>
      <c r="Z2642" s="381"/>
      <c r="AA2642" s="404"/>
      <c r="AB2642" s="444"/>
      <c r="AC2642" s="444"/>
      <c r="AD2642" s="444"/>
      <c r="AE2642" s="444"/>
      <c r="AF2642" s="444"/>
      <c r="AG2642" s="444"/>
      <c r="AH2642" s="444"/>
      <c r="AI2642" s="444"/>
      <c r="AJ2642" s="444"/>
      <c r="AK2642" s="444"/>
      <c r="AL2642" s="473"/>
      <c r="AM2642" s="473"/>
      <c r="AN2642" s="473"/>
      <c r="AO2642" s="473"/>
      <c r="AP2642" s="473"/>
      <c r="AQ2642" s="473"/>
    </row>
    <row r="2643" spans="2:43" s="400" customFormat="1" ht="31.5" customHeight="1" x14ac:dyDescent="0.45">
      <c r="B2643" s="441"/>
      <c r="C2643" s="417"/>
      <c r="D2643" s="400">
        <f>TrialBalanceC!C19</f>
        <v>0</v>
      </c>
      <c r="J2643" s="292"/>
      <c r="K2643" s="292"/>
      <c r="L2643" s="405"/>
      <c r="M2643" s="421"/>
      <c r="N2643" s="292"/>
      <c r="O2643" s="373">
        <f>TrialBalanceC!I19</f>
        <v>0</v>
      </c>
      <c r="P2643" s="295"/>
      <c r="Q2643" s="442"/>
      <c r="R2643" s="403" t="str">
        <f t="shared" si="222"/>
        <v>DELETE</v>
      </c>
      <c r="S2643" s="378"/>
      <c r="T2643" s="378"/>
      <c r="U2643" s="378"/>
      <c r="V2643" s="378"/>
      <c r="W2643" s="378"/>
      <c r="X2643" s="378"/>
      <c r="Y2643" s="381"/>
      <c r="Z2643" s="381"/>
      <c r="AA2643" s="404"/>
      <c r="AB2643" s="444"/>
      <c r="AC2643" s="444"/>
      <c r="AD2643" s="444"/>
      <c r="AE2643" s="444"/>
      <c r="AF2643" s="444"/>
      <c r="AG2643" s="444"/>
      <c r="AH2643" s="444"/>
      <c r="AI2643" s="444"/>
      <c r="AJ2643" s="444"/>
      <c r="AK2643" s="444"/>
      <c r="AL2643" s="473"/>
      <c r="AM2643" s="473"/>
      <c r="AN2643" s="473"/>
      <c r="AO2643" s="473"/>
      <c r="AP2643" s="473"/>
      <c r="AQ2643" s="473"/>
    </row>
    <row r="2644" spans="2:43" s="400" customFormat="1" ht="31.5" customHeight="1" x14ac:dyDescent="0.45">
      <c r="B2644" s="441"/>
      <c r="C2644" s="417"/>
      <c r="D2644" s="400">
        <f>TrialBalanceC!C20</f>
        <v>0</v>
      </c>
      <c r="J2644" s="292"/>
      <c r="K2644" s="292"/>
      <c r="L2644" s="405"/>
      <c r="M2644" s="421"/>
      <c r="N2644" s="292"/>
      <c r="O2644" s="373">
        <f>TrialBalanceC!I20</f>
        <v>0</v>
      </c>
      <c r="P2644" s="295"/>
      <c r="Q2644" s="442"/>
      <c r="R2644" s="403" t="str">
        <f t="shared" si="222"/>
        <v>DELETE</v>
      </c>
      <c r="S2644" s="378"/>
      <c r="T2644" s="378"/>
      <c r="U2644" s="378"/>
      <c r="V2644" s="378"/>
      <c r="W2644" s="378"/>
      <c r="X2644" s="378"/>
      <c r="Y2644" s="381"/>
      <c r="Z2644" s="381"/>
      <c r="AA2644" s="404"/>
      <c r="AB2644" s="444"/>
      <c r="AC2644" s="444"/>
      <c r="AD2644" s="444"/>
      <c r="AE2644" s="444"/>
      <c r="AF2644" s="444"/>
      <c r="AG2644" s="444"/>
      <c r="AH2644" s="444"/>
      <c r="AI2644" s="444"/>
      <c r="AJ2644" s="444"/>
      <c r="AK2644" s="444"/>
      <c r="AL2644" s="473"/>
      <c r="AM2644" s="473"/>
      <c r="AN2644" s="473"/>
      <c r="AO2644" s="473"/>
      <c r="AP2644" s="473"/>
      <c r="AQ2644" s="473"/>
    </row>
    <row r="2645" spans="2:43" s="400" customFormat="1" ht="31.5" customHeight="1" x14ac:dyDescent="0.45">
      <c r="B2645" s="441"/>
      <c r="C2645" s="417"/>
      <c r="D2645" s="400">
        <f>TrialBalanceC!C21</f>
        <v>0</v>
      </c>
      <c r="J2645" s="292"/>
      <c r="K2645" s="292"/>
      <c r="L2645" s="405"/>
      <c r="M2645" s="421"/>
      <c r="N2645" s="292"/>
      <c r="O2645" s="373">
        <f>TrialBalanceC!I21</f>
        <v>0</v>
      </c>
      <c r="P2645" s="295"/>
      <c r="Q2645" s="442"/>
      <c r="R2645" s="403" t="str">
        <f t="shared" si="222"/>
        <v>DELETE</v>
      </c>
      <c r="S2645" s="378"/>
      <c r="T2645" s="378"/>
      <c r="U2645" s="378"/>
      <c r="V2645" s="378"/>
      <c r="W2645" s="378"/>
      <c r="X2645" s="378"/>
      <c r="Y2645" s="381"/>
      <c r="Z2645" s="381"/>
      <c r="AA2645" s="404"/>
      <c r="AB2645" s="444"/>
      <c r="AC2645" s="444"/>
      <c r="AD2645" s="444"/>
      <c r="AE2645" s="444"/>
      <c r="AF2645" s="444"/>
      <c r="AG2645" s="444"/>
      <c r="AH2645" s="444"/>
      <c r="AI2645" s="444"/>
      <c r="AJ2645" s="444"/>
      <c r="AK2645" s="444"/>
      <c r="AL2645" s="473"/>
      <c r="AM2645" s="473"/>
      <c r="AN2645" s="473"/>
      <c r="AO2645" s="473"/>
      <c r="AP2645" s="473"/>
      <c r="AQ2645" s="473"/>
    </row>
    <row r="2646" spans="2:43" s="400" customFormat="1" ht="31.5" customHeight="1" x14ac:dyDescent="0.45">
      <c r="B2646" s="441"/>
      <c r="C2646" s="417"/>
      <c r="D2646" s="400">
        <f>TrialBalanceC!C22</f>
        <v>0</v>
      </c>
      <c r="J2646" s="292"/>
      <c r="K2646" s="292"/>
      <c r="L2646" s="405"/>
      <c r="M2646" s="421"/>
      <c r="N2646" s="292"/>
      <c r="O2646" s="373">
        <f>TrialBalanceC!I22</f>
        <v>0</v>
      </c>
      <c r="P2646" s="295"/>
      <c r="Q2646" s="442"/>
      <c r="R2646" s="403" t="str">
        <f t="shared" si="222"/>
        <v>DELETE</v>
      </c>
      <c r="S2646" s="378"/>
      <c r="T2646" s="378"/>
      <c r="U2646" s="378"/>
      <c r="V2646" s="378"/>
      <c r="W2646" s="378"/>
      <c r="X2646" s="378"/>
      <c r="Y2646" s="381"/>
      <c r="Z2646" s="381"/>
      <c r="AA2646" s="404"/>
      <c r="AB2646" s="444"/>
      <c r="AC2646" s="444"/>
      <c r="AD2646" s="444"/>
      <c r="AE2646" s="444"/>
      <c r="AF2646" s="444"/>
      <c r="AG2646" s="444"/>
      <c r="AH2646" s="444"/>
      <c r="AI2646" s="444"/>
      <c r="AJ2646" s="444"/>
      <c r="AK2646" s="444"/>
      <c r="AL2646" s="473"/>
      <c r="AM2646" s="473"/>
      <c r="AN2646" s="473"/>
      <c r="AO2646" s="473"/>
      <c r="AP2646" s="473"/>
      <c r="AQ2646" s="473"/>
    </row>
    <row r="2647" spans="2:43" s="400" customFormat="1" ht="31.5" customHeight="1" x14ac:dyDescent="0.45">
      <c r="B2647" s="441"/>
      <c r="C2647" s="417"/>
      <c r="D2647" s="400" t="s">
        <v>528</v>
      </c>
      <c r="J2647" s="292"/>
      <c r="K2647" s="292"/>
      <c r="L2647" s="405"/>
      <c r="M2647" s="421"/>
      <c r="N2647" s="292"/>
      <c r="O2647" s="373">
        <f>SUM(TrialBalanceC!I23:I26)</f>
        <v>0</v>
      </c>
      <c r="P2647" s="295"/>
      <c r="Q2647" s="442"/>
      <c r="R2647" s="403" t="str">
        <f t="shared" si="222"/>
        <v>DELETE</v>
      </c>
      <c r="S2647" s="378"/>
      <c r="T2647" s="378"/>
      <c r="U2647" s="378"/>
      <c r="V2647" s="378"/>
      <c r="W2647" s="378"/>
      <c r="X2647" s="378"/>
      <c r="Y2647" s="381"/>
      <c r="Z2647" s="381"/>
      <c r="AA2647" s="404"/>
      <c r="AB2647" s="444"/>
      <c r="AC2647" s="444"/>
      <c r="AD2647" s="444"/>
      <c r="AE2647" s="444"/>
      <c r="AF2647" s="444"/>
      <c r="AG2647" s="444"/>
      <c r="AH2647" s="444"/>
      <c r="AI2647" s="444"/>
      <c r="AJ2647" s="444"/>
      <c r="AK2647" s="444"/>
      <c r="AL2647" s="473"/>
      <c r="AM2647" s="473"/>
      <c r="AN2647" s="473"/>
      <c r="AO2647" s="473"/>
      <c r="AP2647" s="473"/>
      <c r="AQ2647" s="473"/>
    </row>
    <row r="2648" spans="2:43" s="400" customFormat="1" ht="9" customHeight="1" x14ac:dyDescent="0.45">
      <c r="B2648" s="441"/>
      <c r="C2648" s="417"/>
      <c r="J2648" s="292"/>
      <c r="K2648" s="292"/>
      <c r="L2648" s="405"/>
      <c r="M2648" s="421"/>
      <c r="N2648" s="292"/>
      <c r="O2648" s="374"/>
      <c r="P2648" s="295"/>
      <c r="Q2648" s="442"/>
      <c r="R2648" s="403" t="str">
        <f>R2637</f>
        <v>DELETE</v>
      </c>
      <c r="S2648" s="378"/>
      <c r="T2648" s="378"/>
      <c r="U2648" s="378"/>
      <c r="V2648" s="378"/>
      <c r="W2648" s="378"/>
      <c r="X2648" s="378"/>
      <c r="Y2648" s="381"/>
      <c r="Z2648" s="381"/>
      <c r="AA2648" s="404"/>
      <c r="AB2648" s="444"/>
      <c r="AC2648" s="444"/>
      <c r="AD2648" s="444"/>
      <c r="AE2648" s="444"/>
      <c r="AF2648" s="444"/>
      <c r="AG2648" s="444"/>
      <c r="AH2648" s="444"/>
      <c r="AI2648" s="444"/>
      <c r="AJ2648" s="444"/>
      <c r="AK2648" s="444"/>
      <c r="AL2648" s="473"/>
      <c r="AM2648" s="473"/>
      <c r="AN2648" s="473"/>
      <c r="AO2648" s="473"/>
      <c r="AP2648" s="473"/>
      <c r="AQ2648" s="473"/>
    </row>
    <row r="2649" spans="2:43" s="400" customFormat="1" ht="9" customHeight="1" x14ac:dyDescent="0.45">
      <c r="B2649" s="441"/>
      <c r="C2649" s="417"/>
      <c r="J2649" s="292"/>
      <c r="K2649" s="292"/>
      <c r="L2649" s="405"/>
      <c r="M2649" s="421"/>
      <c r="N2649" s="292"/>
      <c r="O2649" s="349"/>
      <c r="P2649" s="295"/>
      <c r="Q2649" s="442"/>
      <c r="R2649" s="403" t="str">
        <f>R2637</f>
        <v>DELETE</v>
      </c>
      <c r="S2649" s="378"/>
      <c r="T2649" s="378"/>
      <c r="U2649" s="378"/>
      <c r="V2649" s="378"/>
      <c r="W2649" s="378"/>
      <c r="X2649" s="378"/>
      <c r="Y2649" s="381"/>
      <c r="Z2649" s="381"/>
      <c r="AA2649" s="404"/>
      <c r="AB2649" s="444"/>
      <c r="AC2649" s="444"/>
      <c r="AD2649" s="444"/>
      <c r="AE2649" s="444"/>
      <c r="AF2649" s="444"/>
      <c r="AG2649" s="444"/>
      <c r="AH2649" s="444"/>
      <c r="AI2649" s="444"/>
      <c r="AJ2649" s="444"/>
      <c r="AK2649" s="444"/>
      <c r="AL2649" s="473"/>
      <c r="AM2649" s="473"/>
      <c r="AN2649" s="473"/>
      <c r="AO2649" s="473"/>
      <c r="AP2649" s="473"/>
      <c r="AQ2649" s="473"/>
    </row>
    <row r="2650" spans="2:43" s="400" customFormat="1" ht="9" customHeight="1" x14ac:dyDescent="0.45">
      <c r="B2650" s="441"/>
      <c r="C2650" s="417"/>
      <c r="J2650" s="292"/>
      <c r="K2650" s="292"/>
      <c r="L2650" s="405"/>
      <c r="M2650" s="421"/>
      <c r="N2650" s="292"/>
      <c r="O2650" s="347"/>
      <c r="P2650" s="295"/>
      <c r="Q2650" s="442"/>
      <c r="R2650" s="403" t="str">
        <f>R2649</f>
        <v>DELETE</v>
      </c>
      <c r="S2650" s="378"/>
      <c r="T2650" s="378"/>
      <c r="U2650" s="378"/>
      <c r="V2650" s="378"/>
      <c r="W2650" s="378"/>
      <c r="X2650" s="378"/>
      <c r="Y2650" s="381"/>
      <c r="Z2650" s="381"/>
      <c r="AA2650" s="404"/>
      <c r="AB2650" s="444"/>
      <c r="AC2650" s="444"/>
      <c r="AD2650" s="444"/>
      <c r="AE2650" s="444"/>
      <c r="AF2650" s="444"/>
      <c r="AG2650" s="444"/>
      <c r="AH2650" s="444"/>
      <c r="AI2650" s="444"/>
      <c r="AJ2650" s="444"/>
      <c r="AK2650" s="444"/>
      <c r="AL2650" s="473"/>
      <c r="AM2650" s="473"/>
      <c r="AN2650" s="473"/>
      <c r="AO2650" s="473"/>
      <c r="AP2650" s="473"/>
      <c r="AQ2650" s="473"/>
    </row>
    <row r="2651" spans="2:43" s="400" customFormat="1" ht="31.5" customHeight="1" x14ac:dyDescent="0.45">
      <c r="B2651" s="441"/>
      <c r="C2651" s="315" t="str">
        <f>IF(O2651&lt;0,"GROSS LOSS","GROSS PROFIT")</f>
        <v>GROSS PROFIT</v>
      </c>
      <c r="J2651" s="292"/>
      <c r="K2651" s="292"/>
      <c r="L2651" s="405"/>
      <c r="M2651" s="421"/>
      <c r="N2651" s="292"/>
      <c r="O2651" s="347">
        <f>SUM(S2633:S2648)</f>
        <v>0</v>
      </c>
      <c r="P2651" s="295"/>
      <c r="Q2651" s="442"/>
      <c r="R2651" s="403" t="str">
        <f>R2650</f>
        <v>DELETE</v>
      </c>
      <c r="S2651" s="378"/>
      <c r="T2651" s="378"/>
      <c r="U2651" s="378"/>
      <c r="V2651" s="378"/>
      <c r="W2651" s="378"/>
      <c r="X2651" s="378"/>
      <c r="Y2651" s="381"/>
      <c r="Z2651" s="381"/>
      <c r="AA2651" s="404"/>
      <c r="AB2651" s="444"/>
      <c r="AC2651" s="444"/>
      <c r="AD2651" s="444"/>
      <c r="AE2651" s="444"/>
      <c r="AF2651" s="444"/>
      <c r="AG2651" s="444"/>
      <c r="AH2651" s="444"/>
      <c r="AI2651" s="444"/>
      <c r="AJ2651" s="444"/>
      <c r="AK2651" s="444"/>
      <c r="AL2651" s="473"/>
      <c r="AM2651" s="473"/>
      <c r="AN2651" s="473"/>
      <c r="AO2651" s="473"/>
      <c r="AP2651" s="473"/>
      <c r="AQ2651" s="473"/>
    </row>
    <row r="2652" spans="2:43" s="400" customFormat="1" ht="31.5" customHeight="1" x14ac:dyDescent="0.45">
      <c r="B2652" s="441"/>
      <c r="C2652" s="417"/>
      <c r="J2652" s="292"/>
      <c r="K2652" s="292"/>
      <c r="L2652" s="405"/>
      <c r="M2652" s="421"/>
      <c r="N2652" s="292"/>
      <c r="O2652" s="347"/>
      <c r="P2652" s="295"/>
      <c r="Q2652" s="442"/>
      <c r="R2652" s="403" t="str">
        <f>R2651</f>
        <v>DELETE</v>
      </c>
      <c r="S2652" s="378"/>
      <c r="T2652" s="378"/>
      <c r="U2652" s="378"/>
      <c r="V2652" s="378"/>
      <c r="W2652" s="378"/>
      <c r="X2652" s="378"/>
      <c r="Y2652" s="381"/>
      <c r="Z2652" s="381"/>
      <c r="AA2652" s="404"/>
      <c r="AB2652" s="444"/>
      <c r="AC2652" s="444"/>
      <c r="AD2652" s="444"/>
      <c r="AE2652" s="444"/>
      <c r="AF2652" s="444"/>
      <c r="AG2652" s="444"/>
      <c r="AH2652" s="444"/>
      <c r="AI2652" s="444"/>
      <c r="AJ2652" s="444"/>
      <c r="AK2652" s="444"/>
      <c r="AL2652" s="473"/>
      <c r="AM2652" s="473"/>
      <c r="AN2652" s="473"/>
      <c r="AO2652" s="473"/>
      <c r="AP2652" s="473"/>
      <c r="AQ2652" s="473"/>
    </row>
    <row r="2653" spans="2:43" s="400" customFormat="1" ht="31.5" customHeight="1" x14ac:dyDescent="0.45">
      <c r="B2653" s="441"/>
      <c r="C2653" s="417" t="s">
        <v>323</v>
      </c>
      <c r="J2653" s="292"/>
      <c r="K2653" s="292"/>
      <c r="L2653" s="405"/>
      <c r="M2653" s="421"/>
      <c r="N2653" s="292"/>
      <c r="O2653" s="347">
        <f>SUM(O2655:O2662)</f>
        <v>0</v>
      </c>
      <c r="P2653" s="295"/>
      <c r="Q2653" s="442"/>
      <c r="R2653" s="403" t="str">
        <f t="shared" ref="R2653" si="223">IF(R$2621="DELETE","DELETE",IF(O2653=0,"DELETE"," "))</f>
        <v>DELETE</v>
      </c>
      <c r="S2653" s="380">
        <f>O2653</f>
        <v>0</v>
      </c>
      <c r="T2653" s="380"/>
      <c r="U2653" s="378"/>
      <c r="V2653" s="378"/>
      <c r="W2653" s="378"/>
      <c r="X2653" s="378"/>
      <c r="Y2653" s="381"/>
      <c r="Z2653" s="381"/>
      <c r="AA2653" s="404"/>
      <c r="AB2653" s="444"/>
      <c r="AC2653" s="444"/>
      <c r="AD2653" s="444"/>
      <c r="AE2653" s="444"/>
      <c r="AF2653" s="444"/>
      <c r="AG2653" s="444"/>
      <c r="AH2653" s="444"/>
      <c r="AI2653" s="444"/>
      <c r="AJ2653" s="444"/>
      <c r="AK2653" s="444"/>
      <c r="AL2653" s="473"/>
      <c r="AM2653" s="473"/>
      <c r="AN2653" s="473"/>
      <c r="AO2653" s="473"/>
      <c r="AP2653" s="473"/>
      <c r="AQ2653" s="473"/>
    </row>
    <row r="2654" spans="2:43" s="400" customFormat="1" ht="9" customHeight="1" x14ac:dyDescent="0.45">
      <c r="B2654" s="441"/>
      <c r="C2654" s="417"/>
      <c r="J2654" s="292"/>
      <c r="K2654" s="292"/>
      <c r="L2654" s="405"/>
      <c r="M2654" s="421"/>
      <c r="N2654" s="292"/>
      <c r="O2654" s="347"/>
      <c r="P2654" s="295"/>
      <c r="Q2654" s="442"/>
      <c r="R2654" s="403" t="str">
        <f>R2653</f>
        <v>DELETE</v>
      </c>
      <c r="S2654" s="378"/>
      <c r="T2654" s="378"/>
      <c r="U2654" s="378"/>
      <c r="V2654" s="378"/>
      <c r="W2654" s="378"/>
      <c r="X2654" s="378"/>
      <c r="Y2654" s="381"/>
      <c r="Z2654" s="381"/>
      <c r="AA2654" s="404"/>
      <c r="AB2654" s="444"/>
      <c r="AC2654" s="444"/>
      <c r="AD2654" s="444"/>
      <c r="AE2654" s="444"/>
      <c r="AF2654" s="444"/>
      <c r="AG2654" s="444"/>
      <c r="AH2654" s="444"/>
      <c r="AI2654" s="444"/>
      <c r="AJ2654" s="444"/>
      <c r="AK2654" s="444"/>
      <c r="AL2654" s="473"/>
      <c r="AM2654" s="473"/>
      <c r="AN2654" s="473"/>
      <c r="AO2654" s="473"/>
      <c r="AP2654" s="473"/>
      <c r="AQ2654" s="473"/>
    </row>
    <row r="2655" spans="2:43" s="400" customFormat="1" ht="9" customHeight="1" x14ac:dyDescent="0.45">
      <c r="B2655" s="441"/>
      <c r="C2655" s="417"/>
      <c r="J2655" s="292"/>
      <c r="K2655" s="292"/>
      <c r="L2655" s="405"/>
      <c r="M2655" s="421"/>
      <c r="N2655" s="292"/>
      <c r="O2655" s="372"/>
      <c r="P2655" s="295"/>
      <c r="Q2655" s="442"/>
      <c r="R2655" s="403" t="str">
        <f>R2653</f>
        <v>DELETE</v>
      </c>
      <c r="S2655" s="378"/>
      <c r="T2655" s="378"/>
      <c r="U2655" s="378"/>
      <c r="V2655" s="378"/>
      <c r="W2655" s="378"/>
      <c r="X2655" s="378"/>
      <c r="Y2655" s="381"/>
      <c r="Z2655" s="381"/>
      <c r="AA2655" s="404"/>
      <c r="AB2655" s="444"/>
      <c r="AC2655" s="444"/>
      <c r="AD2655" s="444"/>
      <c r="AE2655" s="444"/>
      <c r="AF2655" s="444"/>
      <c r="AG2655" s="444"/>
      <c r="AH2655" s="444"/>
      <c r="AI2655" s="444"/>
      <c r="AJ2655" s="444"/>
      <c r="AK2655" s="444"/>
      <c r="AL2655" s="473"/>
      <c r="AM2655" s="473"/>
      <c r="AN2655" s="473"/>
      <c r="AO2655" s="473"/>
      <c r="AP2655" s="473"/>
      <c r="AQ2655" s="473"/>
    </row>
    <row r="2656" spans="2:43" s="400" customFormat="1" ht="31.5" customHeight="1" x14ac:dyDescent="0.45">
      <c r="B2656" s="441"/>
      <c r="C2656" s="417"/>
      <c r="D2656" s="400" t="str">
        <f>TrialBalanceC!C28</f>
        <v xml:space="preserve">Insurance claims - </v>
      </c>
      <c r="J2656" s="292"/>
      <c r="K2656" s="292"/>
      <c r="L2656" s="405"/>
      <c r="M2656" s="421"/>
      <c r="N2656" s="292"/>
      <c r="O2656" s="373">
        <f>-TrialBalanceC!I28</f>
        <v>0</v>
      </c>
      <c r="P2656" s="295"/>
      <c r="Q2656" s="442"/>
      <c r="R2656" s="403" t="str">
        <f t="shared" ref="R2656:R2660" si="224">IF(R$2621="DELETE","DELETE",IF(O2656=0,"DELETE"," "))</f>
        <v>DELETE</v>
      </c>
      <c r="S2656" s="378"/>
      <c r="T2656" s="378"/>
      <c r="U2656" s="378"/>
      <c r="V2656" s="378"/>
      <c r="W2656" s="378"/>
      <c r="X2656" s="378"/>
      <c r="Y2656" s="381"/>
      <c r="Z2656" s="381"/>
      <c r="AA2656" s="404"/>
      <c r="AB2656" s="444"/>
      <c r="AC2656" s="444"/>
      <c r="AD2656" s="444"/>
      <c r="AE2656" s="444"/>
      <c r="AF2656" s="444"/>
      <c r="AG2656" s="444"/>
      <c r="AH2656" s="444"/>
      <c r="AI2656" s="444"/>
      <c r="AJ2656" s="444"/>
      <c r="AK2656" s="444"/>
      <c r="AL2656" s="473"/>
      <c r="AM2656" s="473"/>
      <c r="AN2656" s="473"/>
      <c r="AO2656" s="473"/>
      <c r="AP2656" s="473"/>
      <c r="AQ2656" s="473"/>
    </row>
    <row r="2657" spans="2:43" s="400" customFormat="1" ht="31.5" customHeight="1" x14ac:dyDescent="0.45">
      <c r="B2657" s="441"/>
      <c r="C2657" s="417"/>
      <c r="D2657" s="400" t="str">
        <f>TrialBalanceC!C29</f>
        <v>Government grants received</v>
      </c>
      <c r="J2657" s="292"/>
      <c r="K2657" s="292"/>
      <c r="L2657" s="405"/>
      <c r="M2657" s="421"/>
      <c r="N2657" s="292"/>
      <c r="O2657" s="373">
        <f>-TrialBalanceC!I29</f>
        <v>0</v>
      </c>
      <c r="P2657" s="295"/>
      <c r="Q2657" s="442"/>
      <c r="R2657" s="403" t="str">
        <f t="shared" si="224"/>
        <v>DELETE</v>
      </c>
      <c r="S2657" s="378"/>
      <c r="T2657" s="378"/>
      <c r="U2657" s="378"/>
      <c r="V2657" s="378"/>
      <c r="W2657" s="378"/>
      <c r="X2657" s="378"/>
      <c r="Y2657" s="381"/>
      <c r="Z2657" s="381"/>
      <c r="AA2657" s="404"/>
      <c r="AB2657" s="444"/>
      <c r="AC2657" s="444"/>
      <c r="AD2657" s="444"/>
      <c r="AE2657" s="444"/>
      <c r="AF2657" s="444"/>
      <c r="AG2657" s="444"/>
      <c r="AH2657" s="444"/>
      <c r="AI2657" s="444"/>
      <c r="AJ2657" s="444"/>
      <c r="AK2657" s="444"/>
      <c r="AL2657" s="473"/>
      <c r="AM2657" s="473"/>
      <c r="AN2657" s="473"/>
      <c r="AO2657" s="473"/>
      <c r="AP2657" s="473"/>
      <c r="AQ2657" s="473"/>
    </row>
    <row r="2658" spans="2:43" s="400" customFormat="1" ht="31.5" customHeight="1" x14ac:dyDescent="0.45">
      <c r="B2658" s="441"/>
      <c r="C2658" s="417"/>
      <c r="D2658" s="400">
        <f>TrialBalanceC!C30</f>
        <v>0</v>
      </c>
      <c r="J2658" s="292"/>
      <c r="K2658" s="292"/>
      <c r="L2658" s="405"/>
      <c r="M2658" s="421"/>
      <c r="N2658" s="292"/>
      <c r="O2658" s="373">
        <f>-TrialBalanceC!I30</f>
        <v>0</v>
      </c>
      <c r="P2658" s="295"/>
      <c r="Q2658" s="442"/>
      <c r="R2658" s="403" t="str">
        <f t="shared" si="224"/>
        <v>DELETE</v>
      </c>
      <c r="S2658" s="378"/>
      <c r="T2658" s="378"/>
      <c r="U2658" s="378"/>
      <c r="V2658" s="378"/>
      <c r="W2658" s="378"/>
      <c r="X2658" s="378"/>
      <c r="Y2658" s="381"/>
      <c r="Z2658" s="381"/>
      <c r="AA2658" s="404"/>
      <c r="AB2658" s="444"/>
      <c r="AC2658" s="444"/>
      <c r="AD2658" s="444"/>
      <c r="AE2658" s="444"/>
      <c r="AF2658" s="444"/>
      <c r="AG2658" s="444"/>
      <c r="AH2658" s="444"/>
      <c r="AI2658" s="444"/>
      <c r="AJ2658" s="444"/>
      <c r="AK2658" s="444"/>
      <c r="AL2658" s="473"/>
      <c r="AM2658" s="473"/>
      <c r="AN2658" s="473"/>
      <c r="AO2658" s="473"/>
      <c r="AP2658" s="473"/>
      <c r="AQ2658" s="473"/>
    </row>
    <row r="2659" spans="2:43" s="400" customFormat="1" ht="31.5" customHeight="1" x14ac:dyDescent="0.45">
      <c r="B2659" s="441"/>
      <c r="C2659" s="417"/>
      <c r="D2659" s="400">
        <f>TrialBalanceC!C31</f>
        <v>0</v>
      </c>
      <c r="J2659" s="292"/>
      <c r="K2659" s="292"/>
      <c r="L2659" s="405"/>
      <c r="M2659" s="421"/>
      <c r="N2659" s="292"/>
      <c r="O2659" s="373">
        <f>-TrialBalanceC!I31</f>
        <v>0</v>
      </c>
      <c r="P2659" s="295"/>
      <c r="Q2659" s="442"/>
      <c r="R2659" s="403" t="str">
        <f t="shared" si="224"/>
        <v>DELETE</v>
      </c>
      <c r="S2659" s="378"/>
      <c r="T2659" s="378"/>
      <c r="U2659" s="378"/>
      <c r="V2659" s="378"/>
      <c r="W2659" s="378"/>
      <c r="X2659" s="378"/>
      <c r="Y2659" s="381"/>
      <c r="Z2659" s="381"/>
      <c r="AA2659" s="404"/>
      <c r="AB2659" s="444"/>
      <c r="AC2659" s="444"/>
      <c r="AD2659" s="444"/>
      <c r="AE2659" s="444"/>
      <c r="AF2659" s="444"/>
      <c r="AG2659" s="444"/>
      <c r="AH2659" s="444"/>
      <c r="AI2659" s="444"/>
      <c r="AJ2659" s="444"/>
      <c r="AK2659" s="444"/>
      <c r="AL2659" s="473"/>
      <c r="AM2659" s="473"/>
      <c r="AN2659" s="473"/>
      <c r="AO2659" s="473"/>
      <c r="AP2659" s="473"/>
      <c r="AQ2659" s="473"/>
    </row>
    <row r="2660" spans="2:43" s="400" customFormat="1" ht="31.5" customHeight="1" x14ac:dyDescent="0.45">
      <c r="B2660" s="441"/>
      <c r="C2660" s="417"/>
      <c r="D2660" s="400">
        <f>TrialBalanceC!C32</f>
        <v>0</v>
      </c>
      <c r="J2660" s="292"/>
      <c r="K2660" s="292"/>
      <c r="L2660" s="405"/>
      <c r="M2660" s="421"/>
      <c r="N2660" s="292"/>
      <c r="O2660" s="373">
        <f>-TrialBalanceC!I32</f>
        <v>0</v>
      </c>
      <c r="P2660" s="295"/>
      <c r="Q2660" s="442"/>
      <c r="R2660" s="403" t="str">
        <f t="shared" si="224"/>
        <v>DELETE</v>
      </c>
      <c r="S2660" s="378"/>
      <c r="T2660" s="378"/>
      <c r="U2660" s="378"/>
      <c r="V2660" s="378"/>
      <c r="W2660" s="378"/>
      <c r="X2660" s="378"/>
      <c r="Y2660" s="381"/>
      <c r="Z2660" s="381"/>
      <c r="AA2660" s="404"/>
      <c r="AB2660" s="444"/>
      <c r="AC2660" s="444"/>
      <c r="AD2660" s="444"/>
      <c r="AE2660" s="444"/>
      <c r="AF2660" s="444"/>
      <c r="AG2660" s="444"/>
      <c r="AH2660" s="444"/>
      <c r="AI2660" s="444"/>
      <c r="AJ2660" s="444"/>
      <c r="AK2660" s="444"/>
      <c r="AL2660" s="473"/>
      <c r="AM2660" s="473"/>
      <c r="AN2660" s="473"/>
      <c r="AO2660" s="473"/>
      <c r="AP2660" s="473"/>
      <c r="AQ2660" s="473"/>
    </row>
    <row r="2661" spans="2:43" s="400" customFormat="1" ht="31.5" customHeight="1" x14ac:dyDescent="0.45">
      <c r="B2661" s="441"/>
      <c r="C2661" s="417"/>
      <c r="D2661" s="400" t="str">
        <f>TrialBalanceC!C33</f>
        <v>Recoupment of depreciation</v>
      </c>
      <c r="J2661" s="292"/>
      <c r="K2661" s="292"/>
      <c r="L2661" s="405"/>
      <c r="M2661" s="421"/>
      <c r="N2661" s="292"/>
      <c r="O2661" s="373">
        <f>-TrialBalanceC!I33</f>
        <v>0</v>
      </c>
      <c r="P2661" s="295"/>
      <c r="Q2661" s="442"/>
      <c r="R2661" s="403" t="str">
        <f t="shared" ref="R2661" si="225">IF(R$2621="DELETE","DELETE",IF(O2661=0,"DELETE"," "))</f>
        <v>DELETE</v>
      </c>
      <c r="S2661" s="378"/>
      <c r="T2661" s="378"/>
      <c r="U2661" s="378"/>
      <c r="V2661" s="378"/>
      <c r="W2661" s="378"/>
      <c r="X2661" s="378"/>
      <c r="Y2661" s="381"/>
      <c r="Z2661" s="381"/>
      <c r="AA2661" s="404"/>
      <c r="AB2661" s="444"/>
      <c r="AC2661" s="444"/>
      <c r="AD2661" s="444"/>
      <c r="AE2661" s="444"/>
      <c r="AF2661" s="444"/>
      <c r="AG2661" s="444"/>
      <c r="AH2661" s="444"/>
      <c r="AI2661" s="444"/>
      <c r="AJ2661" s="444"/>
      <c r="AK2661" s="444"/>
      <c r="AL2661" s="473"/>
      <c r="AM2661" s="473"/>
      <c r="AN2661" s="473"/>
      <c r="AO2661" s="473"/>
      <c r="AP2661" s="473"/>
      <c r="AQ2661" s="473"/>
    </row>
    <row r="2662" spans="2:43" s="400" customFormat="1" ht="9" customHeight="1" x14ac:dyDescent="0.45">
      <c r="B2662" s="441"/>
      <c r="C2662" s="417"/>
      <c r="J2662" s="292"/>
      <c r="K2662" s="292"/>
      <c r="L2662" s="405"/>
      <c r="M2662" s="421"/>
      <c r="N2662" s="292"/>
      <c r="O2662" s="374"/>
      <c r="P2662" s="295"/>
      <c r="Q2662" s="442"/>
      <c r="R2662" s="403" t="str">
        <f>R2653</f>
        <v>DELETE</v>
      </c>
      <c r="S2662" s="378"/>
      <c r="T2662" s="378"/>
      <c r="U2662" s="378"/>
      <c r="V2662" s="378"/>
      <c r="W2662" s="378"/>
      <c r="X2662" s="378"/>
      <c r="Y2662" s="381"/>
      <c r="Z2662" s="381"/>
      <c r="AA2662" s="404"/>
      <c r="AB2662" s="444"/>
      <c r="AC2662" s="444"/>
      <c r="AD2662" s="444"/>
      <c r="AE2662" s="444"/>
      <c r="AF2662" s="444"/>
      <c r="AG2662" s="444"/>
      <c r="AH2662" s="444"/>
      <c r="AI2662" s="444"/>
      <c r="AJ2662" s="444"/>
      <c r="AK2662" s="444"/>
      <c r="AL2662" s="473"/>
      <c r="AM2662" s="473"/>
      <c r="AN2662" s="473"/>
      <c r="AO2662" s="473"/>
      <c r="AP2662" s="473"/>
      <c r="AQ2662" s="473"/>
    </row>
    <row r="2663" spans="2:43" s="400" customFormat="1" ht="9" customHeight="1" x14ac:dyDescent="0.45">
      <c r="B2663" s="441"/>
      <c r="C2663" s="417"/>
      <c r="J2663" s="292"/>
      <c r="K2663" s="292"/>
      <c r="L2663" s="405"/>
      <c r="M2663" s="421"/>
      <c r="N2663" s="292"/>
      <c r="O2663" s="364"/>
      <c r="P2663" s="295"/>
      <c r="Q2663" s="442"/>
      <c r="R2663" s="403" t="str">
        <f>R2662</f>
        <v>DELETE</v>
      </c>
      <c r="S2663" s="378"/>
      <c r="T2663" s="378"/>
      <c r="U2663" s="378"/>
      <c r="V2663" s="378"/>
      <c r="W2663" s="378"/>
      <c r="X2663" s="378"/>
      <c r="Y2663" s="381"/>
      <c r="Z2663" s="381"/>
      <c r="AA2663" s="404"/>
      <c r="AB2663" s="444"/>
      <c r="AC2663" s="444"/>
      <c r="AD2663" s="444"/>
      <c r="AE2663" s="444"/>
      <c r="AF2663" s="444"/>
      <c r="AG2663" s="444"/>
      <c r="AH2663" s="444"/>
      <c r="AI2663" s="444"/>
      <c r="AJ2663" s="444"/>
      <c r="AK2663" s="444"/>
      <c r="AL2663" s="473"/>
      <c r="AM2663" s="473"/>
      <c r="AN2663" s="473"/>
      <c r="AO2663" s="473"/>
      <c r="AP2663" s="473"/>
      <c r="AQ2663" s="473"/>
    </row>
    <row r="2664" spans="2:43" s="400" customFormat="1" ht="9" customHeight="1" x14ac:dyDescent="0.45">
      <c r="B2664" s="441"/>
      <c r="C2664" s="417"/>
      <c r="J2664" s="292"/>
      <c r="K2664" s="292"/>
      <c r="L2664" s="405"/>
      <c r="M2664" s="421"/>
      <c r="N2664" s="292"/>
      <c r="O2664" s="347"/>
      <c r="P2664" s="295"/>
      <c r="Q2664" s="442"/>
      <c r="R2664" s="403" t="str">
        <f>R2663</f>
        <v>DELETE</v>
      </c>
      <c r="S2664" s="378"/>
      <c r="T2664" s="378"/>
      <c r="U2664" s="378"/>
      <c r="V2664" s="378"/>
      <c r="W2664" s="378"/>
      <c r="X2664" s="378"/>
      <c r="Y2664" s="381"/>
      <c r="Z2664" s="381"/>
      <c r="AA2664" s="404"/>
      <c r="AB2664" s="444"/>
      <c r="AC2664" s="444"/>
      <c r="AD2664" s="444"/>
      <c r="AE2664" s="444"/>
      <c r="AF2664" s="444"/>
      <c r="AG2664" s="444"/>
      <c r="AH2664" s="444"/>
      <c r="AI2664" s="444"/>
      <c r="AJ2664" s="444"/>
      <c r="AK2664" s="444"/>
      <c r="AL2664" s="473"/>
      <c r="AM2664" s="473"/>
      <c r="AN2664" s="473"/>
      <c r="AO2664" s="473"/>
      <c r="AP2664" s="473"/>
      <c r="AQ2664" s="473"/>
    </row>
    <row r="2665" spans="2:43" s="400" customFormat="1" ht="31.5" customHeight="1" x14ac:dyDescent="0.45">
      <c r="B2665" s="441"/>
      <c r="C2665" s="417"/>
      <c r="J2665" s="292"/>
      <c r="K2665" s="292"/>
      <c r="L2665" s="405"/>
      <c r="M2665" s="421"/>
      <c r="N2665" s="292"/>
      <c r="O2665" s="347">
        <f>SUM(S2633:S2653)</f>
        <v>0</v>
      </c>
      <c r="P2665" s="295"/>
      <c r="Q2665" s="442"/>
      <c r="R2665" s="403" t="str">
        <f>R2653</f>
        <v>DELETE</v>
      </c>
      <c r="S2665" s="378"/>
      <c r="T2665" s="378"/>
      <c r="U2665" s="378"/>
      <c r="V2665" s="378"/>
      <c r="W2665" s="378"/>
      <c r="X2665" s="378"/>
      <c r="Y2665" s="381"/>
      <c r="Z2665" s="381"/>
      <c r="AA2665" s="404"/>
      <c r="AB2665" s="444"/>
      <c r="AC2665" s="444"/>
      <c r="AD2665" s="444"/>
      <c r="AE2665" s="444"/>
      <c r="AF2665" s="444"/>
      <c r="AG2665" s="444"/>
      <c r="AH2665" s="444"/>
      <c r="AI2665" s="444"/>
      <c r="AJ2665" s="444"/>
      <c r="AK2665" s="444"/>
      <c r="AL2665" s="473"/>
      <c r="AM2665" s="473"/>
      <c r="AN2665" s="473"/>
      <c r="AO2665" s="473"/>
      <c r="AP2665" s="473"/>
      <c r="AQ2665" s="473"/>
    </row>
    <row r="2666" spans="2:43" s="400" customFormat="1" ht="31.5" customHeight="1" x14ac:dyDescent="0.45">
      <c r="B2666" s="441"/>
      <c r="C2666" s="417"/>
      <c r="J2666" s="292"/>
      <c r="K2666" s="292"/>
      <c r="L2666" s="405"/>
      <c r="M2666" s="421"/>
      <c r="N2666" s="292"/>
      <c r="O2666" s="347"/>
      <c r="P2666" s="295"/>
      <c r="Q2666" s="442"/>
      <c r="R2666" s="403" t="str">
        <f>R2665</f>
        <v>DELETE</v>
      </c>
      <c r="S2666" s="378"/>
      <c r="T2666" s="378"/>
      <c r="U2666" s="378"/>
      <c r="V2666" s="378"/>
      <c r="W2666" s="378"/>
      <c r="X2666" s="378"/>
      <c r="Y2666" s="381"/>
      <c r="Z2666" s="381"/>
      <c r="AA2666" s="404"/>
      <c r="AB2666" s="444"/>
      <c r="AC2666" s="444"/>
      <c r="AD2666" s="444"/>
      <c r="AE2666" s="444"/>
      <c r="AF2666" s="444"/>
      <c r="AG2666" s="444"/>
      <c r="AH2666" s="444"/>
      <c r="AI2666" s="444"/>
      <c r="AJ2666" s="444"/>
      <c r="AK2666" s="444"/>
      <c r="AL2666" s="473"/>
      <c r="AM2666" s="473"/>
      <c r="AN2666" s="473"/>
      <c r="AO2666" s="473"/>
      <c r="AP2666" s="473"/>
      <c r="AQ2666" s="473"/>
    </row>
    <row r="2667" spans="2:43" s="400" customFormat="1" ht="31.5" customHeight="1" x14ac:dyDescent="0.45">
      <c r="B2667" s="441"/>
      <c r="C2667" s="417" t="s">
        <v>996</v>
      </c>
      <c r="J2667" s="292"/>
      <c r="K2667" s="292"/>
      <c r="L2667" s="405"/>
      <c r="M2667" s="421"/>
      <c r="N2667" s="292"/>
      <c r="O2667" s="347">
        <f>SUM(O2669:O2697)</f>
        <v>0</v>
      </c>
      <c r="P2667" s="295"/>
      <c r="Q2667" s="442"/>
      <c r="R2667" s="403" t="str">
        <f t="shared" ref="R2667" si="226">IF(R$2621="DELETE","DELETE",IF(O2667=0,"DELETE"," "))</f>
        <v>DELETE</v>
      </c>
      <c r="S2667" s="380">
        <f>-O2667</f>
        <v>0</v>
      </c>
      <c r="T2667" s="380"/>
      <c r="U2667" s="380"/>
      <c r="V2667" s="380"/>
      <c r="W2667" s="378"/>
      <c r="X2667" s="378"/>
      <c r="Y2667" s="381"/>
      <c r="Z2667" s="381"/>
      <c r="AA2667" s="404"/>
      <c r="AB2667" s="444"/>
      <c r="AC2667" s="444"/>
      <c r="AD2667" s="444"/>
      <c r="AE2667" s="444"/>
      <c r="AF2667" s="444"/>
      <c r="AG2667" s="444"/>
      <c r="AH2667" s="444"/>
      <c r="AI2667" s="444"/>
      <c r="AJ2667" s="444"/>
      <c r="AK2667" s="444"/>
      <c r="AL2667" s="473"/>
      <c r="AM2667" s="473"/>
      <c r="AN2667" s="473"/>
      <c r="AO2667" s="473"/>
      <c r="AP2667" s="473"/>
      <c r="AQ2667" s="473"/>
    </row>
    <row r="2668" spans="2:43" s="400" customFormat="1" ht="9" customHeight="1" x14ac:dyDescent="0.45">
      <c r="B2668" s="441"/>
      <c r="C2668" s="417"/>
      <c r="J2668" s="292"/>
      <c r="K2668" s="292"/>
      <c r="L2668" s="405"/>
      <c r="M2668" s="421"/>
      <c r="N2668" s="292"/>
      <c r="O2668" s="347"/>
      <c r="P2668" s="295"/>
      <c r="Q2668" s="442"/>
      <c r="R2668" s="403" t="str">
        <f>R2667</f>
        <v>DELETE</v>
      </c>
      <c r="S2668" s="378"/>
      <c r="T2668" s="378"/>
      <c r="U2668" s="378"/>
      <c r="V2668" s="378"/>
      <c r="W2668" s="378"/>
      <c r="X2668" s="378"/>
      <c r="Y2668" s="381"/>
      <c r="Z2668" s="381"/>
      <c r="AA2668" s="404"/>
      <c r="AB2668" s="444"/>
      <c r="AC2668" s="444"/>
      <c r="AD2668" s="444"/>
      <c r="AE2668" s="444"/>
      <c r="AF2668" s="444"/>
      <c r="AG2668" s="444"/>
      <c r="AH2668" s="444"/>
      <c r="AI2668" s="444"/>
      <c r="AJ2668" s="444"/>
      <c r="AK2668" s="444"/>
      <c r="AL2668" s="473"/>
      <c r="AM2668" s="473"/>
      <c r="AN2668" s="473"/>
      <c r="AO2668" s="473"/>
      <c r="AP2668" s="473"/>
      <c r="AQ2668" s="473"/>
    </row>
    <row r="2669" spans="2:43" s="400" customFormat="1" ht="9" customHeight="1" x14ac:dyDescent="0.45">
      <c r="B2669" s="441"/>
      <c r="C2669" s="417"/>
      <c r="J2669" s="292"/>
      <c r="K2669" s="292"/>
      <c r="L2669" s="405"/>
      <c r="M2669" s="421"/>
      <c r="N2669" s="292"/>
      <c r="O2669" s="372"/>
      <c r="P2669" s="295"/>
      <c r="Q2669" s="442"/>
      <c r="R2669" s="403" t="str">
        <f>R2668</f>
        <v>DELETE</v>
      </c>
      <c r="S2669" s="378"/>
      <c r="T2669" s="378"/>
      <c r="U2669" s="378"/>
      <c r="V2669" s="378"/>
      <c r="W2669" s="378"/>
      <c r="X2669" s="378"/>
      <c r="Y2669" s="381"/>
      <c r="Z2669" s="381"/>
      <c r="AA2669" s="404"/>
      <c r="AB2669" s="444"/>
      <c r="AC2669" s="444"/>
      <c r="AD2669" s="444"/>
      <c r="AE2669" s="444"/>
      <c r="AF2669" s="444"/>
      <c r="AG2669" s="444"/>
      <c r="AH2669" s="444"/>
      <c r="AI2669" s="444"/>
      <c r="AJ2669" s="444"/>
      <c r="AK2669" s="444"/>
      <c r="AL2669" s="473"/>
      <c r="AM2669" s="473"/>
      <c r="AN2669" s="473"/>
      <c r="AO2669" s="473"/>
      <c r="AP2669" s="473"/>
      <c r="AQ2669" s="473"/>
    </row>
    <row r="2670" spans="2:43" s="400" customFormat="1" ht="31.5" customHeight="1" x14ac:dyDescent="0.45">
      <c r="B2670" s="441"/>
      <c r="C2670" s="417"/>
      <c r="D2670" s="400" t="s">
        <v>275</v>
      </c>
      <c r="J2670" s="292"/>
      <c r="K2670" s="292"/>
      <c r="L2670" s="405"/>
      <c r="M2670" s="421"/>
      <c r="N2670" s="292"/>
      <c r="O2670" s="373">
        <f>TrialBalanceC!I40</f>
        <v>0</v>
      </c>
      <c r="P2670" s="295"/>
      <c r="Q2670" s="442"/>
      <c r="R2670" s="403" t="str">
        <f t="shared" ref="R2670:R2696" si="227">IF(R$2621="DELETE","DELETE",IF(O2670=0,"DELETE"," "))</f>
        <v>DELETE</v>
      </c>
      <c r="S2670" s="378"/>
      <c r="T2670" s="378"/>
      <c r="U2670" s="378"/>
      <c r="V2670" s="378"/>
      <c r="W2670" s="378"/>
      <c r="X2670" s="378"/>
      <c r="Y2670" s="381"/>
      <c r="Z2670" s="381"/>
      <c r="AA2670" s="404"/>
      <c r="AB2670" s="444"/>
      <c r="AC2670" s="444"/>
      <c r="AD2670" s="444"/>
      <c r="AE2670" s="444"/>
      <c r="AF2670" s="444"/>
      <c r="AG2670" s="444"/>
      <c r="AH2670" s="444"/>
      <c r="AI2670" s="444"/>
      <c r="AJ2670" s="444"/>
      <c r="AK2670" s="444"/>
      <c r="AL2670" s="473"/>
      <c r="AM2670" s="473"/>
      <c r="AN2670" s="473"/>
      <c r="AO2670" s="473"/>
      <c r="AP2670" s="473"/>
      <c r="AQ2670" s="473"/>
    </row>
    <row r="2671" spans="2:43" s="400" customFormat="1" ht="31.5" customHeight="1" x14ac:dyDescent="0.45">
      <c r="B2671" s="441"/>
      <c r="C2671" s="417"/>
      <c r="D2671" s="400" t="s">
        <v>702</v>
      </c>
      <c r="J2671" s="292"/>
      <c r="K2671" s="292"/>
      <c r="L2671" s="405"/>
      <c r="M2671" s="421"/>
      <c r="N2671" s="292"/>
      <c r="O2671" s="373">
        <f>TrialBalanceC!I41</f>
        <v>0</v>
      </c>
      <c r="P2671" s="295"/>
      <c r="Q2671" s="442"/>
      <c r="R2671" s="403" t="str">
        <f t="shared" si="227"/>
        <v>DELETE</v>
      </c>
      <c r="S2671" s="378"/>
      <c r="T2671" s="378"/>
      <c r="U2671" s="378"/>
      <c r="V2671" s="378"/>
      <c r="W2671" s="378"/>
      <c r="X2671" s="378"/>
      <c r="Y2671" s="381"/>
      <c r="Z2671" s="381"/>
      <c r="AA2671" s="404"/>
      <c r="AB2671" s="444"/>
      <c r="AC2671" s="444"/>
      <c r="AD2671" s="444"/>
      <c r="AE2671" s="444"/>
      <c r="AF2671" s="444"/>
      <c r="AG2671" s="444"/>
      <c r="AH2671" s="444"/>
      <c r="AI2671" s="444"/>
      <c r="AJ2671" s="444"/>
      <c r="AK2671" s="444"/>
      <c r="AL2671" s="473"/>
      <c r="AM2671" s="473"/>
      <c r="AN2671" s="473"/>
      <c r="AO2671" s="473"/>
      <c r="AP2671" s="473"/>
      <c r="AQ2671" s="473"/>
    </row>
    <row r="2672" spans="2:43" s="400" customFormat="1" ht="31.5" customHeight="1" x14ac:dyDescent="0.45">
      <c r="B2672" s="441"/>
      <c r="C2672" s="417"/>
      <c r="D2672" s="400" t="s">
        <v>276</v>
      </c>
      <c r="J2672" s="292"/>
      <c r="K2672" s="292"/>
      <c r="L2672" s="405"/>
      <c r="M2672" s="421"/>
      <c r="N2672" s="292"/>
      <c r="O2672" s="373">
        <f>TrialBalanceC!I42</f>
        <v>0</v>
      </c>
      <c r="P2672" s="295"/>
      <c r="Q2672" s="442"/>
      <c r="R2672" s="403" t="str">
        <f t="shared" si="227"/>
        <v>DELETE</v>
      </c>
      <c r="S2672" s="378"/>
      <c r="T2672" s="378"/>
      <c r="U2672" s="378"/>
      <c r="V2672" s="378"/>
      <c r="W2672" s="378"/>
      <c r="X2672" s="378"/>
      <c r="Y2672" s="381"/>
      <c r="Z2672" s="381"/>
      <c r="AA2672" s="404"/>
      <c r="AB2672" s="444"/>
      <c r="AC2672" s="444"/>
      <c r="AD2672" s="444"/>
      <c r="AE2672" s="444"/>
      <c r="AF2672" s="444"/>
      <c r="AG2672" s="444"/>
      <c r="AH2672" s="444"/>
      <c r="AI2672" s="444"/>
      <c r="AJ2672" s="444"/>
      <c r="AK2672" s="444"/>
      <c r="AL2672" s="473"/>
      <c r="AM2672" s="473"/>
      <c r="AN2672" s="473"/>
      <c r="AO2672" s="473"/>
      <c r="AP2672" s="473"/>
      <c r="AQ2672" s="473"/>
    </row>
    <row r="2673" spans="2:43" s="400" customFormat="1" ht="31.5" customHeight="1" x14ac:dyDescent="0.45">
      <c r="B2673" s="441"/>
      <c r="C2673" s="417"/>
      <c r="D2673" s="400" t="s">
        <v>277</v>
      </c>
      <c r="J2673" s="292"/>
      <c r="K2673" s="292">
        <f>C$940</f>
        <v>5.2999999999999989</v>
      </c>
      <c r="L2673" s="405"/>
      <c r="M2673" s="421"/>
      <c r="N2673" s="292"/>
      <c r="O2673" s="373">
        <f>SUM(TrialBalanceC!I44:I46)</f>
        <v>0</v>
      </c>
      <c r="P2673" s="295"/>
      <c r="Q2673" s="442"/>
      <c r="R2673" s="403" t="str">
        <f t="shared" si="227"/>
        <v>DELETE</v>
      </c>
      <c r="S2673" s="378"/>
      <c r="T2673" s="378"/>
      <c r="U2673" s="378"/>
      <c r="V2673" s="378"/>
      <c r="W2673" s="378"/>
      <c r="X2673" s="378"/>
      <c r="Y2673" s="381"/>
      <c r="Z2673" s="381"/>
      <c r="AA2673" s="404"/>
      <c r="AB2673" s="444"/>
      <c r="AC2673" s="444"/>
      <c r="AD2673" s="444"/>
      <c r="AE2673" s="444"/>
      <c r="AF2673" s="444"/>
      <c r="AG2673" s="444"/>
      <c r="AH2673" s="444"/>
      <c r="AI2673" s="444"/>
      <c r="AJ2673" s="444"/>
      <c r="AK2673" s="444"/>
      <c r="AL2673" s="473"/>
      <c r="AM2673" s="473"/>
      <c r="AN2673" s="473"/>
      <c r="AO2673" s="473"/>
      <c r="AP2673" s="473"/>
      <c r="AQ2673" s="473"/>
    </row>
    <row r="2674" spans="2:43" s="400" customFormat="1" ht="31.5" customHeight="1" x14ac:dyDescent="0.45">
      <c r="B2674" s="441"/>
      <c r="C2674" s="417"/>
      <c r="D2674" s="400" t="s">
        <v>529</v>
      </c>
      <c r="J2674" s="292"/>
      <c r="K2674" s="292"/>
      <c r="L2674" s="405"/>
      <c r="M2674" s="421"/>
      <c r="N2674" s="292"/>
      <c r="O2674" s="373">
        <f>TrialBalanceC!I47</f>
        <v>0</v>
      </c>
      <c r="P2674" s="295"/>
      <c r="Q2674" s="442"/>
      <c r="R2674" s="403" t="str">
        <f t="shared" si="227"/>
        <v>DELETE</v>
      </c>
      <c r="S2674" s="383"/>
      <c r="T2674" s="383"/>
      <c r="U2674" s="383"/>
      <c r="V2674" s="383"/>
      <c r="W2674" s="378"/>
      <c r="X2674" s="378"/>
      <c r="Y2674" s="381"/>
      <c r="Z2674" s="381"/>
      <c r="AA2674" s="404"/>
      <c r="AB2674" s="444"/>
      <c r="AC2674" s="444"/>
      <c r="AD2674" s="444"/>
      <c r="AE2674" s="444"/>
      <c r="AF2674" s="444"/>
      <c r="AG2674" s="444"/>
      <c r="AH2674" s="444"/>
      <c r="AI2674" s="444"/>
      <c r="AJ2674" s="444"/>
      <c r="AK2674" s="444"/>
      <c r="AL2674" s="473"/>
      <c r="AM2674" s="473"/>
      <c r="AN2674" s="473"/>
      <c r="AO2674" s="473"/>
      <c r="AP2674" s="473"/>
      <c r="AQ2674" s="473"/>
    </row>
    <row r="2675" spans="2:43" s="400" customFormat="1" ht="31.5" customHeight="1" x14ac:dyDescent="0.45">
      <c r="B2675" s="441"/>
      <c r="C2675" s="417"/>
      <c r="D2675" s="400" t="s">
        <v>725</v>
      </c>
      <c r="J2675" s="292"/>
      <c r="K2675" s="292"/>
      <c r="L2675" s="405"/>
      <c r="M2675" s="421"/>
      <c r="N2675" s="292"/>
      <c r="O2675" s="373">
        <f>TrialBalanceC!I48</f>
        <v>0</v>
      </c>
      <c r="P2675" s="295"/>
      <c r="Q2675" s="442"/>
      <c r="R2675" s="403" t="str">
        <f t="shared" si="227"/>
        <v>DELETE</v>
      </c>
      <c r="S2675" s="378"/>
      <c r="T2675" s="378"/>
      <c r="U2675" s="378"/>
      <c r="V2675" s="378"/>
      <c r="W2675" s="378"/>
      <c r="X2675" s="378"/>
      <c r="Y2675" s="381"/>
      <c r="Z2675" s="381"/>
      <c r="AA2675" s="404"/>
      <c r="AB2675" s="444"/>
      <c r="AC2675" s="444"/>
      <c r="AD2675" s="444"/>
      <c r="AE2675" s="444"/>
      <c r="AF2675" s="444"/>
      <c r="AG2675" s="444"/>
      <c r="AH2675" s="444"/>
      <c r="AI2675" s="444"/>
      <c r="AJ2675" s="444"/>
      <c r="AK2675" s="444"/>
      <c r="AL2675" s="473"/>
      <c r="AM2675" s="473"/>
      <c r="AN2675" s="473"/>
      <c r="AO2675" s="473"/>
      <c r="AP2675" s="473"/>
      <c r="AQ2675" s="473"/>
    </row>
    <row r="2676" spans="2:43" s="400" customFormat="1" ht="31.5" customHeight="1" x14ac:dyDescent="0.45">
      <c r="B2676" s="441"/>
      <c r="C2676" s="417"/>
      <c r="D2676" s="400" t="s">
        <v>59</v>
      </c>
      <c r="J2676" s="292"/>
      <c r="K2676" s="292"/>
      <c r="L2676" s="405"/>
      <c r="M2676" s="421"/>
      <c r="N2676" s="292"/>
      <c r="O2676" s="373">
        <f>TrialBalanceC!I49</f>
        <v>0</v>
      </c>
      <c r="P2676" s="295"/>
      <c r="Q2676" s="442"/>
      <c r="R2676" s="403" t="str">
        <f t="shared" si="227"/>
        <v>DELETE</v>
      </c>
      <c r="S2676" s="378"/>
      <c r="T2676" s="378"/>
      <c r="U2676" s="378"/>
      <c r="V2676" s="378"/>
      <c r="W2676" s="378"/>
      <c r="X2676" s="378"/>
      <c r="Y2676" s="381"/>
      <c r="Z2676" s="381"/>
      <c r="AA2676" s="404"/>
      <c r="AB2676" s="444"/>
      <c r="AC2676" s="444"/>
      <c r="AD2676" s="444"/>
      <c r="AE2676" s="444"/>
      <c r="AF2676" s="444"/>
      <c r="AG2676" s="444"/>
      <c r="AH2676" s="444"/>
      <c r="AI2676" s="444"/>
      <c r="AJ2676" s="444"/>
      <c r="AK2676" s="444"/>
      <c r="AL2676" s="473"/>
      <c r="AM2676" s="473"/>
      <c r="AN2676" s="473"/>
      <c r="AO2676" s="473"/>
      <c r="AP2676" s="473"/>
      <c r="AQ2676" s="473"/>
    </row>
    <row r="2677" spans="2:43" s="400" customFormat="1" ht="31.5" customHeight="1" x14ac:dyDescent="0.45">
      <c r="B2677" s="441"/>
      <c r="C2677" s="417"/>
      <c r="D2677" s="400" t="s">
        <v>278</v>
      </c>
      <c r="J2677" s="292"/>
      <c r="K2677" s="292"/>
      <c r="L2677" s="405"/>
      <c r="M2677" s="421"/>
      <c r="N2677" s="292"/>
      <c r="O2677" s="373">
        <f>TrialBalanceC!I50</f>
        <v>0</v>
      </c>
      <c r="P2677" s="295"/>
      <c r="Q2677" s="442"/>
      <c r="R2677" s="403" t="str">
        <f t="shared" si="227"/>
        <v>DELETE</v>
      </c>
      <c r="S2677" s="378"/>
      <c r="T2677" s="378"/>
      <c r="U2677" s="378"/>
      <c r="V2677" s="378"/>
      <c r="W2677" s="378"/>
      <c r="X2677" s="378"/>
      <c r="Y2677" s="381"/>
      <c r="Z2677" s="381"/>
      <c r="AA2677" s="404"/>
      <c r="AB2677" s="444"/>
      <c r="AC2677" s="444"/>
      <c r="AD2677" s="444"/>
      <c r="AE2677" s="444"/>
      <c r="AF2677" s="444"/>
      <c r="AG2677" s="444"/>
      <c r="AH2677" s="444"/>
      <c r="AI2677" s="444"/>
      <c r="AJ2677" s="444"/>
      <c r="AK2677" s="444"/>
      <c r="AL2677" s="473"/>
      <c r="AM2677" s="473"/>
      <c r="AN2677" s="473"/>
      <c r="AO2677" s="473"/>
      <c r="AP2677" s="473"/>
      <c r="AQ2677" s="473"/>
    </row>
    <row r="2678" spans="2:43" s="400" customFormat="1" ht="31.5" customHeight="1" x14ac:dyDescent="0.45">
      <c r="B2678" s="441"/>
      <c r="C2678" s="417"/>
      <c r="D2678" s="400" t="s">
        <v>546</v>
      </c>
      <c r="J2678" s="292"/>
      <c r="K2678" s="292"/>
      <c r="L2678" s="405"/>
      <c r="M2678" s="421"/>
      <c r="N2678" s="292"/>
      <c r="O2678" s="373">
        <f>SUM(TrialBalanceC!I51:I52)</f>
        <v>0</v>
      </c>
      <c r="P2678" s="295"/>
      <c r="Q2678" s="442"/>
      <c r="R2678" s="403" t="str">
        <f t="shared" si="227"/>
        <v>DELETE</v>
      </c>
      <c r="S2678" s="378"/>
      <c r="T2678" s="378"/>
      <c r="U2678" s="378"/>
      <c r="V2678" s="378"/>
      <c r="W2678" s="378"/>
      <c r="X2678" s="378"/>
      <c r="Y2678" s="381"/>
      <c r="Z2678" s="381"/>
      <c r="AA2678" s="404"/>
      <c r="AB2678" s="444"/>
      <c r="AC2678" s="444"/>
      <c r="AD2678" s="444"/>
      <c r="AE2678" s="444"/>
      <c r="AF2678" s="444"/>
      <c r="AG2678" s="444"/>
      <c r="AH2678" s="444"/>
      <c r="AI2678" s="444"/>
      <c r="AJ2678" s="444"/>
      <c r="AK2678" s="444"/>
      <c r="AL2678" s="473"/>
      <c r="AM2678" s="473"/>
      <c r="AN2678" s="473"/>
      <c r="AO2678" s="473"/>
      <c r="AP2678" s="473"/>
      <c r="AQ2678" s="473"/>
    </row>
    <row r="2679" spans="2:43" s="400" customFormat="1" ht="31.5" customHeight="1" x14ac:dyDescent="0.45">
      <c r="B2679" s="441"/>
      <c r="C2679" s="417"/>
      <c r="D2679" s="400" t="s">
        <v>545</v>
      </c>
      <c r="J2679" s="292"/>
      <c r="K2679" s="292"/>
      <c r="L2679" s="405"/>
      <c r="M2679" s="421"/>
      <c r="N2679" s="292"/>
      <c r="O2679" s="373">
        <f>TrialBalanceC!I53</f>
        <v>0</v>
      </c>
      <c r="P2679" s="295"/>
      <c r="Q2679" s="442"/>
      <c r="R2679" s="403" t="str">
        <f t="shared" si="227"/>
        <v>DELETE</v>
      </c>
      <c r="S2679" s="378"/>
      <c r="T2679" s="378"/>
      <c r="U2679" s="378"/>
      <c r="V2679" s="378"/>
      <c r="W2679" s="378"/>
      <c r="X2679" s="378"/>
      <c r="Y2679" s="381"/>
      <c r="Z2679" s="381"/>
      <c r="AA2679" s="404"/>
      <c r="AB2679" s="444"/>
      <c r="AC2679" s="444"/>
      <c r="AD2679" s="444"/>
      <c r="AE2679" s="444"/>
      <c r="AF2679" s="444"/>
      <c r="AG2679" s="444"/>
      <c r="AH2679" s="444"/>
      <c r="AI2679" s="444"/>
      <c r="AJ2679" s="444"/>
      <c r="AK2679" s="444"/>
      <c r="AL2679" s="473"/>
      <c r="AM2679" s="473"/>
      <c r="AN2679" s="473"/>
      <c r="AO2679" s="473"/>
      <c r="AP2679" s="473"/>
      <c r="AQ2679" s="473"/>
    </row>
    <row r="2680" spans="2:43" s="400" customFormat="1" ht="31.5" customHeight="1" x14ac:dyDescent="0.45">
      <c r="B2680" s="441"/>
      <c r="C2680" s="417"/>
      <c r="D2680" s="400" t="s">
        <v>530</v>
      </c>
      <c r="J2680" s="292"/>
      <c r="K2680" s="292"/>
      <c r="L2680" s="405"/>
      <c r="M2680" s="421"/>
      <c r="N2680" s="292"/>
      <c r="O2680" s="373">
        <f>SUM(TrialBalanceC!I55:I59)</f>
        <v>0</v>
      </c>
      <c r="P2680" s="295"/>
      <c r="Q2680" s="442"/>
      <c r="R2680" s="403" t="str">
        <f t="shared" si="227"/>
        <v>DELETE</v>
      </c>
      <c r="S2680" s="378"/>
      <c r="T2680" s="378"/>
      <c r="U2680" s="378"/>
      <c r="V2680" s="378"/>
      <c r="W2680" s="378"/>
      <c r="X2680" s="378"/>
      <c r="Y2680" s="381"/>
      <c r="Z2680" s="381"/>
      <c r="AA2680" s="404"/>
      <c r="AB2680" s="444"/>
      <c r="AC2680" s="444"/>
      <c r="AD2680" s="444"/>
      <c r="AE2680" s="444"/>
      <c r="AF2680" s="444"/>
      <c r="AG2680" s="444"/>
      <c r="AH2680" s="444"/>
      <c r="AI2680" s="444"/>
      <c r="AJ2680" s="444"/>
      <c r="AK2680" s="444"/>
      <c r="AL2680" s="473"/>
      <c r="AM2680" s="473"/>
      <c r="AN2680" s="473"/>
      <c r="AO2680" s="473"/>
      <c r="AP2680" s="473"/>
      <c r="AQ2680" s="473"/>
    </row>
    <row r="2681" spans="2:43" s="400" customFormat="1" ht="31.5" customHeight="1" x14ac:dyDescent="0.45">
      <c r="B2681" s="441"/>
      <c r="C2681" s="417"/>
      <c r="D2681" s="400" t="s">
        <v>512</v>
      </c>
      <c r="J2681" s="292"/>
      <c r="K2681" s="292">
        <f>'FS2'!C$908</f>
        <v>5.1999999999999993</v>
      </c>
      <c r="L2681" s="405"/>
      <c r="M2681" s="421"/>
      <c r="N2681" s="292"/>
      <c r="O2681" s="373">
        <f>SUM(TrialBalanceC!I61:I63)</f>
        <v>0</v>
      </c>
      <c r="P2681" s="295"/>
      <c r="Q2681" s="442"/>
      <c r="R2681" s="403" t="str">
        <f t="shared" si="227"/>
        <v>DELETE</v>
      </c>
      <c r="S2681" s="378"/>
      <c r="T2681" s="378"/>
      <c r="U2681" s="378"/>
      <c r="V2681" s="378"/>
      <c r="W2681" s="378"/>
      <c r="X2681" s="378"/>
      <c r="Y2681" s="381"/>
      <c r="Z2681" s="381"/>
      <c r="AA2681" s="404"/>
      <c r="AB2681" s="444"/>
      <c r="AC2681" s="444"/>
      <c r="AD2681" s="444"/>
      <c r="AE2681" s="444"/>
      <c r="AF2681" s="444"/>
      <c r="AG2681" s="444"/>
      <c r="AH2681" s="444"/>
      <c r="AI2681" s="444"/>
      <c r="AJ2681" s="444"/>
      <c r="AK2681" s="444"/>
      <c r="AL2681" s="473"/>
      <c r="AM2681" s="473"/>
      <c r="AN2681" s="473"/>
      <c r="AO2681" s="473"/>
      <c r="AP2681" s="473"/>
      <c r="AQ2681" s="473"/>
    </row>
    <row r="2682" spans="2:43" s="400" customFormat="1" ht="31.5" customHeight="1" x14ac:dyDescent="0.45">
      <c r="B2682" s="441"/>
      <c r="C2682" s="417"/>
      <c r="D2682" s="400" t="s">
        <v>62</v>
      </c>
      <c r="J2682" s="292"/>
      <c r="K2682" s="292"/>
      <c r="L2682" s="405"/>
      <c r="M2682" s="421"/>
      <c r="N2682" s="292"/>
      <c r="O2682" s="373">
        <f>TrialBalanceC!I64</f>
        <v>0</v>
      </c>
      <c r="P2682" s="295"/>
      <c r="Q2682" s="442"/>
      <c r="R2682" s="403" t="str">
        <f t="shared" si="227"/>
        <v>DELETE</v>
      </c>
      <c r="S2682" s="378"/>
      <c r="T2682" s="378"/>
      <c r="U2682" s="378"/>
      <c r="V2682" s="378"/>
      <c r="W2682" s="378"/>
      <c r="X2682" s="378"/>
      <c r="Y2682" s="381"/>
      <c r="Z2682" s="381"/>
      <c r="AA2682" s="404"/>
      <c r="AB2682" s="444"/>
      <c r="AC2682" s="444"/>
      <c r="AD2682" s="444"/>
      <c r="AE2682" s="444"/>
      <c r="AF2682" s="444"/>
      <c r="AG2682" s="444"/>
      <c r="AH2682" s="444"/>
      <c r="AI2682" s="444"/>
      <c r="AJ2682" s="444"/>
      <c r="AK2682" s="444"/>
      <c r="AL2682" s="473"/>
      <c r="AM2682" s="473"/>
      <c r="AN2682" s="473"/>
      <c r="AO2682" s="473"/>
      <c r="AP2682" s="473"/>
      <c r="AQ2682" s="473"/>
    </row>
    <row r="2683" spans="2:43" s="400" customFormat="1" ht="31.5" customHeight="1" x14ac:dyDescent="0.45">
      <c r="B2683" s="441"/>
      <c r="C2683" s="417"/>
      <c r="D2683" s="400" t="s">
        <v>253</v>
      </c>
      <c r="J2683" s="292"/>
      <c r="K2683" s="292"/>
      <c r="L2683" s="405"/>
      <c r="M2683" s="421"/>
      <c r="N2683" s="292"/>
      <c r="O2683" s="373">
        <f>SUM(TrialBalanceC!I65:I67)</f>
        <v>0</v>
      </c>
      <c r="P2683" s="295"/>
      <c r="Q2683" s="442"/>
      <c r="R2683" s="403" t="str">
        <f t="shared" si="227"/>
        <v>DELETE</v>
      </c>
      <c r="S2683" s="378"/>
      <c r="T2683" s="378"/>
      <c r="U2683" s="378"/>
      <c r="V2683" s="378"/>
      <c r="W2683" s="378"/>
      <c r="X2683" s="378"/>
      <c r="Y2683" s="381"/>
      <c r="Z2683" s="381"/>
      <c r="AA2683" s="404"/>
      <c r="AB2683" s="444"/>
      <c r="AC2683" s="444"/>
      <c r="AD2683" s="444"/>
      <c r="AE2683" s="444"/>
      <c r="AF2683" s="444"/>
      <c r="AG2683" s="444"/>
      <c r="AH2683" s="444"/>
      <c r="AI2683" s="444"/>
      <c r="AJ2683" s="444"/>
      <c r="AK2683" s="444"/>
      <c r="AL2683" s="473"/>
      <c r="AM2683" s="473"/>
      <c r="AN2683" s="473"/>
      <c r="AO2683" s="473"/>
      <c r="AP2683" s="473"/>
      <c r="AQ2683" s="473"/>
    </row>
    <row r="2684" spans="2:43" s="400" customFormat="1" ht="31.5" customHeight="1" x14ac:dyDescent="0.45">
      <c r="B2684" s="441"/>
      <c r="C2684" s="417"/>
      <c r="D2684" s="400" t="s">
        <v>726</v>
      </c>
      <c r="J2684" s="292"/>
      <c r="K2684" s="292"/>
      <c r="L2684" s="405"/>
      <c r="M2684" s="421"/>
      <c r="N2684" s="292"/>
      <c r="O2684" s="373">
        <f>SUM(TrialBalanceC!I68:I69)</f>
        <v>0</v>
      </c>
      <c r="P2684" s="295"/>
      <c r="Q2684" s="442"/>
      <c r="R2684" s="403" t="str">
        <f t="shared" si="227"/>
        <v>DELETE</v>
      </c>
      <c r="S2684" s="378"/>
      <c r="T2684" s="378"/>
      <c r="U2684" s="378"/>
      <c r="V2684" s="378"/>
      <c r="W2684" s="378"/>
      <c r="X2684" s="378"/>
      <c r="Y2684" s="381"/>
      <c r="Z2684" s="381"/>
      <c r="AA2684" s="404"/>
      <c r="AB2684" s="444"/>
      <c r="AC2684" s="444"/>
      <c r="AD2684" s="444"/>
      <c r="AE2684" s="444"/>
      <c r="AF2684" s="444"/>
      <c r="AG2684" s="444"/>
      <c r="AH2684" s="444"/>
      <c r="AI2684" s="444"/>
      <c r="AJ2684" s="444"/>
      <c r="AK2684" s="444"/>
      <c r="AL2684" s="473"/>
      <c r="AM2684" s="473"/>
      <c r="AN2684" s="473"/>
      <c r="AO2684" s="473"/>
      <c r="AP2684" s="473"/>
      <c r="AQ2684" s="473"/>
    </row>
    <row r="2685" spans="2:43" s="400" customFormat="1" ht="31.5" customHeight="1" x14ac:dyDescent="0.45">
      <c r="B2685" s="441"/>
      <c r="C2685" s="417"/>
      <c r="D2685" s="400" t="s">
        <v>254</v>
      </c>
      <c r="J2685" s="292"/>
      <c r="K2685" s="292"/>
      <c r="L2685" s="405"/>
      <c r="M2685" s="421"/>
      <c r="N2685" s="292"/>
      <c r="O2685" s="373">
        <f>TrialBalanceC!I70</f>
        <v>0</v>
      </c>
      <c r="P2685" s="295"/>
      <c r="Q2685" s="442"/>
      <c r="R2685" s="403" t="str">
        <f t="shared" si="227"/>
        <v>DELETE</v>
      </c>
      <c r="S2685" s="378"/>
      <c r="T2685" s="378"/>
      <c r="U2685" s="378"/>
      <c r="V2685" s="378"/>
      <c r="W2685" s="378"/>
      <c r="X2685" s="378"/>
      <c r="Y2685" s="381"/>
      <c r="Z2685" s="381"/>
      <c r="AA2685" s="404"/>
      <c r="AB2685" s="444"/>
      <c r="AC2685" s="444"/>
      <c r="AD2685" s="444"/>
      <c r="AE2685" s="444"/>
      <c r="AF2685" s="444"/>
      <c r="AG2685" s="444"/>
      <c r="AH2685" s="444"/>
      <c r="AI2685" s="444"/>
      <c r="AJ2685" s="444"/>
      <c r="AK2685" s="444"/>
      <c r="AL2685" s="473"/>
      <c r="AM2685" s="473"/>
      <c r="AN2685" s="473"/>
      <c r="AO2685" s="473"/>
      <c r="AP2685" s="473"/>
      <c r="AQ2685" s="473"/>
    </row>
    <row r="2686" spans="2:43" s="400" customFormat="1" ht="31.5" customHeight="1" x14ac:dyDescent="0.45">
      <c r="B2686" s="441"/>
      <c r="C2686" s="417"/>
      <c r="D2686" s="400" t="s">
        <v>387</v>
      </c>
      <c r="J2686" s="292"/>
      <c r="K2686" s="292"/>
      <c r="L2686" s="405"/>
      <c r="M2686" s="421"/>
      <c r="N2686" s="292"/>
      <c r="O2686" s="373">
        <f>TrialBalanceC!I71</f>
        <v>0</v>
      </c>
      <c r="P2686" s="295"/>
      <c r="Q2686" s="442"/>
      <c r="R2686" s="403" t="str">
        <f t="shared" si="227"/>
        <v>DELETE</v>
      </c>
      <c r="S2686" s="378"/>
      <c r="T2686" s="378"/>
      <c r="U2686" s="378"/>
      <c r="V2686" s="378"/>
      <c r="W2686" s="378"/>
      <c r="X2686" s="378"/>
      <c r="Y2686" s="381"/>
      <c r="Z2686" s="381"/>
      <c r="AA2686" s="404"/>
      <c r="AB2686" s="444"/>
      <c r="AC2686" s="444"/>
      <c r="AD2686" s="444"/>
      <c r="AE2686" s="444"/>
      <c r="AF2686" s="444"/>
      <c r="AG2686" s="444"/>
      <c r="AH2686" s="444"/>
      <c r="AI2686" s="444"/>
      <c r="AJ2686" s="444"/>
      <c r="AK2686" s="444"/>
      <c r="AL2686" s="473"/>
      <c r="AM2686" s="473"/>
      <c r="AN2686" s="473"/>
      <c r="AO2686" s="473"/>
      <c r="AP2686" s="473"/>
      <c r="AQ2686" s="473"/>
    </row>
    <row r="2687" spans="2:43" s="400" customFormat="1" ht="31.5" customHeight="1" x14ac:dyDescent="0.45">
      <c r="B2687" s="441"/>
      <c r="C2687" s="417"/>
      <c r="D2687" s="400">
        <f>TrialBalanceC!C72</f>
        <v>0</v>
      </c>
      <c r="J2687" s="292"/>
      <c r="K2687" s="292"/>
      <c r="L2687" s="405"/>
      <c r="M2687" s="421"/>
      <c r="N2687" s="292"/>
      <c r="O2687" s="373">
        <f>TrialBalanceC!I72</f>
        <v>0</v>
      </c>
      <c r="P2687" s="295"/>
      <c r="Q2687" s="442"/>
      <c r="R2687" s="403" t="str">
        <f t="shared" si="227"/>
        <v>DELETE</v>
      </c>
      <c r="S2687" s="378"/>
      <c r="T2687" s="378"/>
      <c r="U2687" s="378"/>
      <c r="V2687" s="378"/>
      <c r="W2687" s="378"/>
      <c r="X2687" s="378"/>
      <c r="Y2687" s="381"/>
      <c r="Z2687" s="381"/>
      <c r="AA2687" s="404"/>
      <c r="AB2687" s="444"/>
      <c r="AC2687" s="444"/>
      <c r="AD2687" s="444"/>
      <c r="AE2687" s="444"/>
      <c r="AF2687" s="444"/>
      <c r="AG2687" s="444"/>
      <c r="AH2687" s="444"/>
      <c r="AI2687" s="444"/>
      <c r="AJ2687" s="444"/>
      <c r="AK2687" s="444"/>
      <c r="AL2687" s="473"/>
      <c r="AM2687" s="473"/>
      <c r="AN2687" s="473"/>
      <c r="AO2687" s="473"/>
      <c r="AP2687" s="473"/>
      <c r="AQ2687" s="473"/>
    </row>
    <row r="2688" spans="2:43" s="400" customFormat="1" ht="31.5" customHeight="1" x14ac:dyDescent="0.45">
      <c r="B2688" s="441"/>
      <c r="C2688" s="417"/>
      <c r="D2688" s="400">
        <f>TrialBalanceC!C73</f>
        <v>0</v>
      </c>
      <c r="J2688" s="292"/>
      <c r="K2688" s="292"/>
      <c r="L2688" s="405"/>
      <c r="M2688" s="421"/>
      <c r="N2688" s="292"/>
      <c r="O2688" s="373">
        <f>TrialBalanceC!I73</f>
        <v>0</v>
      </c>
      <c r="P2688" s="295"/>
      <c r="Q2688" s="442"/>
      <c r="R2688" s="403" t="str">
        <f t="shared" si="227"/>
        <v>DELETE</v>
      </c>
      <c r="S2688" s="378"/>
      <c r="T2688" s="378"/>
      <c r="U2688" s="378"/>
      <c r="V2688" s="378"/>
      <c r="W2688" s="378"/>
      <c r="X2688" s="378"/>
      <c r="Y2688" s="381"/>
      <c r="Z2688" s="381"/>
      <c r="AA2688" s="404"/>
      <c r="AB2688" s="444"/>
      <c r="AC2688" s="444"/>
      <c r="AD2688" s="444"/>
      <c r="AE2688" s="444"/>
      <c r="AF2688" s="444"/>
      <c r="AG2688" s="444"/>
      <c r="AH2688" s="444"/>
      <c r="AI2688" s="444"/>
      <c r="AJ2688" s="444"/>
      <c r="AK2688" s="444"/>
      <c r="AL2688" s="473"/>
      <c r="AM2688" s="473"/>
      <c r="AN2688" s="473"/>
      <c r="AO2688" s="473"/>
      <c r="AP2688" s="473"/>
      <c r="AQ2688" s="473"/>
    </row>
    <row r="2689" spans="2:43" s="400" customFormat="1" ht="31.5" customHeight="1" x14ac:dyDescent="0.45">
      <c r="B2689" s="441"/>
      <c r="C2689" s="417"/>
      <c r="D2689" s="400">
        <f>TrialBalanceC!C74</f>
        <v>0</v>
      </c>
      <c r="J2689" s="292"/>
      <c r="K2689" s="292"/>
      <c r="L2689" s="405"/>
      <c r="M2689" s="421"/>
      <c r="N2689" s="292"/>
      <c r="O2689" s="373">
        <f>TrialBalanceC!I74</f>
        <v>0</v>
      </c>
      <c r="P2689" s="295"/>
      <c r="Q2689" s="442"/>
      <c r="R2689" s="403" t="str">
        <f t="shared" si="227"/>
        <v>DELETE</v>
      </c>
      <c r="S2689" s="378"/>
      <c r="T2689" s="378"/>
      <c r="U2689" s="378"/>
      <c r="V2689" s="378"/>
      <c r="W2689" s="378"/>
      <c r="X2689" s="378"/>
      <c r="Y2689" s="381"/>
      <c r="Z2689" s="381"/>
      <c r="AA2689" s="404"/>
      <c r="AB2689" s="444"/>
      <c r="AC2689" s="444"/>
      <c r="AD2689" s="444"/>
      <c r="AE2689" s="444"/>
      <c r="AF2689" s="444"/>
      <c r="AG2689" s="444"/>
      <c r="AH2689" s="444"/>
      <c r="AI2689" s="444"/>
      <c r="AJ2689" s="444"/>
      <c r="AK2689" s="444"/>
      <c r="AL2689" s="473"/>
      <c r="AM2689" s="473"/>
      <c r="AN2689" s="473"/>
      <c r="AO2689" s="473"/>
      <c r="AP2689" s="473"/>
      <c r="AQ2689" s="473"/>
    </row>
    <row r="2690" spans="2:43" s="400" customFormat="1" ht="31.5" customHeight="1" x14ac:dyDescent="0.45">
      <c r="B2690" s="441"/>
      <c r="C2690" s="417"/>
      <c r="D2690" s="400">
        <f>TrialBalanceC!C75</f>
        <v>0</v>
      </c>
      <c r="J2690" s="292"/>
      <c r="K2690" s="292"/>
      <c r="L2690" s="405"/>
      <c r="M2690" s="421"/>
      <c r="N2690" s="292"/>
      <c r="O2690" s="373">
        <f>TrialBalanceC!I75</f>
        <v>0</v>
      </c>
      <c r="P2690" s="295"/>
      <c r="Q2690" s="442"/>
      <c r="R2690" s="403" t="str">
        <f t="shared" si="227"/>
        <v>DELETE</v>
      </c>
      <c r="S2690" s="378"/>
      <c r="T2690" s="378"/>
      <c r="U2690" s="378"/>
      <c r="V2690" s="378"/>
      <c r="W2690" s="378"/>
      <c r="X2690" s="378"/>
      <c r="Y2690" s="381"/>
      <c r="Z2690" s="381"/>
      <c r="AA2690" s="404"/>
      <c r="AB2690" s="444"/>
      <c r="AC2690" s="444"/>
      <c r="AD2690" s="444"/>
      <c r="AE2690" s="444"/>
      <c r="AF2690" s="444"/>
      <c r="AG2690" s="444"/>
      <c r="AH2690" s="444"/>
      <c r="AI2690" s="444"/>
      <c r="AJ2690" s="444"/>
      <c r="AK2690" s="444"/>
      <c r="AL2690" s="473"/>
      <c r="AM2690" s="473"/>
      <c r="AN2690" s="473"/>
      <c r="AO2690" s="473"/>
      <c r="AP2690" s="473"/>
      <c r="AQ2690" s="473"/>
    </row>
    <row r="2691" spans="2:43" s="400" customFormat="1" ht="31.5" customHeight="1" x14ac:dyDescent="0.45">
      <c r="B2691" s="441"/>
      <c r="C2691" s="417"/>
      <c r="D2691" s="400">
        <f>TrialBalanceC!C76</f>
        <v>0</v>
      </c>
      <c r="J2691" s="292"/>
      <c r="K2691" s="292"/>
      <c r="L2691" s="405"/>
      <c r="M2691" s="421"/>
      <c r="N2691" s="292"/>
      <c r="O2691" s="373">
        <f>TrialBalanceC!I76</f>
        <v>0</v>
      </c>
      <c r="P2691" s="295"/>
      <c r="Q2691" s="442"/>
      <c r="R2691" s="403" t="str">
        <f t="shared" si="227"/>
        <v>DELETE</v>
      </c>
      <c r="S2691" s="378"/>
      <c r="T2691" s="378"/>
      <c r="U2691" s="378"/>
      <c r="V2691" s="378"/>
      <c r="W2691" s="378"/>
      <c r="X2691" s="378"/>
      <c r="Y2691" s="381"/>
      <c r="Z2691" s="381"/>
      <c r="AA2691" s="404"/>
      <c r="AB2691" s="444"/>
      <c r="AC2691" s="444"/>
      <c r="AD2691" s="444"/>
      <c r="AE2691" s="444"/>
      <c r="AF2691" s="444"/>
      <c r="AG2691" s="444"/>
      <c r="AH2691" s="444"/>
      <c r="AI2691" s="444"/>
      <c r="AJ2691" s="444"/>
      <c r="AK2691" s="444"/>
      <c r="AL2691" s="473"/>
      <c r="AM2691" s="473"/>
      <c r="AN2691" s="473"/>
      <c r="AO2691" s="473"/>
      <c r="AP2691" s="473"/>
      <c r="AQ2691" s="473"/>
    </row>
    <row r="2692" spans="2:43" s="400" customFormat="1" ht="31.5" customHeight="1" x14ac:dyDescent="0.45">
      <c r="B2692" s="441"/>
      <c r="C2692" s="417"/>
      <c r="D2692" s="400">
        <f>TrialBalanceC!C77</f>
        <v>0</v>
      </c>
      <c r="J2692" s="292"/>
      <c r="K2692" s="292"/>
      <c r="L2692" s="405"/>
      <c r="M2692" s="421"/>
      <c r="N2692" s="292"/>
      <c r="O2692" s="373">
        <f>TrialBalanceC!I77</f>
        <v>0</v>
      </c>
      <c r="P2692" s="295"/>
      <c r="Q2692" s="442"/>
      <c r="R2692" s="403" t="str">
        <f t="shared" si="227"/>
        <v>DELETE</v>
      </c>
      <c r="S2692" s="378"/>
      <c r="T2692" s="378"/>
      <c r="U2692" s="378"/>
      <c r="V2692" s="378"/>
      <c r="W2692" s="378"/>
      <c r="X2692" s="378"/>
      <c r="Y2692" s="381"/>
      <c r="Z2692" s="381"/>
      <c r="AA2692" s="404"/>
      <c r="AB2692" s="444"/>
      <c r="AC2692" s="444"/>
      <c r="AD2692" s="444"/>
      <c r="AE2692" s="444"/>
      <c r="AF2692" s="444"/>
      <c r="AG2692" s="444"/>
      <c r="AH2692" s="444"/>
      <c r="AI2692" s="444"/>
      <c r="AJ2692" s="444"/>
      <c r="AK2692" s="444"/>
      <c r="AL2692" s="473"/>
      <c r="AM2692" s="473"/>
      <c r="AN2692" s="473"/>
      <c r="AO2692" s="473"/>
      <c r="AP2692" s="473"/>
      <c r="AQ2692" s="473"/>
    </row>
    <row r="2693" spans="2:43" s="400" customFormat="1" ht="31.5" customHeight="1" x14ac:dyDescent="0.45">
      <c r="B2693" s="441"/>
      <c r="C2693" s="417"/>
      <c r="D2693" s="400">
        <f>TrialBalanceC!C78</f>
        <v>0</v>
      </c>
      <c r="J2693" s="292"/>
      <c r="K2693" s="292"/>
      <c r="L2693" s="405"/>
      <c r="M2693" s="421"/>
      <c r="N2693" s="292"/>
      <c r="O2693" s="373">
        <f>TrialBalanceC!I78</f>
        <v>0</v>
      </c>
      <c r="P2693" s="295"/>
      <c r="Q2693" s="442"/>
      <c r="R2693" s="403" t="str">
        <f t="shared" si="227"/>
        <v>DELETE</v>
      </c>
      <c r="S2693" s="378"/>
      <c r="T2693" s="378"/>
      <c r="U2693" s="378"/>
      <c r="V2693" s="378"/>
      <c r="W2693" s="378"/>
      <c r="X2693" s="378"/>
      <c r="Y2693" s="381"/>
      <c r="Z2693" s="381"/>
      <c r="AA2693" s="404"/>
      <c r="AB2693" s="444"/>
      <c r="AC2693" s="444"/>
      <c r="AD2693" s="444"/>
      <c r="AE2693" s="444"/>
      <c r="AF2693" s="444"/>
      <c r="AG2693" s="444"/>
      <c r="AH2693" s="444"/>
      <c r="AI2693" s="444"/>
      <c r="AJ2693" s="444"/>
      <c r="AK2693" s="444"/>
      <c r="AL2693" s="473"/>
      <c r="AM2693" s="473"/>
      <c r="AN2693" s="473"/>
      <c r="AO2693" s="473"/>
      <c r="AP2693" s="473"/>
      <c r="AQ2693" s="473"/>
    </row>
    <row r="2694" spans="2:43" s="400" customFormat="1" ht="31.5" customHeight="1" x14ac:dyDescent="0.45">
      <c r="B2694" s="441"/>
      <c r="C2694" s="417"/>
      <c r="D2694" s="400">
        <f>TrialBalanceC!C79</f>
        <v>0</v>
      </c>
      <c r="J2694" s="292"/>
      <c r="K2694" s="292"/>
      <c r="L2694" s="405"/>
      <c r="M2694" s="421"/>
      <c r="N2694" s="292"/>
      <c r="O2694" s="373">
        <f>TrialBalanceC!I79</f>
        <v>0</v>
      </c>
      <c r="P2694" s="295"/>
      <c r="Q2694" s="442"/>
      <c r="R2694" s="403" t="str">
        <f t="shared" si="227"/>
        <v>DELETE</v>
      </c>
      <c r="S2694" s="378"/>
      <c r="T2694" s="378"/>
      <c r="U2694" s="378"/>
      <c r="V2694" s="378"/>
      <c r="W2694" s="378"/>
      <c r="X2694" s="378"/>
      <c r="Y2694" s="381"/>
      <c r="Z2694" s="381"/>
      <c r="AA2694" s="404"/>
      <c r="AB2694" s="444"/>
      <c r="AC2694" s="444"/>
      <c r="AD2694" s="444"/>
      <c r="AE2694" s="444"/>
      <c r="AF2694" s="444"/>
      <c r="AG2694" s="444"/>
      <c r="AH2694" s="444"/>
      <c r="AI2694" s="444"/>
      <c r="AJ2694" s="444"/>
      <c r="AK2694" s="444"/>
      <c r="AL2694" s="473"/>
      <c r="AM2694" s="473"/>
      <c r="AN2694" s="473"/>
      <c r="AO2694" s="473"/>
      <c r="AP2694" s="473"/>
      <c r="AQ2694" s="473"/>
    </row>
    <row r="2695" spans="2:43" s="400" customFormat="1" ht="31.5" customHeight="1" x14ac:dyDescent="0.45">
      <c r="B2695" s="441"/>
      <c r="C2695" s="417"/>
      <c r="D2695" s="400">
        <f>TrialBalanceC!C80</f>
        <v>0</v>
      </c>
      <c r="J2695" s="292"/>
      <c r="K2695" s="292"/>
      <c r="L2695" s="405"/>
      <c r="M2695" s="421"/>
      <c r="N2695" s="292"/>
      <c r="O2695" s="373">
        <f>TrialBalanceC!I80</f>
        <v>0</v>
      </c>
      <c r="P2695" s="295"/>
      <c r="Q2695" s="442"/>
      <c r="R2695" s="403" t="str">
        <f t="shared" si="227"/>
        <v>DELETE</v>
      </c>
      <c r="S2695" s="378"/>
      <c r="T2695" s="378"/>
      <c r="U2695" s="378"/>
      <c r="V2695" s="378"/>
      <c r="W2695" s="378"/>
      <c r="X2695" s="378"/>
      <c r="Y2695" s="381"/>
      <c r="Z2695" s="381"/>
      <c r="AA2695" s="404"/>
      <c r="AB2695" s="444"/>
      <c r="AC2695" s="444"/>
      <c r="AD2695" s="444"/>
      <c r="AE2695" s="444"/>
      <c r="AF2695" s="444"/>
      <c r="AG2695" s="444"/>
      <c r="AH2695" s="444"/>
      <c r="AI2695" s="444"/>
      <c r="AJ2695" s="444"/>
      <c r="AK2695" s="444"/>
      <c r="AL2695" s="473"/>
      <c r="AM2695" s="473"/>
      <c r="AN2695" s="473"/>
      <c r="AO2695" s="473"/>
      <c r="AP2695" s="473"/>
      <c r="AQ2695" s="473"/>
    </row>
    <row r="2696" spans="2:43" s="400" customFormat="1" ht="31.5" customHeight="1" x14ac:dyDescent="0.45">
      <c r="B2696" s="441"/>
      <c r="C2696" s="417"/>
      <c r="D2696" s="400">
        <f>TrialBalanceC!C81</f>
        <v>0</v>
      </c>
      <c r="J2696" s="292"/>
      <c r="K2696" s="292"/>
      <c r="L2696" s="405"/>
      <c r="M2696" s="421"/>
      <c r="N2696" s="292"/>
      <c r="O2696" s="373">
        <f>TrialBalanceC!I81</f>
        <v>0</v>
      </c>
      <c r="P2696" s="295"/>
      <c r="Q2696" s="442"/>
      <c r="R2696" s="403" t="str">
        <f t="shared" si="227"/>
        <v>DELETE</v>
      </c>
      <c r="S2696" s="378"/>
      <c r="T2696" s="378"/>
      <c r="U2696" s="378"/>
      <c r="V2696" s="378"/>
      <c r="W2696" s="378"/>
      <c r="X2696" s="378"/>
      <c r="Y2696" s="381"/>
      <c r="Z2696" s="381"/>
      <c r="AA2696" s="404"/>
      <c r="AB2696" s="444"/>
      <c r="AC2696" s="444"/>
      <c r="AD2696" s="444"/>
      <c r="AE2696" s="444"/>
      <c r="AF2696" s="444"/>
      <c r="AG2696" s="444"/>
      <c r="AH2696" s="444"/>
      <c r="AI2696" s="444"/>
      <c r="AJ2696" s="444"/>
      <c r="AK2696" s="444"/>
      <c r="AL2696" s="473"/>
      <c r="AM2696" s="473"/>
      <c r="AN2696" s="473"/>
      <c r="AO2696" s="473"/>
      <c r="AP2696" s="473"/>
      <c r="AQ2696" s="473"/>
    </row>
    <row r="2697" spans="2:43" s="400" customFormat="1" ht="9" customHeight="1" x14ac:dyDescent="0.45">
      <c r="B2697" s="441"/>
      <c r="C2697" s="417"/>
      <c r="J2697" s="292"/>
      <c r="K2697" s="292"/>
      <c r="L2697" s="405"/>
      <c r="M2697" s="421"/>
      <c r="N2697" s="292"/>
      <c r="O2697" s="374"/>
      <c r="P2697" s="295"/>
      <c r="Q2697" s="442"/>
      <c r="R2697" s="403" t="str">
        <f>R2667</f>
        <v>DELETE</v>
      </c>
      <c r="S2697" s="378"/>
      <c r="T2697" s="378"/>
      <c r="U2697" s="378"/>
      <c r="V2697" s="378"/>
      <c r="W2697" s="378"/>
      <c r="X2697" s="378"/>
      <c r="Y2697" s="381"/>
      <c r="Z2697" s="381"/>
      <c r="AA2697" s="404"/>
      <c r="AB2697" s="444"/>
      <c r="AC2697" s="444"/>
      <c r="AD2697" s="444"/>
      <c r="AE2697" s="444"/>
      <c r="AF2697" s="444"/>
      <c r="AG2697" s="444"/>
      <c r="AH2697" s="444"/>
      <c r="AI2697" s="444"/>
      <c r="AJ2697" s="444"/>
      <c r="AK2697" s="444"/>
      <c r="AL2697" s="473"/>
      <c r="AM2697" s="473"/>
      <c r="AN2697" s="473"/>
      <c r="AO2697" s="473"/>
      <c r="AP2697" s="473"/>
      <c r="AQ2697" s="473"/>
    </row>
    <row r="2698" spans="2:43" s="400" customFormat="1" ht="9" customHeight="1" x14ac:dyDescent="0.45">
      <c r="B2698" s="441"/>
      <c r="C2698" s="417"/>
      <c r="J2698" s="292"/>
      <c r="K2698" s="292"/>
      <c r="L2698" s="405"/>
      <c r="M2698" s="421"/>
      <c r="N2698" s="292"/>
      <c r="O2698" s="349"/>
      <c r="P2698" s="295"/>
      <c r="Q2698" s="442"/>
      <c r="R2698" s="403" t="str">
        <f t="shared" ref="R2698:R2718" si="228">R$2621</f>
        <v>DELETE</v>
      </c>
      <c r="S2698" s="378"/>
      <c r="T2698" s="378"/>
      <c r="U2698" s="378"/>
      <c r="V2698" s="378"/>
      <c r="W2698" s="378"/>
      <c r="X2698" s="378"/>
      <c r="Y2698" s="381"/>
      <c r="Z2698" s="381"/>
      <c r="AA2698" s="404"/>
      <c r="AB2698" s="444"/>
      <c r="AC2698" s="444"/>
      <c r="AD2698" s="444"/>
      <c r="AE2698" s="444"/>
      <c r="AF2698" s="444"/>
      <c r="AG2698" s="444"/>
      <c r="AH2698" s="444"/>
      <c r="AI2698" s="444"/>
      <c r="AJ2698" s="444"/>
      <c r="AK2698" s="444"/>
      <c r="AL2698" s="473"/>
      <c r="AM2698" s="473"/>
      <c r="AN2698" s="473"/>
      <c r="AO2698" s="473"/>
      <c r="AP2698" s="473"/>
      <c r="AQ2698" s="473"/>
    </row>
    <row r="2699" spans="2:43" s="400" customFormat="1" ht="9" customHeight="1" x14ac:dyDescent="0.45">
      <c r="B2699" s="441"/>
      <c r="C2699" s="417"/>
      <c r="J2699" s="292"/>
      <c r="K2699" s="292"/>
      <c r="L2699" s="405"/>
      <c r="M2699" s="421"/>
      <c r="N2699" s="292"/>
      <c r="O2699" s="347"/>
      <c r="P2699" s="295"/>
      <c r="Q2699" s="442"/>
      <c r="R2699" s="403" t="str">
        <f t="shared" si="228"/>
        <v>DELETE</v>
      </c>
      <c r="S2699" s="378"/>
      <c r="T2699" s="378"/>
      <c r="U2699" s="378"/>
      <c r="V2699" s="378"/>
      <c r="W2699" s="378"/>
      <c r="X2699" s="378"/>
      <c r="Y2699" s="381"/>
      <c r="Z2699" s="381"/>
      <c r="AA2699" s="404"/>
      <c r="AB2699" s="444"/>
      <c r="AC2699" s="444"/>
      <c r="AD2699" s="444"/>
      <c r="AE2699" s="444"/>
      <c r="AF2699" s="444"/>
      <c r="AG2699" s="444"/>
      <c r="AH2699" s="444"/>
      <c r="AI2699" s="444"/>
      <c r="AJ2699" s="444"/>
      <c r="AK2699" s="444"/>
      <c r="AL2699" s="473"/>
      <c r="AM2699" s="473"/>
      <c r="AN2699" s="473"/>
      <c r="AO2699" s="473"/>
      <c r="AP2699" s="473"/>
      <c r="AQ2699" s="473"/>
    </row>
    <row r="2700" spans="2:43" s="400" customFormat="1" ht="31.5" customHeight="1" x14ac:dyDescent="0.45">
      <c r="B2700" s="441"/>
      <c r="C2700" s="315" t="str">
        <f>IF(O2700&lt;0,"OPERATING LOSS","OPERATING PROFIT")</f>
        <v>OPERATING PROFIT</v>
      </c>
      <c r="J2700" s="292"/>
      <c r="K2700" s="292"/>
      <c r="L2700" s="405"/>
      <c r="M2700" s="421"/>
      <c r="N2700" s="292"/>
      <c r="O2700" s="347">
        <f>SUM(S2633:S2698)</f>
        <v>0</v>
      </c>
      <c r="P2700" s="295"/>
      <c r="Q2700" s="442"/>
      <c r="R2700" s="403" t="str">
        <f t="shared" si="228"/>
        <v>DELETE</v>
      </c>
      <c r="S2700" s="378"/>
      <c r="T2700" s="378"/>
      <c r="U2700" s="378"/>
      <c r="V2700" s="378"/>
      <c r="W2700" s="378"/>
      <c r="X2700" s="378"/>
      <c r="Y2700" s="381"/>
      <c r="Z2700" s="381"/>
      <c r="AA2700" s="404"/>
      <c r="AB2700" s="444"/>
      <c r="AC2700" s="444"/>
      <c r="AD2700" s="444"/>
      <c r="AE2700" s="444"/>
      <c r="AF2700" s="444"/>
      <c r="AG2700" s="444"/>
      <c r="AH2700" s="444"/>
      <c r="AI2700" s="444"/>
      <c r="AJ2700" s="444"/>
      <c r="AK2700" s="444"/>
      <c r="AL2700" s="473"/>
      <c r="AM2700" s="473"/>
      <c r="AN2700" s="473"/>
      <c r="AO2700" s="473"/>
      <c r="AP2700" s="473"/>
      <c r="AQ2700" s="473"/>
    </row>
    <row r="2701" spans="2:43" s="400" customFormat="1" ht="31.5" customHeight="1" x14ac:dyDescent="0.45">
      <c r="B2701" s="441"/>
      <c r="C2701" s="417"/>
      <c r="D2701" s="400" t="s">
        <v>256</v>
      </c>
      <c r="J2701" s="292"/>
      <c r="K2701" s="292"/>
      <c r="L2701" s="405"/>
      <c r="M2701" s="421"/>
      <c r="N2701" s="292"/>
      <c r="O2701" s="347"/>
      <c r="P2701" s="295"/>
      <c r="Q2701" s="442"/>
      <c r="R2701" s="403" t="str">
        <f t="shared" si="228"/>
        <v>DELETE</v>
      </c>
      <c r="S2701" s="378"/>
      <c r="T2701" s="378"/>
      <c r="U2701" s="378"/>
      <c r="V2701" s="378"/>
      <c r="W2701" s="378"/>
      <c r="X2701" s="378"/>
      <c r="Y2701" s="381"/>
      <c r="Z2701" s="381"/>
      <c r="AA2701" s="404"/>
      <c r="AB2701" s="444"/>
      <c r="AC2701" s="444"/>
      <c r="AD2701" s="444"/>
      <c r="AE2701" s="444"/>
      <c r="AF2701" s="444"/>
      <c r="AG2701" s="444"/>
      <c r="AH2701" s="444"/>
      <c r="AI2701" s="444"/>
      <c r="AJ2701" s="444"/>
      <c r="AK2701" s="444"/>
      <c r="AL2701" s="473"/>
      <c r="AM2701" s="473"/>
      <c r="AN2701" s="473"/>
      <c r="AO2701" s="473"/>
      <c r="AP2701" s="473"/>
      <c r="AQ2701" s="473"/>
    </row>
    <row r="2702" spans="2:43" s="400" customFormat="1" ht="31.5" customHeight="1" x14ac:dyDescent="0.45">
      <c r="B2702" s="441"/>
      <c r="C2702" s="417"/>
      <c r="J2702" s="292"/>
      <c r="K2702" s="292"/>
      <c r="L2702" s="292"/>
      <c r="M2702" s="347"/>
      <c r="N2702" s="298"/>
      <c r="O2702" s="347"/>
      <c r="P2702" s="295"/>
      <c r="Q2702" s="442"/>
      <c r="R2702" s="403" t="str">
        <f t="shared" si="228"/>
        <v>DELETE</v>
      </c>
      <c r="S2702" s="378"/>
      <c r="T2702" s="378"/>
      <c r="U2702" s="378"/>
      <c r="V2702" s="378"/>
      <c r="W2702" s="378"/>
      <c r="X2702" s="378"/>
      <c r="Y2702" s="381"/>
      <c r="Z2702" s="381"/>
      <c r="AA2702" s="404"/>
      <c r="AB2702" s="444"/>
      <c r="AC2702" s="444"/>
      <c r="AD2702" s="444"/>
      <c r="AE2702" s="444"/>
      <c r="AF2702" s="444"/>
      <c r="AG2702" s="444"/>
      <c r="AH2702" s="444"/>
      <c r="AI2702" s="444"/>
      <c r="AJ2702" s="444"/>
      <c r="AK2702" s="444"/>
      <c r="AL2702" s="473"/>
      <c r="AM2702" s="473"/>
      <c r="AN2702" s="473"/>
      <c r="AO2702" s="473"/>
      <c r="AP2702" s="473"/>
      <c r="AQ2702" s="473"/>
    </row>
    <row r="2703" spans="2:43" s="400" customFormat="1" ht="31.5" customHeight="1" x14ac:dyDescent="0.45">
      <c r="B2703" s="441"/>
      <c r="C2703" s="417"/>
      <c r="J2703" s="292"/>
      <c r="K2703" s="292"/>
      <c r="L2703" s="292"/>
      <c r="M2703" s="347"/>
      <c r="N2703" s="298"/>
      <c r="O2703" s="347"/>
      <c r="P2703" s="295"/>
      <c r="Q2703" s="442"/>
      <c r="R2703" s="403" t="str">
        <f t="shared" si="228"/>
        <v>DELETE</v>
      </c>
      <c r="S2703" s="378"/>
      <c r="T2703" s="378"/>
      <c r="U2703" s="378"/>
      <c r="V2703" s="378"/>
      <c r="W2703" s="378"/>
      <c r="X2703" s="378"/>
      <c r="Y2703" s="381"/>
      <c r="Z2703" s="381"/>
      <c r="AA2703" s="404"/>
      <c r="AB2703" s="444"/>
      <c r="AC2703" s="444"/>
      <c r="AD2703" s="444"/>
      <c r="AE2703" s="444"/>
      <c r="AF2703" s="444"/>
      <c r="AG2703" s="444"/>
      <c r="AH2703" s="444"/>
      <c r="AI2703" s="444"/>
      <c r="AJ2703" s="444"/>
      <c r="AK2703" s="444"/>
      <c r="AL2703" s="473"/>
      <c r="AM2703" s="473"/>
      <c r="AN2703" s="473"/>
      <c r="AO2703" s="473"/>
      <c r="AP2703" s="473"/>
      <c r="AQ2703" s="473"/>
    </row>
    <row r="2704" spans="2:43" s="400" customFormat="1" ht="31.5" customHeight="1" x14ac:dyDescent="0.45">
      <c r="B2704" s="445"/>
      <c r="C2704" s="465"/>
      <c r="D2704" s="429"/>
      <c r="E2704" s="429"/>
      <c r="F2704" s="429"/>
      <c r="G2704" s="429"/>
      <c r="H2704" s="429"/>
      <c r="I2704" s="429"/>
      <c r="J2704" s="306"/>
      <c r="K2704" s="306"/>
      <c r="L2704" s="306"/>
      <c r="M2704" s="349"/>
      <c r="N2704" s="300"/>
      <c r="O2704" s="349"/>
      <c r="P2704" s="307"/>
      <c r="Q2704" s="446"/>
      <c r="R2704" s="403" t="str">
        <f t="shared" si="228"/>
        <v>DELETE</v>
      </c>
      <c r="S2704" s="378"/>
      <c r="T2704" s="378"/>
      <c r="U2704" s="378"/>
      <c r="V2704" s="378"/>
      <c r="W2704" s="378"/>
      <c r="X2704" s="378"/>
      <c r="Y2704" s="381"/>
      <c r="Z2704" s="381"/>
      <c r="AA2704" s="404"/>
      <c r="AB2704" s="444"/>
      <c r="AC2704" s="444"/>
      <c r="AD2704" s="444"/>
      <c r="AE2704" s="444"/>
      <c r="AF2704" s="444"/>
      <c r="AG2704" s="444"/>
      <c r="AH2704" s="444"/>
      <c r="AI2704" s="444"/>
      <c r="AJ2704" s="444"/>
      <c r="AK2704" s="444"/>
      <c r="AL2704" s="473"/>
      <c r="AM2704" s="473"/>
      <c r="AN2704" s="473"/>
      <c r="AO2704" s="473"/>
      <c r="AP2704" s="473"/>
      <c r="AQ2704" s="473"/>
    </row>
    <row r="2705" spans="2:43" s="400" customFormat="1" ht="31.5" customHeight="1" x14ac:dyDescent="0.45">
      <c r="C2705" s="417"/>
      <c r="J2705" s="292"/>
      <c r="K2705" s="292"/>
      <c r="L2705" s="292"/>
      <c r="M2705" s="347"/>
      <c r="N2705" s="298"/>
      <c r="O2705" s="347"/>
      <c r="P2705" s="295"/>
      <c r="R2705" s="403" t="str">
        <f t="shared" si="228"/>
        <v>DELETE</v>
      </c>
      <c r="S2705" s="378"/>
      <c r="T2705" s="378"/>
      <c r="U2705" s="378"/>
      <c r="V2705" s="378"/>
      <c r="W2705" s="378"/>
      <c r="X2705" s="378"/>
      <c r="Y2705" s="381"/>
      <c r="Z2705" s="381"/>
      <c r="AA2705" s="404"/>
      <c r="AB2705" s="444"/>
      <c r="AC2705" s="444"/>
      <c r="AD2705" s="444"/>
      <c r="AE2705" s="444"/>
      <c r="AF2705" s="444"/>
      <c r="AG2705" s="444"/>
      <c r="AH2705" s="444"/>
      <c r="AI2705" s="444"/>
      <c r="AJ2705" s="444"/>
      <c r="AK2705" s="444"/>
      <c r="AL2705" s="473"/>
      <c r="AM2705" s="473"/>
      <c r="AN2705" s="473"/>
      <c r="AO2705" s="473"/>
      <c r="AP2705" s="473"/>
      <c r="AQ2705" s="473"/>
    </row>
    <row r="2706" spans="2:43" s="400" customFormat="1" ht="31.5" customHeight="1" x14ac:dyDescent="0.45">
      <c r="C2706" s="417"/>
      <c r="J2706" s="292"/>
      <c r="K2706" s="292"/>
      <c r="L2706" s="292"/>
      <c r="M2706" s="347"/>
      <c r="N2706" s="298"/>
      <c r="O2706" s="347"/>
      <c r="P2706" s="295"/>
      <c r="R2706" s="403" t="str">
        <f t="shared" si="228"/>
        <v>DELETE</v>
      </c>
      <c r="S2706" s="378"/>
      <c r="T2706" s="378"/>
      <c r="U2706" s="378"/>
      <c r="V2706" s="378"/>
      <c r="W2706" s="378"/>
      <c r="X2706" s="378"/>
      <c r="Y2706" s="381"/>
      <c r="Z2706" s="381"/>
      <c r="AA2706" s="404"/>
      <c r="AB2706" s="444"/>
      <c r="AC2706" s="444"/>
      <c r="AD2706" s="444"/>
      <c r="AE2706" s="444"/>
      <c r="AF2706" s="444"/>
      <c r="AG2706" s="444"/>
      <c r="AH2706" s="444"/>
      <c r="AI2706" s="444"/>
      <c r="AJ2706" s="444"/>
      <c r="AK2706" s="444"/>
      <c r="AL2706" s="473"/>
      <c r="AM2706" s="473"/>
      <c r="AN2706" s="473"/>
      <c r="AO2706" s="473"/>
      <c r="AP2706" s="473"/>
      <c r="AQ2706" s="473"/>
    </row>
    <row r="2707" spans="2:43" s="400" customFormat="1" ht="31.5" customHeight="1" x14ac:dyDescent="0.45">
      <c r="C2707" s="417"/>
      <c r="D2707" s="417">
        <f>Criteria!E16</f>
        <v>0</v>
      </c>
      <c r="J2707" s="292"/>
      <c r="K2707" s="292"/>
      <c r="L2707" s="292"/>
      <c r="M2707" s="347"/>
      <c r="N2707" s="298"/>
      <c r="O2707" s="347" t="s">
        <v>96</v>
      </c>
      <c r="P2707" s="295"/>
      <c r="Q2707" s="292">
        <f>MAX($Q$2624:Q2706)+1</f>
        <v>2</v>
      </c>
      <c r="R2707" s="403" t="str">
        <f t="shared" si="228"/>
        <v>DELETE</v>
      </c>
      <c r="S2707" s="378"/>
      <c r="T2707" s="378"/>
      <c r="U2707" s="378"/>
      <c r="V2707" s="378"/>
      <c r="W2707" s="378"/>
      <c r="X2707" s="378"/>
      <c r="Y2707" s="381"/>
      <c r="Z2707" s="381"/>
      <c r="AA2707" s="404"/>
      <c r="AB2707" s="444"/>
      <c r="AC2707" s="444"/>
      <c r="AD2707" s="444"/>
      <c r="AE2707" s="444"/>
      <c r="AF2707" s="444"/>
      <c r="AG2707" s="444"/>
      <c r="AH2707" s="444"/>
      <c r="AI2707" s="444"/>
      <c r="AJ2707" s="444"/>
      <c r="AK2707" s="444"/>
      <c r="AL2707" s="473"/>
      <c r="AM2707" s="473"/>
      <c r="AN2707" s="473"/>
      <c r="AO2707" s="473"/>
      <c r="AP2707" s="473"/>
      <c r="AQ2707" s="473"/>
    </row>
    <row r="2708" spans="2:43" s="400" customFormat="1" ht="31.5" customHeight="1" x14ac:dyDescent="0.45">
      <c r="C2708" s="417"/>
      <c r="J2708" s="292"/>
      <c r="K2708" s="292"/>
      <c r="L2708" s="292"/>
      <c r="M2708" s="347"/>
      <c r="N2708" s="298"/>
      <c r="O2708" s="347"/>
      <c r="P2708" s="295"/>
      <c r="R2708" s="403" t="str">
        <f t="shared" si="228"/>
        <v>DELETE</v>
      </c>
      <c r="S2708" s="378"/>
      <c r="T2708" s="378"/>
      <c r="U2708" s="378"/>
      <c r="V2708" s="378"/>
      <c r="W2708" s="378"/>
      <c r="X2708" s="378"/>
      <c r="Y2708" s="381"/>
      <c r="Z2708" s="381"/>
      <c r="AA2708" s="404"/>
      <c r="AB2708" s="444"/>
      <c r="AC2708" s="444"/>
      <c r="AD2708" s="444"/>
      <c r="AE2708" s="444"/>
      <c r="AF2708" s="444"/>
      <c r="AG2708" s="444"/>
      <c r="AH2708" s="444"/>
      <c r="AI2708" s="444"/>
      <c r="AJ2708" s="444"/>
      <c r="AK2708" s="444"/>
      <c r="AL2708" s="473"/>
      <c r="AM2708" s="473"/>
      <c r="AN2708" s="473"/>
      <c r="AO2708" s="473"/>
      <c r="AP2708" s="473"/>
      <c r="AQ2708" s="473"/>
    </row>
    <row r="2709" spans="2:43" s="400" customFormat="1" ht="31.5" customHeight="1" x14ac:dyDescent="0.45">
      <c r="C2709" s="417"/>
      <c r="J2709" s="292"/>
      <c r="K2709" s="292"/>
      <c r="L2709" s="292"/>
      <c r="M2709" s="347"/>
      <c r="N2709" s="298"/>
      <c r="O2709" s="347"/>
      <c r="P2709" s="295"/>
      <c r="R2709" s="403" t="str">
        <f t="shared" si="228"/>
        <v>DELETE</v>
      </c>
      <c r="S2709" s="378"/>
      <c r="T2709" s="378"/>
      <c r="U2709" s="378"/>
      <c r="V2709" s="378"/>
      <c r="W2709" s="378"/>
      <c r="X2709" s="378"/>
      <c r="Y2709" s="381"/>
      <c r="Z2709" s="381"/>
      <c r="AA2709" s="404"/>
      <c r="AB2709" s="444"/>
      <c r="AC2709" s="444"/>
      <c r="AD2709" s="444"/>
      <c r="AE2709" s="444"/>
      <c r="AF2709" s="444"/>
      <c r="AG2709" s="444"/>
      <c r="AH2709" s="444"/>
      <c r="AI2709" s="444"/>
      <c r="AJ2709" s="444"/>
      <c r="AK2709" s="444"/>
      <c r="AL2709" s="473"/>
      <c r="AM2709" s="473"/>
      <c r="AN2709" s="473"/>
      <c r="AO2709" s="473"/>
      <c r="AP2709" s="473"/>
      <c r="AQ2709" s="473"/>
    </row>
    <row r="2710" spans="2:43" s="400" customFormat="1" ht="31.5" customHeight="1" x14ac:dyDescent="0.45">
      <c r="C2710" s="417"/>
      <c r="D2710" s="417" t="s">
        <v>91</v>
      </c>
      <c r="J2710" s="292"/>
      <c r="K2710" s="292"/>
      <c r="L2710" s="292"/>
      <c r="M2710" s="347"/>
      <c r="N2710" s="298"/>
      <c r="O2710" s="347"/>
      <c r="P2710" s="295"/>
      <c r="R2710" s="403" t="str">
        <f t="shared" si="228"/>
        <v>DELETE</v>
      </c>
      <c r="S2710" s="378"/>
      <c r="T2710" s="378"/>
      <c r="U2710" s="378"/>
      <c r="V2710" s="378"/>
      <c r="W2710" s="378"/>
      <c r="X2710" s="378"/>
      <c r="Y2710" s="381"/>
      <c r="Z2710" s="381"/>
      <c r="AA2710" s="404"/>
      <c r="AB2710" s="444"/>
      <c r="AC2710" s="444"/>
      <c r="AD2710" s="444"/>
      <c r="AE2710" s="444"/>
      <c r="AF2710" s="444"/>
      <c r="AG2710" s="444"/>
      <c r="AH2710" s="444"/>
      <c r="AI2710" s="444"/>
      <c r="AJ2710" s="444"/>
      <c r="AK2710" s="444"/>
      <c r="AL2710" s="473"/>
      <c r="AM2710" s="473"/>
      <c r="AN2710" s="473"/>
      <c r="AO2710" s="473"/>
      <c r="AP2710" s="473"/>
      <c r="AQ2710" s="473"/>
    </row>
    <row r="2711" spans="2:43" s="400" customFormat="1" ht="31.5" customHeight="1" x14ac:dyDescent="0.45">
      <c r="C2711" s="417"/>
      <c r="D2711" s="417" t="str">
        <f>D2628</f>
        <v>29 FEBRUARY 2024</v>
      </c>
      <c r="H2711" s="400" t="s">
        <v>102</v>
      </c>
      <c r="J2711" s="292"/>
      <c r="K2711" s="292"/>
      <c r="L2711" s="292"/>
      <c r="M2711" s="347"/>
      <c r="N2711" s="298"/>
      <c r="O2711" s="347"/>
      <c r="P2711" s="295"/>
      <c r="R2711" s="403" t="str">
        <f t="shared" si="228"/>
        <v>DELETE</v>
      </c>
      <c r="S2711" s="378"/>
      <c r="T2711" s="378"/>
      <c r="U2711" s="378"/>
      <c r="V2711" s="378"/>
      <c r="W2711" s="378"/>
      <c r="X2711" s="378"/>
      <c r="Y2711" s="381"/>
      <c r="Z2711" s="381"/>
      <c r="AA2711" s="404"/>
      <c r="AB2711" s="444"/>
      <c r="AC2711" s="444"/>
      <c r="AD2711" s="444"/>
      <c r="AE2711" s="444"/>
      <c r="AF2711" s="444"/>
      <c r="AG2711" s="444"/>
      <c r="AH2711" s="444"/>
      <c r="AI2711" s="444"/>
      <c r="AJ2711" s="444"/>
      <c r="AK2711" s="444"/>
      <c r="AL2711" s="473"/>
      <c r="AM2711" s="473"/>
      <c r="AN2711" s="473"/>
      <c r="AO2711" s="473"/>
      <c r="AP2711" s="473"/>
      <c r="AQ2711" s="473"/>
    </row>
    <row r="2712" spans="2:43" s="400" customFormat="1" ht="31.5" customHeight="1" x14ac:dyDescent="0.45">
      <c r="C2712" s="417"/>
      <c r="J2712" s="292"/>
      <c r="K2712" s="306"/>
      <c r="L2712" s="306"/>
      <c r="M2712" s="349"/>
      <c r="N2712" s="300"/>
      <c r="O2712" s="349"/>
      <c r="P2712" s="295"/>
      <c r="R2712" s="403" t="str">
        <f t="shared" si="228"/>
        <v>DELETE</v>
      </c>
      <c r="S2712" s="378"/>
      <c r="T2712" s="378"/>
      <c r="U2712" s="378"/>
      <c r="V2712" s="378"/>
      <c r="W2712" s="378"/>
      <c r="X2712" s="378"/>
      <c r="Y2712" s="381"/>
      <c r="Z2712" s="381"/>
      <c r="AA2712" s="404"/>
      <c r="AB2712" s="444"/>
      <c r="AC2712" s="444"/>
      <c r="AD2712" s="444"/>
      <c r="AE2712" s="444"/>
      <c r="AF2712" s="444"/>
      <c r="AG2712" s="444"/>
      <c r="AH2712" s="444"/>
      <c r="AI2712" s="444"/>
      <c r="AJ2712" s="444"/>
      <c r="AK2712" s="444"/>
      <c r="AL2712" s="473"/>
      <c r="AM2712" s="473"/>
      <c r="AN2712" s="473"/>
      <c r="AO2712" s="473"/>
      <c r="AP2712" s="473"/>
      <c r="AQ2712" s="473"/>
    </row>
    <row r="2713" spans="2:43" s="400" customFormat="1" ht="31.5" customHeight="1" x14ac:dyDescent="0.45">
      <c r="B2713" s="438"/>
      <c r="C2713" s="458"/>
      <c r="D2713" s="439"/>
      <c r="E2713" s="439"/>
      <c r="F2713" s="439"/>
      <c r="G2713" s="439"/>
      <c r="H2713" s="439"/>
      <c r="I2713" s="439"/>
      <c r="J2713" s="320"/>
      <c r="M2713" s="426"/>
      <c r="N2713" s="406"/>
      <c r="O2713" s="426"/>
      <c r="P2713" s="319"/>
      <c r="Q2713" s="440"/>
      <c r="R2713" s="403" t="str">
        <f t="shared" si="228"/>
        <v>DELETE</v>
      </c>
      <c r="S2713" s="378"/>
      <c r="T2713" s="378"/>
      <c r="U2713" s="378"/>
      <c r="V2713" s="378"/>
      <c r="W2713" s="378"/>
      <c r="X2713" s="378"/>
      <c r="Y2713" s="381"/>
      <c r="Z2713" s="381"/>
      <c r="AA2713" s="404"/>
      <c r="AB2713" s="444"/>
      <c r="AC2713" s="444"/>
      <c r="AD2713" s="444"/>
      <c r="AE2713" s="444"/>
      <c r="AF2713" s="444"/>
      <c r="AG2713" s="444"/>
      <c r="AH2713" s="444"/>
      <c r="AI2713" s="444"/>
      <c r="AJ2713" s="444"/>
      <c r="AK2713" s="444"/>
      <c r="AL2713" s="473"/>
      <c r="AM2713" s="473"/>
      <c r="AN2713" s="473"/>
      <c r="AO2713" s="473"/>
      <c r="AP2713" s="473"/>
      <c r="AQ2713" s="473"/>
    </row>
    <row r="2714" spans="2:43" s="400" customFormat="1" ht="31.5" customHeight="1" x14ac:dyDescent="0.45">
      <c r="B2714" s="441"/>
      <c r="C2714" s="417"/>
      <c r="J2714" s="292"/>
      <c r="K2714" s="292"/>
      <c r="L2714" s="405"/>
      <c r="M2714" s="421"/>
      <c r="N2714" s="292"/>
      <c r="O2714" s="344">
        <f>Criteria!E22</f>
        <v>2024</v>
      </c>
      <c r="P2714" s="295"/>
      <c r="Q2714" s="442"/>
      <c r="R2714" s="403" t="str">
        <f t="shared" si="228"/>
        <v>DELETE</v>
      </c>
      <c r="S2714" s="378"/>
      <c r="T2714" s="378"/>
      <c r="U2714" s="378"/>
      <c r="V2714" s="378"/>
      <c r="W2714" s="378"/>
      <c r="X2714" s="378"/>
      <c r="Y2714" s="381"/>
      <c r="Z2714" s="381"/>
      <c r="AA2714" s="404"/>
      <c r="AB2714" s="444"/>
      <c r="AC2714" s="444"/>
      <c r="AD2714" s="444"/>
      <c r="AE2714" s="444"/>
      <c r="AF2714" s="444"/>
      <c r="AG2714" s="444"/>
      <c r="AH2714" s="444"/>
      <c r="AI2714" s="444"/>
      <c r="AJ2714" s="444"/>
      <c r="AK2714" s="444"/>
      <c r="AL2714" s="473"/>
      <c r="AM2714" s="473"/>
      <c r="AN2714" s="473"/>
      <c r="AO2714" s="473"/>
      <c r="AP2714" s="473"/>
      <c r="AQ2714" s="473"/>
    </row>
    <row r="2715" spans="2:43" s="400" customFormat="1" ht="31.5" customHeight="1" x14ac:dyDescent="0.45">
      <c r="B2715" s="441"/>
      <c r="C2715" s="417"/>
      <c r="J2715" s="292"/>
      <c r="K2715" s="292"/>
      <c r="L2715" s="405"/>
      <c r="M2715" s="421"/>
      <c r="N2715" s="292"/>
      <c r="O2715" s="347"/>
      <c r="P2715" s="295"/>
      <c r="Q2715" s="442"/>
      <c r="R2715" s="403" t="str">
        <f t="shared" si="228"/>
        <v>DELETE</v>
      </c>
      <c r="S2715" s="378"/>
      <c r="T2715" s="378"/>
      <c r="U2715" s="378"/>
      <c r="V2715" s="378"/>
      <c r="W2715" s="378"/>
      <c r="X2715" s="378"/>
      <c r="Y2715" s="381"/>
      <c r="Z2715" s="381"/>
      <c r="AA2715" s="404"/>
      <c r="AB2715" s="444"/>
      <c r="AC2715" s="444"/>
      <c r="AD2715" s="444"/>
      <c r="AE2715" s="444"/>
      <c r="AF2715" s="444"/>
      <c r="AG2715" s="444"/>
      <c r="AH2715" s="444"/>
      <c r="AI2715" s="444"/>
      <c r="AJ2715" s="444"/>
      <c r="AK2715" s="444"/>
      <c r="AL2715" s="473"/>
      <c r="AM2715" s="473"/>
      <c r="AN2715" s="473"/>
      <c r="AO2715" s="473"/>
      <c r="AP2715" s="473"/>
      <c r="AQ2715" s="473"/>
    </row>
    <row r="2716" spans="2:43" s="400" customFormat="1" ht="31.5" customHeight="1" x14ac:dyDescent="0.45">
      <c r="B2716" s="441"/>
      <c r="C2716" s="315" t="str">
        <f>IF(O2716&lt;0,"OPERATING LOSS","OPERATING PROFIT")</f>
        <v>OPERATING PROFIT</v>
      </c>
      <c r="J2716" s="292"/>
      <c r="K2716" s="292"/>
      <c r="L2716" s="405"/>
      <c r="M2716" s="421"/>
      <c r="N2716" s="292"/>
      <c r="O2716" s="347">
        <f>SUM(S2633:S2697)</f>
        <v>0</v>
      </c>
      <c r="P2716" s="295"/>
      <c r="Q2716" s="442"/>
      <c r="R2716" s="403" t="str">
        <f t="shared" si="228"/>
        <v>DELETE</v>
      </c>
      <c r="S2716" s="378"/>
      <c r="T2716" s="378"/>
      <c r="U2716" s="378" t="b">
        <f>O2716=O2700</f>
        <v>1</v>
      </c>
      <c r="V2716" s="378"/>
      <c r="W2716" s="378"/>
      <c r="X2716" s="378"/>
      <c r="Y2716" s="381"/>
      <c r="Z2716" s="381"/>
      <c r="AA2716" s="404"/>
      <c r="AB2716" s="444"/>
      <c r="AC2716" s="444"/>
      <c r="AD2716" s="444"/>
      <c r="AE2716" s="444"/>
      <c r="AF2716" s="444"/>
      <c r="AG2716" s="444"/>
      <c r="AH2716" s="444"/>
      <c r="AI2716" s="444"/>
      <c r="AJ2716" s="444"/>
      <c r="AK2716" s="444"/>
      <c r="AL2716" s="473"/>
      <c r="AM2716" s="473"/>
      <c r="AN2716" s="473"/>
      <c r="AO2716" s="473"/>
      <c r="AP2716" s="473"/>
      <c r="AQ2716" s="473"/>
    </row>
    <row r="2717" spans="2:43" s="400" customFormat="1" ht="31.5" customHeight="1" x14ac:dyDescent="0.45">
      <c r="B2717" s="441"/>
      <c r="C2717" s="417"/>
      <c r="D2717" s="400" t="s">
        <v>257</v>
      </c>
      <c r="J2717" s="292"/>
      <c r="K2717" s="292"/>
      <c r="L2717" s="405"/>
      <c r="M2717" s="421"/>
      <c r="N2717" s="292"/>
      <c r="O2717" s="347"/>
      <c r="P2717" s="295"/>
      <c r="Q2717" s="442"/>
      <c r="R2717" s="403" t="str">
        <f t="shared" si="228"/>
        <v>DELETE</v>
      </c>
      <c r="S2717" s="378"/>
      <c r="T2717" s="378"/>
      <c r="U2717" s="378"/>
      <c r="V2717" s="378"/>
      <c r="W2717" s="378"/>
      <c r="X2717" s="378"/>
      <c r="Y2717" s="381"/>
      <c r="Z2717" s="381"/>
      <c r="AA2717" s="404"/>
      <c r="AB2717" s="444"/>
      <c r="AC2717" s="444"/>
      <c r="AD2717" s="444"/>
      <c r="AE2717" s="444"/>
      <c r="AF2717" s="444"/>
      <c r="AG2717" s="444"/>
      <c r="AH2717" s="444"/>
      <c r="AI2717" s="444"/>
      <c r="AJ2717" s="444"/>
      <c r="AK2717" s="444"/>
      <c r="AL2717" s="473"/>
      <c r="AM2717" s="473"/>
      <c r="AN2717" s="473"/>
      <c r="AO2717" s="473"/>
      <c r="AP2717" s="473"/>
      <c r="AQ2717" s="473"/>
    </row>
    <row r="2718" spans="2:43" s="400" customFormat="1" ht="31.5" customHeight="1" x14ac:dyDescent="0.45">
      <c r="B2718" s="441"/>
      <c r="C2718" s="417"/>
      <c r="J2718" s="292"/>
      <c r="K2718" s="292"/>
      <c r="L2718" s="405"/>
      <c r="M2718" s="421"/>
      <c r="N2718" s="292"/>
      <c r="O2718" s="347"/>
      <c r="P2718" s="295"/>
      <c r="Q2718" s="442"/>
      <c r="R2718" s="403" t="str">
        <f t="shared" si="228"/>
        <v>DELETE</v>
      </c>
      <c r="S2718" s="378"/>
      <c r="T2718" s="378"/>
      <c r="U2718" s="378"/>
      <c r="V2718" s="378"/>
      <c r="W2718" s="378"/>
      <c r="X2718" s="378"/>
      <c r="Y2718" s="381"/>
      <c r="Z2718" s="381"/>
      <c r="AA2718" s="404"/>
      <c r="AB2718" s="444"/>
      <c r="AC2718" s="444"/>
      <c r="AD2718" s="444"/>
      <c r="AE2718" s="444"/>
      <c r="AF2718" s="444"/>
      <c r="AG2718" s="444"/>
      <c r="AH2718" s="444"/>
      <c r="AI2718" s="444"/>
      <c r="AJ2718" s="444"/>
      <c r="AK2718" s="444"/>
      <c r="AL2718" s="473"/>
      <c r="AM2718" s="473"/>
      <c r="AN2718" s="473"/>
      <c r="AO2718" s="473"/>
      <c r="AP2718" s="473"/>
      <c r="AQ2718" s="473"/>
    </row>
    <row r="2719" spans="2:43" s="400" customFormat="1" ht="31.5" customHeight="1" x14ac:dyDescent="0.45">
      <c r="B2719" s="441"/>
      <c r="C2719" s="417" t="s">
        <v>906</v>
      </c>
      <c r="J2719" s="292"/>
      <c r="K2719" s="292"/>
      <c r="L2719" s="405"/>
      <c r="M2719" s="421"/>
      <c r="N2719" s="292"/>
      <c r="O2719" s="347">
        <f>SUM(O2722:O2755)</f>
        <v>0</v>
      </c>
      <c r="P2719" s="295"/>
      <c r="Q2719" s="442"/>
      <c r="R2719" s="403" t="str">
        <f t="shared" ref="R2719" si="229">IF(R$2621="DELETE","DELETE",IF(O2719=0,"DELETE"," "))</f>
        <v>DELETE</v>
      </c>
      <c r="S2719" s="380">
        <f>-O2719</f>
        <v>0</v>
      </c>
      <c r="T2719" s="380"/>
      <c r="U2719" s="380"/>
      <c r="V2719" s="380"/>
      <c r="W2719" s="378"/>
      <c r="X2719" s="378"/>
      <c r="Y2719" s="381"/>
      <c r="Z2719" s="381"/>
      <c r="AA2719" s="404"/>
      <c r="AB2719" s="444"/>
      <c r="AC2719" s="444"/>
      <c r="AD2719" s="444"/>
      <c r="AE2719" s="444"/>
      <c r="AF2719" s="444"/>
      <c r="AG2719" s="444"/>
      <c r="AH2719" s="444"/>
      <c r="AI2719" s="444"/>
      <c r="AJ2719" s="444"/>
      <c r="AK2719" s="444"/>
      <c r="AL2719" s="473"/>
      <c r="AM2719" s="473"/>
      <c r="AN2719" s="473"/>
      <c r="AO2719" s="473"/>
      <c r="AP2719" s="473"/>
      <c r="AQ2719" s="473"/>
    </row>
    <row r="2720" spans="2:43" s="400" customFormat="1" ht="9" customHeight="1" x14ac:dyDescent="0.45">
      <c r="B2720" s="441"/>
      <c r="C2720" s="417"/>
      <c r="J2720" s="292"/>
      <c r="K2720" s="292"/>
      <c r="L2720" s="405"/>
      <c r="M2720" s="421"/>
      <c r="N2720" s="292"/>
      <c r="O2720" s="347"/>
      <c r="P2720" s="295"/>
      <c r="Q2720" s="442"/>
      <c r="R2720" s="403" t="str">
        <f>R2719</f>
        <v>DELETE</v>
      </c>
      <c r="S2720" s="378"/>
      <c r="T2720" s="378"/>
      <c r="U2720" s="378"/>
      <c r="V2720" s="378"/>
      <c r="W2720" s="378"/>
      <c r="X2720" s="378"/>
      <c r="Y2720" s="381"/>
      <c r="Z2720" s="381"/>
      <c r="AA2720" s="404"/>
      <c r="AB2720" s="444"/>
      <c r="AC2720" s="444"/>
      <c r="AD2720" s="444"/>
      <c r="AE2720" s="444"/>
      <c r="AF2720" s="444"/>
      <c r="AG2720" s="444"/>
      <c r="AH2720" s="444"/>
      <c r="AI2720" s="444"/>
      <c r="AJ2720" s="444"/>
      <c r="AK2720" s="444"/>
      <c r="AL2720" s="473"/>
      <c r="AM2720" s="473"/>
      <c r="AN2720" s="473"/>
      <c r="AO2720" s="473"/>
      <c r="AP2720" s="473"/>
      <c r="AQ2720" s="473"/>
    </row>
    <row r="2721" spans="2:43" s="400" customFormat="1" ht="9" customHeight="1" x14ac:dyDescent="0.45">
      <c r="B2721" s="441"/>
      <c r="C2721" s="417"/>
      <c r="J2721" s="292"/>
      <c r="K2721" s="292"/>
      <c r="L2721" s="405"/>
      <c r="M2721" s="421"/>
      <c r="N2721" s="292"/>
      <c r="O2721" s="372"/>
      <c r="P2721" s="295"/>
      <c r="Q2721" s="442"/>
      <c r="R2721" s="403" t="str">
        <f>R2720</f>
        <v>DELETE</v>
      </c>
      <c r="S2721" s="378"/>
      <c r="T2721" s="378"/>
      <c r="U2721" s="378"/>
      <c r="V2721" s="378"/>
      <c r="W2721" s="378"/>
      <c r="X2721" s="378"/>
      <c r="Y2721" s="381"/>
      <c r="Z2721" s="381"/>
      <c r="AA2721" s="404"/>
      <c r="AB2721" s="444"/>
      <c r="AC2721" s="444"/>
      <c r="AD2721" s="444"/>
      <c r="AE2721" s="444"/>
      <c r="AF2721" s="444"/>
      <c r="AG2721" s="444"/>
      <c r="AH2721" s="444"/>
      <c r="AI2721" s="444"/>
      <c r="AJ2721" s="444"/>
      <c r="AK2721" s="444"/>
      <c r="AL2721" s="473"/>
      <c r="AM2721" s="473"/>
      <c r="AN2721" s="473"/>
      <c r="AO2721" s="473"/>
      <c r="AP2721" s="473"/>
      <c r="AQ2721" s="473"/>
    </row>
    <row r="2722" spans="2:43" s="400" customFormat="1" ht="31.5" customHeight="1" x14ac:dyDescent="0.45">
      <c r="B2722" s="441"/>
      <c r="C2722" s="417"/>
      <c r="D2722" s="400" t="s">
        <v>215</v>
      </c>
      <c r="J2722" s="292"/>
      <c r="K2722" s="292"/>
      <c r="L2722" s="405"/>
      <c r="M2722" s="421"/>
      <c r="N2722" s="292"/>
      <c r="O2722" s="373">
        <f>SUM(TrialBalanceC!I98:I101)</f>
        <v>0</v>
      </c>
      <c r="P2722" s="295"/>
      <c r="Q2722" s="442"/>
      <c r="R2722" s="403" t="str">
        <f t="shared" ref="R2722:R2753" si="230">IF(R$2621="DELETE","DELETE",IF(O2722=0,"DELETE"," "))</f>
        <v>DELETE</v>
      </c>
      <c r="S2722" s="378"/>
      <c r="T2722" s="378"/>
      <c r="U2722" s="378"/>
      <c r="V2722" s="378"/>
      <c r="W2722" s="378"/>
      <c r="X2722" s="378"/>
      <c r="Y2722" s="381"/>
      <c r="Z2722" s="381"/>
      <c r="AA2722" s="404"/>
      <c r="AB2722" s="444"/>
      <c r="AC2722" s="444"/>
      <c r="AD2722" s="444"/>
      <c r="AE2722" s="444"/>
      <c r="AF2722" s="444"/>
      <c r="AG2722" s="444"/>
      <c r="AH2722" s="444"/>
      <c r="AI2722" s="444"/>
      <c r="AJ2722" s="444"/>
      <c r="AK2722" s="444"/>
      <c r="AL2722" s="473"/>
      <c r="AM2722" s="473"/>
      <c r="AN2722" s="473"/>
      <c r="AO2722" s="473"/>
      <c r="AP2722" s="473"/>
      <c r="AQ2722" s="473"/>
    </row>
    <row r="2723" spans="2:43" s="400" customFormat="1" ht="31.5" customHeight="1" x14ac:dyDescent="0.45">
      <c r="B2723" s="441"/>
      <c r="C2723" s="417"/>
      <c r="D2723" s="400" t="s">
        <v>217</v>
      </c>
      <c r="J2723" s="292"/>
      <c r="K2723" s="292"/>
      <c r="L2723" s="405"/>
      <c r="M2723" s="421"/>
      <c r="N2723" s="292"/>
      <c r="O2723" s="373">
        <f>TrialBalanceC!I102</f>
        <v>0</v>
      </c>
      <c r="P2723" s="295"/>
      <c r="Q2723" s="442"/>
      <c r="R2723" s="403" t="str">
        <f t="shared" si="230"/>
        <v>DELETE</v>
      </c>
      <c r="S2723" s="378"/>
      <c r="T2723" s="378"/>
      <c r="U2723" s="378"/>
      <c r="V2723" s="378"/>
      <c r="W2723" s="378"/>
      <c r="X2723" s="378"/>
      <c r="Y2723" s="381"/>
      <c r="Z2723" s="381"/>
      <c r="AA2723" s="404"/>
      <c r="AB2723" s="444"/>
      <c r="AC2723" s="444"/>
      <c r="AD2723" s="444"/>
      <c r="AE2723" s="444"/>
      <c r="AF2723" s="444"/>
      <c r="AG2723" s="444"/>
      <c r="AH2723" s="444"/>
      <c r="AI2723" s="444"/>
      <c r="AJ2723" s="444"/>
      <c r="AK2723" s="444"/>
      <c r="AL2723" s="473"/>
      <c r="AM2723" s="473"/>
      <c r="AN2723" s="473"/>
      <c r="AO2723" s="473"/>
      <c r="AP2723" s="473"/>
      <c r="AQ2723" s="473"/>
    </row>
    <row r="2724" spans="2:43" s="400" customFormat="1" ht="31.5" customHeight="1" x14ac:dyDescent="0.45">
      <c r="B2724" s="441"/>
      <c r="C2724" s="417"/>
      <c r="D2724" s="400" t="s">
        <v>219</v>
      </c>
      <c r="J2724" s="292"/>
      <c r="K2724" s="292"/>
      <c r="L2724" s="405"/>
      <c r="M2724" s="421"/>
      <c r="N2724" s="292"/>
      <c r="O2724" s="373">
        <f>TrialBalanceC!I103</f>
        <v>0</v>
      </c>
      <c r="P2724" s="295"/>
      <c r="Q2724" s="442"/>
      <c r="R2724" s="403" t="str">
        <f t="shared" si="230"/>
        <v>DELETE</v>
      </c>
      <c r="S2724" s="378"/>
      <c r="T2724" s="378"/>
      <c r="U2724" s="378"/>
      <c r="V2724" s="378"/>
      <c r="W2724" s="378"/>
      <c r="X2724" s="378"/>
      <c r="Y2724" s="381"/>
      <c r="Z2724" s="381"/>
      <c r="AA2724" s="404"/>
      <c r="AB2724" s="444"/>
      <c r="AC2724" s="444"/>
      <c r="AD2724" s="444"/>
      <c r="AE2724" s="444"/>
      <c r="AF2724" s="444"/>
      <c r="AG2724" s="444"/>
      <c r="AH2724" s="444"/>
      <c r="AI2724" s="444"/>
      <c r="AJ2724" s="444"/>
      <c r="AK2724" s="444"/>
      <c r="AL2724" s="473"/>
      <c r="AM2724" s="473"/>
      <c r="AN2724" s="473"/>
      <c r="AO2724" s="473"/>
      <c r="AP2724" s="473"/>
      <c r="AQ2724" s="473"/>
    </row>
    <row r="2725" spans="2:43" s="400" customFormat="1" ht="31.5" customHeight="1" x14ac:dyDescent="0.45">
      <c r="B2725" s="441"/>
      <c r="C2725" s="417"/>
      <c r="D2725" s="400" t="s">
        <v>258</v>
      </c>
      <c r="J2725" s="292"/>
      <c r="K2725" s="292"/>
      <c r="L2725" s="405"/>
      <c r="M2725" s="421"/>
      <c r="N2725" s="292"/>
      <c r="O2725" s="373">
        <f>TrialBalanceC!I104</f>
        <v>0</v>
      </c>
      <c r="P2725" s="295"/>
      <c r="Q2725" s="442"/>
      <c r="R2725" s="403" t="str">
        <f t="shared" si="230"/>
        <v>DELETE</v>
      </c>
      <c r="S2725" s="378"/>
      <c r="T2725" s="378"/>
      <c r="U2725" s="378"/>
      <c r="V2725" s="378"/>
      <c r="W2725" s="378"/>
      <c r="X2725" s="378"/>
      <c r="Y2725" s="381"/>
      <c r="Z2725" s="381"/>
      <c r="AA2725" s="404"/>
      <c r="AB2725" s="444"/>
      <c r="AC2725" s="444"/>
      <c r="AD2725" s="444"/>
      <c r="AE2725" s="444"/>
      <c r="AF2725" s="444"/>
      <c r="AG2725" s="444"/>
      <c r="AH2725" s="444"/>
      <c r="AI2725" s="444"/>
      <c r="AJ2725" s="444"/>
      <c r="AK2725" s="444"/>
      <c r="AL2725" s="473"/>
      <c r="AM2725" s="473"/>
      <c r="AN2725" s="473"/>
      <c r="AO2725" s="473"/>
      <c r="AP2725" s="473"/>
      <c r="AQ2725" s="473"/>
    </row>
    <row r="2726" spans="2:43" s="400" customFormat="1" ht="31.5" customHeight="1" x14ac:dyDescent="0.45">
      <c r="B2726" s="441"/>
      <c r="C2726" s="417"/>
      <c r="D2726" s="400" t="s">
        <v>222</v>
      </c>
      <c r="J2726" s="292"/>
      <c r="K2726" s="292"/>
      <c r="L2726" s="405"/>
      <c r="M2726" s="421"/>
      <c r="N2726" s="292"/>
      <c r="O2726" s="373">
        <f>TrialBalanceC!I105</f>
        <v>0</v>
      </c>
      <c r="P2726" s="295"/>
      <c r="Q2726" s="442"/>
      <c r="R2726" s="403" t="str">
        <f t="shared" si="230"/>
        <v>DELETE</v>
      </c>
      <c r="S2726" s="378"/>
      <c r="T2726" s="378"/>
      <c r="U2726" s="378"/>
      <c r="V2726" s="378"/>
      <c r="W2726" s="378"/>
      <c r="X2726" s="378"/>
      <c r="Y2726" s="381"/>
      <c r="Z2726" s="381"/>
      <c r="AA2726" s="404"/>
      <c r="AB2726" s="444"/>
      <c r="AC2726" s="444"/>
      <c r="AD2726" s="444"/>
      <c r="AE2726" s="444"/>
      <c r="AF2726" s="444"/>
      <c r="AG2726" s="444"/>
      <c r="AH2726" s="444"/>
      <c r="AI2726" s="444"/>
      <c r="AJ2726" s="444"/>
      <c r="AK2726" s="444"/>
      <c r="AL2726" s="473"/>
      <c r="AM2726" s="473"/>
      <c r="AN2726" s="473"/>
      <c r="AO2726" s="473"/>
      <c r="AP2726" s="473"/>
      <c r="AQ2726" s="473"/>
    </row>
    <row r="2727" spans="2:43" s="400" customFormat="1" ht="31.5" customHeight="1" x14ac:dyDescent="0.45">
      <c r="B2727" s="441"/>
      <c r="C2727" s="417"/>
      <c r="D2727" s="400" t="s">
        <v>727</v>
      </c>
      <c r="J2727" s="292"/>
      <c r="K2727" s="292"/>
      <c r="L2727" s="405"/>
      <c r="M2727" s="421"/>
      <c r="N2727" s="292"/>
      <c r="O2727" s="373">
        <f>TrialBalanceC!I106</f>
        <v>0</v>
      </c>
      <c r="P2727" s="295"/>
      <c r="Q2727" s="442"/>
      <c r="R2727" s="403" t="str">
        <f t="shared" si="230"/>
        <v>DELETE</v>
      </c>
      <c r="S2727" s="378"/>
      <c r="T2727" s="378"/>
      <c r="U2727" s="378"/>
      <c r="V2727" s="378"/>
      <c r="W2727" s="378"/>
      <c r="X2727" s="378"/>
      <c r="Y2727" s="381"/>
      <c r="Z2727" s="381"/>
      <c r="AA2727" s="404"/>
      <c r="AB2727" s="444"/>
      <c r="AC2727" s="444"/>
      <c r="AD2727" s="444"/>
      <c r="AE2727" s="444"/>
      <c r="AF2727" s="444"/>
      <c r="AG2727" s="444"/>
      <c r="AH2727" s="444"/>
      <c r="AI2727" s="444"/>
      <c r="AJ2727" s="444"/>
      <c r="AK2727" s="444"/>
      <c r="AL2727" s="473"/>
      <c r="AM2727" s="473"/>
      <c r="AN2727" s="473"/>
      <c r="AO2727" s="473"/>
      <c r="AP2727" s="473"/>
      <c r="AQ2727" s="473"/>
    </row>
    <row r="2728" spans="2:43" s="400" customFormat="1" ht="31.5" customHeight="1" x14ac:dyDescent="0.45">
      <c r="B2728" s="441"/>
      <c r="C2728" s="417"/>
      <c r="D2728" s="400" t="s">
        <v>277</v>
      </c>
      <c r="J2728" s="292"/>
      <c r="K2728" s="292">
        <f>C$940</f>
        <v>5.2999999999999989</v>
      </c>
      <c r="L2728" s="405"/>
      <c r="M2728" s="421"/>
      <c r="N2728" s="292"/>
      <c r="O2728" s="373">
        <f>SUM(TrialBalanceC!I108:I109)</f>
        <v>0</v>
      </c>
      <c r="P2728" s="295"/>
      <c r="Q2728" s="442"/>
      <c r="R2728" s="403" t="str">
        <f t="shared" si="230"/>
        <v>DELETE</v>
      </c>
      <c r="S2728" s="378"/>
      <c r="T2728" s="378"/>
      <c r="U2728" s="378"/>
      <c r="V2728" s="378"/>
      <c r="W2728" s="378"/>
      <c r="X2728" s="378"/>
      <c r="Y2728" s="381"/>
      <c r="Z2728" s="381"/>
      <c r="AA2728" s="404"/>
      <c r="AB2728" s="444"/>
      <c r="AC2728" s="444"/>
      <c r="AD2728" s="444"/>
      <c r="AE2728" s="444"/>
      <c r="AF2728" s="444"/>
      <c r="AG2728" s="444"/>
      <c r="AH2728" s="444"/>
      <c r="AI2728" s="444"/>
      <c r="AJ2728" s="444"/>
      <c r="AK2728" s="444"/>
      <c r="AL2728" s="473"/>
      <c r="AM2728" s="473"/>
      <c r="AN2728" s="473"/>
      <c r="AO2728" s="473"/>
      <c r="AP2728" s="473"/>
      <c r="AQ2728" s="473"/>
    </row>
    <row r="2729" spans="2:43" s="400" customFormat="1" ht="31.5" customHeight="1" x14ac:dyDescent="0.45">
      <c r="B2729" s="441"/>
      <c r="C2729" s="417"/>
      <c r="D2729" s="400" t="str">
        <f>IF(MAX(Criteria!I38:I42)&gt;1,"Directors' remuneration","Director's remuneration")</f>
        <v>Director's remuneration</v>
      </c>
      <c r="J2729" s="292"/>
      <c r="K2729" s="292">
        <f>C$881</f>
        <v>5.0999999999999996</v>
      </c>
      <c r="L2729" s="405"/>
      <c r="M2729" s="421"/>
      <c r="N2729" s="292"/>
      <c r="O2729" s="373">
        <f>SUM(TrialBalanceC!I111:I115)</f>
        <v>0</v>
      </c>
      <c r="P2729" s="295"/>
      <c r="Q2729" s="442"/>
      <c r="R2729" s="403" t="str">
        <f t="shared" si="230"/>
        <v>DELETE</v>
      </c>
      <c r="S2729" s="378"/>
      <c r="T2729" s="378"/>
      <c r="U2729" s="378"/>
      <c r="V2729" s="378"/>
      <c r="W2729" s="378"/>
      <c r="X2729" s="378"/>
      <c r="Y2729" s="381"/>
      <c r="Z2729" s="381"/>
      <c r="AA2729" s="404"/>
      <c r="AB2729" s="444"/>
      <c r="AC2729" s="444"/>
      <c r="AD2729" s="444"/>
      <c r="AE2729" s="444"/>
      <c r="AF2729" s="444"/>
      <c r="AG2729" s="444"/>
      <c r="AH2729" s="444"/>
      <c r="AI2729" s="444"/>
      <c r="AJ2729" s="444"/>
      <c r="AK2729" s="444"/>
      <c r="AL2729" s="473"/>
      <c r="AM2729" s="473"/>
      <c r="AN2729" s="473"/>
      <c r="AO2729" s="473"/>
      <c r="AP2729" s="473"/>
      <c r="AQ2729" s="473"/>
    </row>
    <row r="2730" spans="2:43" s="400" customFormat="1" ht="31.5" customHeight="1" x14ac:dyDescent="0.45">
      <c r="B2730" s="441"/>
      <c r="C2730" s="417"/>
      <c r="D2730" s="400" t="s">
        <v>259</v>
      </c>
      <c r="J2730" s="292"/>
      <c r="K2730" s="292"/>
      <c r="L2730" s="405"/>
      <c r="M2730" s="421"/>
      <c r="N2730" s="292"/>
      <c r="O2730" s="373">
        <f>TrialBalanceC!I116</f>
        <v>0</v>
      </c>
      <c r="P2730" s="295"/>
      <c r="Q2730" s="442"/>
      <c r="R2730" s="403" t="str">
        <f t="shared" si="230"/>
        <v>DELETE</v>
      </c>
      <c r="S2730" s="378"/>
      <c r="T2730" s="378"/>
      <c r="U2730" s="378"/>
      <c r="V2730" s="378"/>
      <c r="W2730" s="378"/>
      <c r="X2730" s="378"/>
      <c r="Y2730" s="381"/>
      <c r="Z2730" s="381"/>
      <c r="AA2730" s="404"/>
      <c r="AB2730" s="444"/>
      <c r="AC2730" s="444"/>
      <c r="AD2730" s="444"/>
      <c r="AE2730" s="444"/>
      <c r="AF2730" s="444"/>
      <c r="AG2730" s="444"/>
      <c r="AH2730" s="444"/>
      <c r="AI2730" s="444"/>
      <c r="AJ2730" s="444"/>
      <c r="AK2730" s="444"/>
      <c r="AL2730" s="473"/>
      <c r="AM2730" s="473"/>
      <c r="AN2730" s="473"/>
      <c r="AO2730" s="473"/>
      <c r="AP2730" s="473"/>
      <c r="AQ2730" s="473"/>
    </row>
    <row r="2731" spans="2:43" s="400" customFormat="1" ht="31.5" customHeight="1" x14ac:dyDescent="0.45">
      <c r="B2731" s="441"/>
      <c r="C2731" s="417"/>
      <c r="D2731" s="400" t="s">
        <v>369</v>
      </c>
      <c r="J2731" s="292"/>
      <c r="K2731" s="292"/>
      <c r="L2731" s="405"/>
      <c r="M2731" s="421"/>
      <c r="N2731" s="292"/>
      <c r="O2731" s="373">
        <f>TrialBalanceC!I117</f>
        <v>0</v>
      </c>
      <c r="P2731" s="295"/>
      <c r="Q2731" s="442"/>
      <c r="R2731" s="403" t="str">
        <f t="shared" si="230"/>
        <v>DELETE</v>
      </c>
      <c r="S2731" s="378"/>
      <c r="T2731" s="378"/>
      <c r="U2731" s="378"/>
      <c r="V2731" s="378"/>
      <c r="W2731" s="378"/>
      <c r="X2731" s="378"/>
      <c r="Y2731" s="381"/>
      <c r="Z2731" s="381"/>
      <c r="AA2731" s="404"/>
      <c r="AB2731" s="444"/>
      <c r="AC2731" s="444"/>
      <c r="AD2731" s="444"/>
      <c r="AE2731" s="444"/>
      <c r="AF2731" s="444"/>
      <c r="AG2731" s="444"/>
      <c r="AH2731" s="444"/>
      <c r="AI2731" s="444"/>
      <c r="AJ2731" s="444"/>
      <c r="AK2731" s="444"/>
      <c r="AL2731" s="473"/>
      <c r="AM2731" s="473"/>
      <c r="AN2731" s="473"/>
      <c r="AO2731" s="473"/>
      <c r="AP2731" s="473"/>
      <c r="AQ2731" s="473"/>
    </row>
    <row r="2732" spans="2:43" s="400" customFormat="1" ht="31.5" customHeight="1" x14ac:dyDescent="0.45">
      <c r="B2732" s="441"/>
      <c r="C2732" s="417"/>
      <c r="D2732" s="400" t="s">
        <v>330</v>
      </c>
      <c r="J2732" s="292"/>
      <c r="K2732" s="292"/>
      <c r="L2732" s="405"/>
      <c r="M2732" s="421"/>
      <c r="N2732" s="292"/>
      <c r="O2732" s="373">
        <f>TrialBalanceC!I118</f>
        <v>0</v>
      </c>
      <c r="P2732" s="295"/>
      <c r="Q2732" s="442"/>
      <c r="R2732" s="403" t="str">
        <f t="shared" si="230"/>
        <v>DELETE</v>
      </c>
      <c r="S2732" s="378"/>
      <c r="T2732" s="378"/>
      <c r="U2732" s="378"/>
      <c r="V2732" s="378"/>
      <c r="W2732" s="378"/>
      <c r="X2732" s="378"/>
      <c r="Y2732" s="381"/>
      <c r="Z2732" s="381"/>
      <c r="AA2732" s="404"/>
      <c r="AB2732" s="444"/>
      <c r="AC2732" s="444"/>
      <c r="AD2732" s="444"/>
      <c r="AE2732" s="444"/>
      <c r="AF2732" s="444"/>
      <c r="AG2732" s="444"/>
      <c r="AH2732" s="444"/>
      <c r="AI2732" s="444"/>
      <c r="AJ2732" s="444"/>
      <c r="AK2732" s="444"/>
      <c r="AL2732" s="473"/>
      <c r="AM2732" s="473"/>
      <c r="AN2732" s="473"/>
      <c r="AO2732" s="473"/>
      <c r="AP2732" s="473"/>
      <c r="AQ2732" s="473"/>
    </row>
    <row r="2733" spans="2:43" s="400" customFormat="1" ht="31.5" customHeight="1" x14ac:dyDescent="0.45">
      <c r="B2733" s="441"/>
      <c r="C2733" s="417"/>
      <c r="D2733" s="400" t="s">
        <v>371</v>
      </c>
      <c r="J2733" s="292"/>
      <c r="K2733" s="292"/>
      <c r="L2733" s="405"/>
      <c r="M2733" s="421"/>
      <c r="N2733" s="292"/>
      <c r="O2733" s="373">
        <f>TrialBalanceC!I119</f>
        <v>0</v>
      </c>
      <c r="P2733" s="295"/>
      <c r="Q2733" s="442"/>
      <c r="R2733" s="403" t="str">
        <f t="shared" si="230"/>
        <v>DELETE</v>
      </c>
      <c r="S2733" s="378"/>
      <c r="T2733" s="378"/>
      <c r="U2733" s="378"/>
      <c r="V2733" s="378"/>
      <c r="W2733" s="378"/>
      <c r="X2733" s="378"/>
      <c r="Y2733" s="381"/>
      <c r="Z2733" s="381"/>
      <c r="AA2733" s="404"/>
      <c r="AB2733" s="444"/>
      <c r="AC2733" s="444"/>
      <c r="AD2733" s="444"/>
      <c r="AE2733" s="444"/>
      <c r="AF2733" s="444"/>
      <c r="AG2733" s="444"/>
      <c r="AH2733" s="444"/>
      <c r="AI2733" s="444"/>
      <c r="AJ2733" s="444"/>
      <c r="AK2733" s="444"/>
      <c r="AL2733" s="473"/>
      <c r="AM2733" s="473"/>
      <c r="AN2733" s="473"/>
      <c r="AO2733" s="473"/>
      <c r="AP2733" s="473"/>
      <c r="AQ2733" s="473"/>
    </row>
    <row r="2734" spans="2:43" s="400" customFormat="1" ht="31.5" customHeight="1" x14ac:dyDescent="0.45">
      <c r="B2734" s="441"/>
      <c r="C2734" s="417"/>
      <c r="D2734" s="400" t="s">
        <v>1062</v>
      </c>
      <c r="J2734" s="292"/>
      <c r="K2734" s="292"/>
      <c r="L2734" s="405"/>
      <c r="M2734" s="421"/>
      <c r="N2734" s="292"/>
      <c r="O2734" s="373">
        <f>TrialBalanceC!I154</f>
        <v>0</v>
      </c>
      <c r="P2734" s="295"/>
      <c r="Q2734" s="442"/>
      <c r="R2734" s="403" t="str">
        <f>IF(R$2621="DELETE","DELETE",IF(O2734=0,"DELETE"," "))</f>
        <v>DELETE</v>
      </c>
      <c r="S2734" s="378"/>
      <c r="T2734" s="378"/>
      <c r="U2734" s="378"/>
      <c r="V2734" s="378"/>
      <c r="W2734" s="378"/>
      <c r="X2734" s="378"/>
      <c r="Y2734" s="381"/>
      <c r="Z2734" s="381"/>
      <c r="AA2734" s="404"/>
      <c r="AB2734" s="444"/>
      <c r="AC2734" s="444"/>
      <c r="AD2734" s="444"/>
      <c r="AE2734" s="444"/>
      <c r="AF2734" s="444"/>
      <c r="AG2734" s="444"/>
      <c r="AH2734" s="444"/>
      <c r="AI2734" s="444"/>
      <c r="AJ2734" s="444"/>
      <c r="AK2734" s="444"/>
      <c r="AL2734" s="473"/>
      <c r="AM2734" s="473"/>
      <c r="AN2734" s="473"/>
      <c r="AO2734" s="473"/>
      <c r="AP2734" s="473"/>
      <c r="AQ2734" s="473"/>
    </row>
    <row r="2735" spans="2:43" s="400" customFormat="1" ht="31.5" customHeight="1" x14ac:dyDescent="0.45">
      <c r="B2735" s="441"/>
      <c r="C2735" s="417"/>
      <c r="D2735" s="400" t="s">
        <v>524</v>
      </c>
      <c r="J2735" s="292"/>
      <c r="K2735" s="292"/>
      <c r="L2735" s="405"/>
      <c r="M2735" s="421"/>
      <c r="N2735" s="292"/>
      <c r="O2735" s="373">
        <f>TrialBalanceC!I120+TrialBalanceC!I121</f>
        <v>0</v>
      </c>
      <c r="P2735" s="295"/>
      <c r="Q2735" s="442"/>
      <c r="R2735" s="403" t="str">
        <f t="shared" si="230"/>
        <v>DELETE</v>
      </c>
      <c r="S2735" s="378"/>
      <c r="T2735" s="378"/>
      <c r="U2735" s="378"/>
      <c r="V2735" s="378"/>
      <c r="W2735" s="378"/>
      <c r="X2735" s="378"/>
      <c r="Y2735" s="381"/>
      <c r="Z2735" s="381"/>
      <c r="AA2735" s="404"/>
      <c r="AB2735" s="444"/>
      <c r="AC2735" s="444"/>
      <c r="AD2735" s="444"/>
      <c r="AE2735" s="444"/>
      <c r="AF2735" s="444"/>
      <c r="AG2735" s="444"/>
      <c r="AH2735" s="444"/>
      <c r="AI2735" s="444"/>
      <c r="AJ2735" s="444"/>
      <c r="AK2735" s="444"/>
      <c r="AL2735" s="473"/>
      <c r="AM2735" s="473"/>
      <c r="AN2735" s="473"/>
      <c r="AO2735" s="473"/>
      <c r="AP2735" s="473"/>
      <c r="AQ2735" s="473"/>
    </row>
    <row r="2736" spans="2:43" s="400" customFormat="1" ht="31.5" customHeight="1" x14ac:dyDescent="0.45">
      <c r="B2736" s="441"/>
      <c r="C2736" s="417"/>
      <c r="D2736" s="400" t="s">
        <v>547</v>
      </c>
      <c r="J2736" s="292"/>
      <c r="K2736" s="292"/>
      <c r="L2736" s="405"/>
      <c r="M2736" s="421"/>
      <c r="N2736" s="292"/>
      <c r="O2736" s="373">
        <f>IF(TrialBalanceC!I93&gt;0,TrialBalanceC!I93,0)</f>
        <v>0</v>
      </c>
      <c r="P2736" s="295"/>
      <c r="Q2736" s="442"/>
      <c r="R2736" s="403" t="str">
        <f>IF(R$2621="DELETE","DELETE",IF(O2736=0,"DELETE"," "))</f>
        <v>DELETE</v>
      </c>
      <c r="S2736" s="378"/>
      <c r="T2736" s="378"/>
      <c r="U2736" s="378"/>
      <c r="V2736" s="378"/>
      <c r="W2736" s="378"/>
      <c r="X2736" s="378"/>
      <c r="Y2736" s="381"/>
      <c r="Z2736" s="381"/>
      <c r="AA2736" s="404"/>
      <c r="AB2736" s="444"/>
      <c r="AC2736" s="444"/>
      <c r="AD2736" s="444"/>
      <c r="AE2736" s="444"/>
      <c r="AF2736" s="444"/>
      <c r="AG2736" s="444"/>
      <c r="AH2736" s="444"/>
      <c r="AI2736" s="444"/>
      <c r="AJ2736" s="444"/>
      <c r="AK2736" s="444"/>
      <c r="AL2736" s="473"/>
      <c r="AM2736" s="473"/>
      <c r="AN2736" s="473"/>
      <c r="AO2736" s="473"/>
      <c r="AP2736" s="473"/>
      <c r="AQ2736" s="473"/>
    </row>
    <row r="2737" spans="2:43" s="400" customFormat="1" ht="31.5" customHeight="1" x14ac:dyDescent="0.45">
      <c r="B2737" s="441"/>
      <c r="C2737" s="417"/>
      <c r="D2737" s="400" t="s">
        <v>728</v>
      </c>
      <c r="J2737" s="292"/>
      <c r="K2737" s="292"/>
      <c r="L2737" s="405"/>
      <c r="M2737" s="421"/>
      <c r="N2737" s="292"/>
      <c r="O2737" s="373">
        <f>TrialBalanceC!I122</f>
        <v>0</v>
      </c>
      <c r="P2737" s="295"/>
      <c r="Q2737" s="442"/>
      <c r="R2737" s="403" t="str">
        <f t="shared" si="230"/>
        <v>DELETE</v>
      </c>
      <c r="S2737" s="378"/>
      <c r="T2737" s="378"/>
      <c r="U2737" s="378"/>
      <c r="V2737" s="378"/>
      <c r="W2737" s="378"/>
      <c r="X2737" s="378"/>
      <c r="Y2737" s="381"/>
      <c r="Z2737" s="381"/>
      <c r="AA2737" s="404"/>
      <c r="AB2737" s="444"/>
      <c r="AC2737" s="444"/>
      <c r="AD2737" s="444"/>
      <c r="AE2737" s="444"/>
      <c r="AF2737" s="444"/>
      <c r="AG2737" s="444"/>
      <c r="AH2737" s="444"/>
      <c r="AI2737" s="444"/>
      <c r="AJ2737" s="444"/>
      <c r="AK2737" s="444"/>
      <c r="AL2737" s="473"/>
      <c r="AM2737" s="473"/>
      <c r="AN2737" s="473"/>
      <c r="AO2737" s="473"/>
      <c r="AP2737" s="473"/>
      <c r="AQ2737" s="473"/>
    </row>
    <row r="2738" spans="2:43" s="400" customFormat="1" ht="31.5" customHeight="1" x14ac:dyDescent="0.45">
      <c r="B2738" s="441"/>
      <c r="C2738" s="417"/>
      <c r="D2738" s="400" t="s">
        <v>260</v>
      </c>
      <c r="J2738" s="292"/>
      <c r="K2738" s="292"/>
      <c r="L2738" s="405"/>
      <c r="M2738" s="421"/>
      <c r="N2738" s="292"/>
      <c r="O2738" s="373">
        <f>TrialBalanceC!I123</f>
        <v>0</v>
      </c>
      <c r="P2738" s="295"/>
      <c r="Q2738" s="442"/>
      <c r="R2738" s="403" t="str">
        <f t="shared" si="230"/>
        <v>DELETE</v>
      </c>
      <c r="S2738" s="378"/>
      <c r="T2738" s="378"/>
      <c r="U2738" s="378"/>
      <c r="V2738" s="378"/>
      <c r="W2738" s="378"/>
      <c r="X2738" s="378"/>
      <c r="Y2738" s="381"/>
      <c r="Z2738" s="381"/>
      <c r="AA2738" s="404"/>
      <c r="AB2738" s="444"/>
      <c r="AC2738" s="444"/>
      <c r="AD2738" s="444"/>
      <c r="AE2738" s="444"/>
      <c r="AF2738" s="444"/>
      <c r="AG2738" s="444"/>
      <c r="AH2738" s="444"/>
      <c r="AI2738" s="444"/>
      <c r="AJ2738" s="444"/>
      <c r="AK2738" s="444"/>
      <c r="AL2738" s="473"/>
      <c r="AM2738" s="473"/>
      <c r="AN2738" s="473"/>
      <c r="AO2738" s="473"/>
      <c r="AP2738" s="473"/>
      <c r="AQ2738" s="473"/>
    </row>
    <row r="2739" spans="2:43" s="400" customFormat="1" ht="31.5" customHeight="1" x14ac:dyDescent="0.45">
      <c r="B2739" s="441"/>
      <c r="C2739" s="417"/>
      <c r="D2739" s="400" t="s">
        <v>1081</v>
      </c>
      <c r="J2739" s="292"/>
      <c r="K2739" s="292"/>
      <c r="L2739" s="405"/>
      <c r="M2739" s="421"/>
      <c r="N2739" s="292"/>
      <c r="O2739" s="373">
        <f>TrialBalanceC!I155</f>
        <v>0</v>
      </c>
      <c r="P2739" s="295"/>
      <c r="Q2739" s="442"/>
      <c r="R2739" s="403" t="str">
        <f t="shared" si="230"/>
        <v>DELETE</v>
      </c>
      <c r="S2739" s="378"/>
      <c r="T2739" s="378"/>
      <c r="U2739" s="378"/>
      <c r="V2739" s="378"/>
      <c r="W2739" s="378"/>
      <c r="X2739" s="378"/>
      <c r="Y2739" s="381"/>
      <c r="Z2739" s="381"/>
      <c r="AA2739" s="404"/>
      <c r="AB2739" s="444"/>
      <c r="AC2739" s="444"/>
      <c r="AD2739" s="444"/>
      <c r="AE2739" s="444"/>
      <c r="AF2739" s="444"/>
      <c r="AG2739" s="444"/>
      <c r="AH2739" s="444"/>
      <c r="AI2739" s="444"/>
      <c r="AJ2739" s="444"/>
      <c r="AK2739" s="444"/>
      <c r="AL2739" s="473"/>
      <c r="AM2739" s="473"/>
      <c r="AN2739" s="473"/>
      <c r="AO2739" s="473"/>
      <c r="AP2739" s="473"/>
      <c r="AQ2739" s="473"/>
    </row>
    <row r="2740" spans="2:43" s="400" customFormat="1" ht="31.5" customHeight="1" x14ac:dyDescent="0.45">
      <c r="B2740" s="441"/>
      <c r="C2740" s="417"/>
      <c r="D2740" s="400" t="s">
        <v>253</v>
      </c>
      <c r="J2740" s="292"/>
      <c r="K2740" s="292"/>
      <c r="L2740" s="405"/>
      <c r="M2740" s="421"/>
      <c r="N2740" s="292"/>
      <c r="O2740" s="373">
        <f>SUM(TrialBalanceC!I124:I125)</f>
        <v>0</v>
      </c>
      <c r="P2740" s="295"/>
      <c r="Q2740" s="442"/>
      <c r="R2740" s="403" t="str">
        <f t="shared" si="230"/>
        <v>DELETE</v>
      </c>
      <c r="S2740" s="378"/>
      <c r="T2740" s="378"/>
      <c r="U2740" s="378"/>
      <c r="V2740" s="378"/>
      <c r="W2740" s="378"/>
      <c r="X2740" s="378"/>
      <c r="Y2740" s="381"/>
      <c r="Z2740" s="381"/>
      <c r="AA2740" s="404"/>
      <c r="AB2740" s="444"/>
      <c r="AC2740" s="444"/>
      <c r="AD2740" s="444"/>
      <c r="AE2740" s="444"/>
      <c r="AF2740" s="444"/>
      <c r="AG2740" s="444"/>
      <c r="AH2740" s="444"/>
      <c r="AI2740" s="444"/>
      <c r="AJ2740" s="444"/>
      <c r="AK2740" s="444"/>
      <c r="AL2740" s="473"/>
      <c r="AM2740" s="473"/>
      <c r="AN2740" s="473"/>
      <c r="AO2740" s="473"/>
      <c r="AP2740" s="473"/>
      <c r="AQ2740" s="473"/>
    </row>
    <row r="2741" spans="2:43" s="400" customFormat="1" ht="31.5" customHeight="1" x14ac:dyDescent="0.45">
      <c r="B2741" s="441"/>
      <c r="C2741" s="417"/>
      <c r="D2741" s="400" t="s">
        <v>261</v>
      </c>
      <c r="J2741" s="292"/>
      <c r="K2741" s="292"/>
      <c r="L2741" s="405"/>
      <c r="M2741" s="421"/>
      <c r="N2741" s="292"/>
      <c r="O2741" s="373">
        <f>TrialBalanceC!I126</f>
        <v>0</v>
      </c>
      <c r="P2741" s="295"/>
      <c r="Q2741" s="442"/>
      <c r="R2741" s="403" t="str">
        <f t="shared" si="230"/>
        <v>DELETE</v>
      </c>
      <c r="S2741" s="378"/>
      <c r="T2741" s="378"/>
      <c r="U2741" s="378"/>
      <c r="V2741" s="378"/>
      <c r="W2741" s="378"/>
      <c r="X2741" s="378"/>
      <c r="Y2741" s="381"/>
      <c r="Z2741" s="381"/>
      <c r="AA2741" s="404"/>
      <c r="AB2741" s="444"/>
      <c r="AC2741" s="444"/>
      <c r="AD2741" s="444"/>
      <c r="AE2741" s="444"/>
      <c r="AF2741" s="444"/>
      <c r="AG2741" s="444"/>
      <c r="AH2741" s="444"/>
      <c r="AI2741" s="444"/>
      <c r="AJ2741" s="444"/>
      <c r="AK2741" s="444"/>
      <c r="AL2741" s="473"/>
      <c r="AM2741" s="473"/>
      <c r="AN2741" s="473"/>
      <c r="AO2741" s="473"/>
      <c r="AP2741" s="473"/>
      <c r="AQ2741" s="473"/>
    </row>
    <row r="2742" spans="2:43" s="400" customFormat="1" ht="31.5" customHeight="1" x14ac:dyDescent="0.45">
      <c r="B2742" s="441"/>
      <c r="C2742" s="417"/>
      <c r="D2742" s="400" t="s">
        <v>729</v>
      </c>
      <c r="J2742" s="292"/>
      <c r="K2742" s="292"/>
      <c r="L2742" s="405"/>
      <c r="M2742" s="421"/>
      <c r="N2742" s="292"/>
      <c r="O2742" s="373">
        <f>TrialBalanceC!I127</f>
        <v>0</v>
      </c>
      <c r="P2742" s="295"/>
      <c r="Q2742" s="442"/>
      <c r="R2742" s="403" t="str">
        <f t="shared" si="230"/>
        <v>DELETE</v>
      </c>
      <c r="S2742" s="378"/>
      <c r="T2742" s="378"/>
      <c r="U2742" s="378"/>
      <c r="V2742" s="378"/>
      <c r="W2742" s="378"/>
      <c r="X2742" s="378"/>
      <c r="Y2742" s="381"/>
      <c r="Z2742" s="381"/>
      <c r="AA2742" s="404"/>
      <c r="AB2742" s="444"/>
      <c r="AC2742" s="444"/>
      <c r="AD2742" s="444"/>
      <c r="AE2742" s="444"/>
      <c r="AF2742" s="444"/>
      <c r="AG2742" s="444"/>
      <c r="AH2742" s="444"/>
      <c r="AI2742" s="444"/>
      <c r="AJ2742" s="444"/>
      <c r="AK2742" s="444"/>
      <c r="AL2742" s="473"/>
      <c r="AM2742" s="473"/>
      <c r="AN2742" s="473"/>
      <c r="AO2742" s="473"/>
      <c r="AP2742" s="473"/>
      <c r="AQ2742" s="473"/>
    </row>
    <row r="2743" spans="2:43" s="400" customFormat="1" ht="31.5" customHeight="1" x14ac:dyDescent="0.45">
      <c r="B2743" s="441"/>
      <c r="C2743" s="417"/>
      <c r="D2743" s="400" t="s">
        <v>79</v>
      </c>
      <c r="J2743" s="292"/>
      <c r="K2743" s="292"/>
      <c r="L2743" s="405"/>
      <c r="M2743" s="421"/>
      <c r="N2743" s="292"/>
      <c r="O2743" s="373">
        <f>TrialBalanceC!I128</f>
        <v>0</v>
      </c>
      <c r="P2743" s="295"/>
      <c r="Q2743" s="442"/>
      <c r="R2743" s="403" t="str">
        <f t="shared" si="230"/>
        <v>DELETE</v>
      </c>
      <c r="S2743" s="378"/>
      <c r="T2743" s="378"/>
      <c r="U2743" s="378"/>
      <c r="V2743" s="378"/>
      <c r="W2743" s="378"/>
      <c r="X2743" s="378"/>
      <c r="Y2743" s="381"/>
      <c r="Z2743" s="381"/>
      <c r="AA2743" s="404"/>
      <c r="AB2743" s="444"/>
      <c r="AC2743" s="444"/>
      <c r="AD2743" s="444"/>
      <c r="AE2743" s="444"/>
      <c r="AF2743" s="444"/>
      <c r="AG2743" s="444"/>
      <c r="AH2743" s="444"/>
      <c r="AI2743" s="444"/>
      <c r="AJ2743" s="444"/>
      <c r="AK2743" s="444"/>
      <c r="AL2743" s="473"/>
      <c r="AM2743" s="473"/>
      <c r="AN2743" s="473"/>
      <c r="AO2743" s="473"/>
      <c r="AP2743" s="473"/>
      <c r="AQ2743" s="473"/>
    </row>
    <row r="2744" spans="2:43" s="400" customFormat="1" ht="31.5" customHeight="1" x14ac:dyDescent="0.45">
      <c r="B2744" s="441"/>
      <c r="C2744" s="417"/>
      <c r="D2744" s="400">
        <f>TrialBalanceC!C129</f>
        <v>0</v>
      </c>
      <c r="J2744" s="292"/>
      <c r="K2744" s="292"/>
      <c r="L2744" s="405"/>
      <c r="M2744" s="421"/>
      <c r="N2744" s="292"/>
      <c r="O2744" s="373">
        <f>TrialBalanceC!I129</f>
        <v>0</v>
      </c>
      <c r="P2744" s="295"/>
      <c r="Q2744" s="442"/>
      <c r="R2744" s="403" t="str">
        <f t="shared" si="230"/>
        <v>DELETE</v>
      </c>
      <c r="S2744" s="378"/>
      <c r="T2744" s="378"/>
      <c r="U2744" s="378"/>
      <c r="V2744" s="378"/>
      <c r="W2744" s="378"/>
      <c r="X2744" s="378"/>
      <c r="Y2744" s="381"/>
      <c r="Z2744" s="381"/>
      <c r="AA2744" s="404"/>
      <c r="AB2744" s="444"/>
      <c r="AC2744" s="444"/>
      <c r="AD2744" s="444"/>
      <c r="AE2744" s="444"/>
      <c r="AF2744" s="444"/>
      <c r="AG2744" s="444"/>
      <c r="AH2744" s="444"/>
      <c r="AI2744" s="444"/>
      <c r="AJ2744" s="444"/>
      <c r="AK2744" s="444"/>
      <c r="AL2744" s="473"/>
      <c r="AM2744" s="473"/>
      <c r="AN2744" s="473"/>
      <c r="AO2744" s="473"/>
      <c r="AP2744" s="473"/>
      <c r="AQ2744" s="473"/>
    </row>
    <row r="2745" spans="2:43" s="400" customFormat="1" ht="31.5" customHeight="1" x14ac:dyDescent="0.45">
      <c r="B2745" s="441"/>
      <c r="C2745" s="417"/>
      <c r="D2745" s="400">
        <f>TrialBalanceC!C130</f>
        <v>0</v>
      </c>
      <c r="J2745" s="292"/>
      <c r="K2745" s="292"/>
      <c r="L2745" s="405"/>
      <c r="M2745" s="421"/>
      <c r="N2745" s="292"/>
      <c r="O2745" s="373">
        <f>TrialBalanceC!I130</f>
        <v>0</v>
      </c>
      <c r="P2745" s="295"/>
      <c r="Q2745" s="442"/>
      <c r="R2745" s="403" t="str">
        <f t="shared" si="230"/>
        <v>DELETE</v>
      </c>
      <c r="S2745" s="378"/>
      <c r="T2745" s="378"/>
      <c r="U2745" s="378"/>
      <c r="V2745" s="378"/>
      <c r="W2745" s="378"/>
      <c r="X2745" s="378"/>
      <c r="Y2745" s="381"/>
      <c r="Z2745" s="381"/>
      <c r="AA2745" s="404"/>
      <c r="AB2745" s="444"/>
      <c r="AC2745" s="444"/>
      <c r="AD2745" s="444"/>
      <c r="AE2745" s="444"/>
      <c r="AF2745" s="444"/>
      <c r="AG2745" s="444"/>
      <c r="AH2745" s="444"/>
      <c r="AI2745" s="444"/>
      <c r="AJ2745" s="444"/>
      <c r="AK2745" s="444"/>
      <c r="AL2745" s="473"/>
      <c r="AM2745" s="473"/>
      <c r="AN2745" s="473"/>
      <c r="AO2745" s="473"/>
      <c r="AP2745" s="473"/>
      <c r="AQ2745" s="473"/>
    </row>
    <row r="2746" spans="2:43" s="400" customFormat="1" ht="31.5" customHeight="1" x14ac:dyDescent="0.45">
      <c r="B2746" s="441"/>
      <c r="C2746" s="417"/>
      <c r="D2746" s="400">
        <f>TrialBalanceC!C131</f>
        <v>0</v>
      </c>
      <c r="J2746" s="292"/>
      <c r="K2746" s="292"/>
      <c r="L2746" s="405"/>
      <c r="M2746" s="421"/>
      <c r="N2746" s="292"/>
      <c r="O2746" s="373">
        <f>TrialBalanceC!I131</f>
        <v>0</v>
      </c>
      <c r="P2746" s="295"/>
      <c r="Q2746" s="442"/>
      <c r="R2746" s="403" t="str">
        <f t="shared" si="230"/>
        <v>DELETE</v>
      </c>
      <c r="S2746" s="378"/>
      <c r="T2746" s="378"/>
      <c r="U2746" s="378"/>
      <c r="V2746" s="378"/>
      <c r="W2746" s="378"/>
      <c r="X2746" s="378"/>
      <c r="Y2746" s="381"/>
      <c r="Z2746" s="381"/>
      <c r="AA2746" s="404"/>
      <c r="AB2746" s="444"/>
      <c r="AC2746" s="444"/>
      <c r="AD2746" s="444"/>
      <c r="AE2746" s="444"/>
      <c r="AF2746" s="444"/>
      <c r="AG2746" s="444"/>
      <c r="AH2746" s="444"/>
      <c r="AI2746" s="444"/>
      <c r="AJ2746" s="444"/>
      <c r="AK2746" s="444"/>
      <c r="AL2746" s="473"/>
      <c r="AM2746" s="473"/>
      <c r="AN2746" s="473"/>
      <c r="AO2746" s="473"/>
      <c r="AP2746" s="473"/>
      <c r="AQ2746" s="473"/>
    </row>
    <row r="2747" spans="2:43" s="400" customFormat="1" ht="31.5" customHeight="1" x14ac:dyDescent="0.45">
      <c r="B2747" s="441"/>
      <c r="C2747" s="417"/>
      <c r="D2747" s="400">
        <f>TrialBalanceC!C132</f>
        <v>0</v>
      </c>
      <c r="J2747" s="292"/>
      <c r="K2747" s="292"/>
      <c r="L2747" s="405"/>
      <c r="M2747" s="421"/>
      <c r="N2747" s="292"/>
      <c r="O2747" s="373">
        <f>TrialBalanceC!I132</f>
        <v>0</v>
      </c>
      <c r="P2747" s="295"/>
      <c r="Q2747" s="442"/>
      <c r="R2747" s="403" t="str">
        <f t="shared" si="230"/>
        <v>DELETE</v>
      </c>
      <c r="S2747" s="378"/>
      <c r="T2747" s="378"/>
      <c r="U2747" s="378"/>
      <c r="V2747" s="378"/>
      <c r="W2747" s="378"/>
      <c r="X2747" s="378"/>
      <c r="Y2747" s="381"/>
      <c r="Z2747" s="381"/>
      <c r="AA2747" s="404"/>
      <c r="AB2747" s="444"/>
      <c r="AC2747" s="444"/>
      <c r="AD2747" s="444"/>
      <c r="AE2747" s="444"/>
      <c r="AF2747" s="444"/>
      <c r="AG2747" s="444"/>
      <c r="AH2747" s="444"/>
      <c r="AI2747" s="444"/>
      <c r="AJ2747" s="444"/>
      <c r="AK2747" s="444"/>
      <c r="AL2747" s="473"/>
      <c r="AM2747" s="473"/>
      <c r="AN2747" s="473"/>
      <c r="AO2747" s="473"/>
      <c r="AP2747" s="473"/>
      <c r="AQ2747" s="473"/>
    </row>
    <row r="2748" spans="2:43" s="400" customFormat="1" ht="31.5" customHeight="1" x14ac:dyDescent="0.45">
      <c r="B2748" s="441"/>
      <c r="C2748" s="417"/>
      <c r="D2748" s="400">
        <f>TrialBalanceC!C133</f>
        <v>0</v>
      </c>
      <c r="J2748" s="292"/>
      <c r="K2748" s="292"/>
      <c r="L2748" s="405"/>
      <c r="M2748" s="421"/>
      <c r="N2748" s="292"/>
      <c r="O2748" s="373">
        <f>TrialBalanceC!I133</f>
        <v>0</v>
      </c>
      <c r="P2748" s="295"/>
      <c r="Q2748" s="442"/>
      <c r="R2748" s="403" t="str">
        <f t="shared" si="230"/>
        <v>DELETE</v>
      </c>
      <c r="S2748" s="378"/>
      <c r="T2748" s="378"/>
      <c r="U2748" s="378"/>
      <c r="V2748" s="378"/>
      <c r="W2748" s="378"/>
      <c r="X2748" s="378"/>
      <c r="Y2748" s="381"/>
      <c r="Z2748" s="381"/>
      <c r="AA2748" s="404"/>
      <c r="AB2748" s="444"/>
      <c r="AC2748" s="444"/>
      <c r="AD2748" s="444"/>
      <c r="AE2748" s="444"/>
      <c r="AF2748" s="444"/>
      <c r="AG2748" s="444"/>
      <c r="AH2748" s="444"/>
      <c r="AI2748" s="444"/>
      <c r="AJ2748" s="444"/>
      <c r="AK2748" s="444"/>
      <c r="AL2748" s="473"/>
      <c r="AM2748" s="473"/>
      <c r="AN2748" s="473"/>
      <c r="AO2748" s="473"/>
      <c r="AP2748" s="473"/>
      <c r="AQ2748" s="473"/>
    </row>
    <row r="2749" spans="2:43" s="400" customFormat="1" ht="31.5" customHeight="1" x14ac:dyDescent="0.45">
      <c r="B2749" s="441"/>
      <c r="C2749" s="417"/>
      <c r="D2749" s="400">
        <f>TrialBalanceC!C134</f>
        <v>0</v>
      </c>
      <c r="J2749" s="292"/>
      <c r="K2749" s="292"/>
      <c r="L2749" s="405"/>
      <c r="M2749" s="421"/>
      <c r="N2749" s="292"/>
      <c r="O2749" s="373">
        <f>TrialBalanceC!I134</f>
        <v>0</v>
      </c>
      <c r="P2749" s="295"/>
      <c r="Q2749" s="442"/>
      <c r="R2749" s="403" t="str">
        <f t="shared" si="230"/>
        <v>DELETE</v>
      </c>
      <c r="S2749" s="378"/>
      <c r="T2749" s="378"/>
      <c r="U2749" s="378"/>
      <c r="V2749" s="378"/>
      <c r="W2749" s="378"/>
      <c r="X2749" s="378"/>
      <c r="Y2749" s="381"/>
      <c r="Z2749" s="381"/>
      <c r="AA2749" s="404"/>
      <c r="AB2749" s="444"/>
      <c r="AC2749" s="444"/>
      <c r="AD2749" s="444"/>
      <c r="AE2749" s="444"/>
      <c r="AF2749" s="444"/>
      <c r="AG2749" s="444"/>
      <c r="AH2749" s="444"/>
      <c r="AI2749" s="444"/>
      <c r="AJ2749" s="444"/>
      <c r="AK2749" s="444"/>
      <c r="AL2749" s="473"/>
      <c r="AM2749" s="473"/>
      <c r="AN2749" s="473"/>
      <c r="AO2749" s="473"/>
      <c r="AP2749" s="473"/>
      <c r="AQ2749" s="473"/>
    </row>
    <row r="2750" spans="2:43" s="400" customFormat="1" ht="31.5" customHeight="1" x14ac:dyDescent="0.45">
      <c r="B2750" s="441"/>
      <c r="C2750" s="417"/>
      <c r="D2750" s="400">
        <f>TrialBalanceC!C135</f>
        <v>0</v>
      </c>
      <c r="J2750" s="292"/>
      <c r="K2750" s="292"/>
      <c r="L2750" s="405"/>
      <c r="M2750" s="421"/>
      <c r="N2750" s="292"/>
      <c r="O2750" s="373">
        <f>TrialBalanceC!I135</f>
        <v>0</v>
      </c>
      <c r="P2750" s="295"/>
      <c r="Q2750" s="442"/>
      <c r="R2750" s="403" t="str">
        <f t="shared" si="230"/>
        <v>DELETE</v>
      </c>
      <c r="S2750" s="378"/>
      <c r="T2750" s="378"/>
      <c r="U2750" s="378"/>
      <c r="V2750" s="378"/>
      <c r="W2750" s="378"/>
      <c r="X2750" s="378"/>
      <c r="Y2750" s="381"/>
      <c r="Z2750" s="381"/>
      <c r="AA2750" s="404"/>
      <c r="AB2750" s="444"/>
      <c r="AC2750" s="444"/>
      <c r="AD2750" s="444"/>
      <c r="AE2750" s="444"/>
      <c r="AF2750" s="444"/>
      <c r="AG2750" s="444"/>
      <c r="AH2750" s="444"/>
      <c r="AI2750" s="444"/>
      <c r="AJ2750" s="444"/>
      <c r="AK2750" s="444"/>
      <c r="AL2750" s="473"/>
      <c r="AM2750" s="473"/>
      <c r="AN2750" s="473"/>
      <c r="AO2750" s="473"/>
      <c r="AP2750" s="473"/>
      <c r="AQ2750" s="473"/>
    </row>
    <row r="2751" spans="2:43" s="400" customFormat="1" ht="31.5" customHeight="1" x14ac:dyDescent="0.45">
      <c r="B2751" s="441"/>
      <c r="C2751" s="417"/>
      <c r="D2751" s="400">
        <f>TrialBalanceC!C136</f>
        <v>0</v>
      </c>
      <c r="J2751" s="292"/>
      <c r="K2751" s="292"/>
      <c r="L2751" s="405"/>
      <c r="M2751" s="421"/>
      <c r="N2751" s="292"/>
      <c r="O2751" s="373">
        <f>TrialBalanceC!I136</f>
        <v>0</v>
      </c>
      <c r="P2751" s="295"/>
      <c r="Q2751" s="442"/>
      <c r="R2751" s="403" t="str">
        <f t="shared" si="230"/>
        <v>DELETE</v>
      </c>
      <c r="S2751" s="378"/>
      <c r="T2751" s="378"/>
      <c r="U2751" s="378"/>
      <c r="V2751" s="378"/>
      <c r="W2751" s="378"/>
      <c r="X2751" s="378"/>
      <c r="Y2751" s="381"/>
      <c r="Z2751" s="381"/>
      <c r="AA2751" s="404"/>
      <c r="AB2751" s="444"/>
      <c r="AC2751" s="444"/>
      <c r="AD2751" s="444"/>
      <c r="AE2751" s="444"/>
      <c r="AF2751" s="444"/>
      <c r="AG2751" s="444"/>
      <c r="AH2751" s="444"/>
      <c r="AI2751" s="444"/>
      <c r="AJ2751" s="444"/>
      <c r="AK2751" s="444"/>
      <c r="AL2751" s="473"/>
      <c r="AM2751" s="473"/>
      <c r="AN2751" s="473"/>
      <c r="AO2751" s="473"/>
      <c r="AP2751" s="473"/>
      <c r="AQ2751" s="473"/>
    </row>
    <row r="2752" spans="2:43" s="400" customFormat="1" ht="31.5" customHeight="1" x14ac:dyDescent="0.45">
      <c r="B2752" s="441"/>
      <c r="C2752" s="417"/>
      <c r="D2752" s="400">
        <f>TrialBalanceC!C137</f>
        <v>0</v>
      </c>
      <c r="J2752" s="292"/>
      <c r="K2752" s="292"/>
      <c r="L2752" s="405"/>
      <c r="M2752" s="421"/>
      <c r="N2752" s="292"/>
      <c r="O2752" s="373">
        <f>TrialBalanceC!I137</f>
        <v>0</v>
      </c>
      <c r="P2752" s="295"/>
      <c r="Q2752" s="442"/>
      <c r="R2752" s="403" t="str">
        <f t="shared" si="230"/>
        <v>DELETE</v>
      </c>
      <c r="S2752" s="378"/>
      <c r="T2752" s="378"/>
      <c r="U2752" s="378"/>
      <c r="V2752" s="378"/>
      <c r="W2752" s="378"/>
      <c r="X2752" s="378"/>
      <c r="Y2752" s="381"/>
      <c r="Z2752" s="381"/>
      <c r="AA2752" s="404"/>
      <c r="AB2752" s="444"/>
      <c r="AC2752" s="444"/>
      <c r="AD2752" s="444"/>
      <c r="AE2752" s="444"/>
      <c r="AF2752" s="444"/>
      <c r="AG2752" s="444"/>
      <c r="AH2752" s="444"/>
      <c r="AI2752" s="444"/>
      <c r="AJ2752" s="444"/>
      <c r="AK2752" s="444"/>
      <c r="AL2752" s="473"/>
      <c r="AM2752" s="473"/>
      <c r="AN2752" s="473"/>
      <c r="AO2752" s="473"/>
      <c r="AP2752" s="473"/>
      <c r="AQ2752" s="473"/>
    </row>
    <row r="2753" spans="2:43" s="400" customFormat="1" ht="31.5" customHeight="1" x14ac:dyDescent="0.45">
      <c r="B2753" s="441"/>
      <c r="C2753" s="417"/>
      <c r="D2753" s="400" t="str">
        <f>TrialBalanceC!C138</f>
        <v>Amortisation of prepaid lease agreement</v>
      </c>
      <c r="J2753" s="292"/>
      <c r="K2753" s="292"/>
      <c r="L2753" s="405"/>
      <c r="M2753" s="421"/>
      <c r="N2753" s="292"/>
      <c r="O2753" s="373">
        <f>TrialBalanceC!I138</f>
        <v>0</v>
      </c>
      <c r="P2753" s="295"/>
      <c r="Q2753" s="442"/>
      <c r="R2753" s="403" t="str">
        <f t="shared" si="230"/>
        <v>DELETE</v>
      </c>
      <c r="S2753" s="378"/>
      <c r="T2753" s="378"/>
      <c r="U2753" s="378"/>
      <c r="V2753" s="378"/>
      <c r="W2753" s="378"/>
      <c r="X2753" s="378"/>
      <c r="Y2753" s="381"/>
      <c r="Z2753" s="381"/>
      <c r="AA2753" s="404"/>
      <c r="AB2753" s="444"/>
      <c r="AC2753" s="444"/>
      <c r="AD2753" s="444"/>
      <c r="AE2753" s="444"/>
      <c r="AF2753" s="444"/>
      <c r="AG2753" s="444"/>
      <c r="AH2753" s="444"/>
      <c r="AI2753" s="444"/>
      <c r="AJ2753" s="444"/>
      <c r="AK2753" s="444"/>
      <c r="AL2753" s="473"/>
      <c r="AM2753" s="473"/>
      <c r="AN2753" s="473"/>
      <c r="AO2753" s="473"/>
      <c r="AP2753" s="473"/>
      <c r="AQ2753" s="473"/>
    </row>
    <row r="2754" spans="2:43" s="400" customFormat="1" ht="31.5" customHeight="1" x14ac:dyDescent="0.45">
      <c r="B2754" s="441"/>
      <c r="C2754" s="417"/>
      <c r="D2754" s="400" t="str">
        <f>TrialBalanceC!C139</f>
        <v>Amortisation of goodwill</v>
      </c>
      <c r="J2754" s="292"/>
      <c r="K2754" s="292"/>
      <c r="L2754" s="405"/>
      <c r="M2754" s="421"/>
      <c r="N2754" s="292"/>
      <c r="O2754" s="373">
        <f>TrialBalanceC!I139</f>
        <v>0</v>
      </c>
      <c r="P2754" s="295"/>
      <c r="Q2754" s="442"/>
      <c r="R2754" s="403" t="str">
        <f t="shared" ref="R2754" si="231">IF(R$2621="DELETE","DELETE",IF(O2754=0,"DELETE"," "))</f>
        <v>DELETE</v>
      </c>
      <c r="S2754" s="378"/>
      <c r="T2754" s="378"/>
      <c r="U2754" s="378"/>
      <c r="V2754" s="378"/>
      <c r="W2754" s="378"/>
      <c r="X2754" s="378"/>
      <c r="Y2754" s="381"/>
      <c r="Z2754" s="381"/>
      <c r="AA2754" s="404"/>
      <c r="AB2754" s="444"/>
      <c r="AC2754" s="444"/>
      <c r="AD2754" s="444"/>
      <c r="AE2754" s="444"/>
      <c r="AF2754" s="444"/>
      <c r="AG2754" s="444"/>
      <c r="AH2754" s="444"/>
      <c r="AI2754" s="444"/>
      <c r="AJ2754" s="444"/>
      <c r="AK2754" s="444"/>
      <c r="AL2754" s="473"/>
      <c r="AM2754" s="473"/>
      <c r="AN2754" s="473"/>
      <c r="AO2754" s="473"/>
      <c r="AP2754" s="473"/>
      <c r="AQ2754" s="473"/>
    </row>
    <row r="2755" spans="2:43" s="400" customFormat="1" ht="9" customHeight="1" x14ac:dyDescent="0.45">
      <c r="B2755" s="441"/>
      <c r="C2755" s="417"/>
      <c r="J2755" s="292"/>
      <c r="K2755" s="292"/>
      <c r="L2755" s="405"/>
      <c r="M2755" s="421"/>
      <c r="N2755" s="292"/>
      <c r="O2755" s="374"/>
      <c r="P2755" s="295"/>
      <c r="Q2755" s="442"/>
      <c r="R2755" s="403" t="str">
        <f>R2719</f>
        <v>DELETE</v>
      </c>
      <c r="S2755" s="378"/>
      <c r="T2755" s="378"/>
      <c r="U2755" s="378"/>
      <c r="V2755" s="378"/>
      <c r="W2755" s="378"/>
      <c r="X2755" s="378"/>
      <c r="Y2755" s="381"/>
      <c r="Z2755" s="381"/>
      <c r="AA2755" s="404"/>
      <c r="AB2755" s="444"/>
      <c r="AC2755" s="444"/>
      <c r="AD2755" s="444"/>
      <c r="AE2755" s="444"/>
      <c r="AF2755" s="444"/>
      <c r="AG2755" s="444"/>
      <c r="AH2755" s="444"/>
      <c r="AI2755" s="444"/>
      <c r="AJ2755" s="444"/>
      <c r="AK2755" s="444"/>
      <c r="AL2755" s="473"/>
      <c r="AM2755" s="473"/>
      <c r="AN2755" s="473"/>
      <c r="AO2755" s="473"/>
      <c r="AP2755" s="473"/>
      <c r="AQ2755" s="473"/>
    </row>
    <row r="2756" spans="2:43" s="400" customFormat="1" ht="9" customHeight="1" x14ac:dyDescent="0.45">
      <c r="B2756" s="441"/>
      <c r="C2756" s="417"/>
      <c r="J2756" s="292"/>
      <c r="K2756" s="292"/>
      <c r="L2756" s="405"/>
      <c r="M2756" s="421"/>
      <c r="N2756" s="292"/>
      <c r="O2756" s="349"/>
      <c r="P2756" s="295"/>
      <c r="Q2756" s="442"/>
      <c r="R2756" s="403" t="str">
        <f t="shared" ref="R2756:R2759" si="232">R$2621</f>
        <v>DELETE</v>
      </c>
      <c r="S2756" s="378"/>
      <c r="T2756" s="378"/>
      <c r="U2756" s="378"/>
      <c r="V2756" s="378"/>
      <c r="W2756" s="378"/>
      <c r="X2756" s="378"/>
      <c r="Y2756" s="381"/>
      <c r="Z2756" s="381"/>
      <c r="AA2756" s="404"/>
      <c r="AB2756" s="444"/>
      <c r="AC2756" s="444"/>
      <c r="AD2756" s="444"/>
      <c r="AE2756" s="444"/>
      <c r="AF2756" s="444"/>
      <c r="AG2756" s="444"/>
      <c r="AH2756" s="444"/>
      <c r="AI2756" s="444"/>
      <c r="AJ2756" s="444"/>
      <c r="AK2756" s="444"/>
      <c r="AL2756" s="473"/>
      <c r="AM2756" s="473"/>
      <c r="AN2756" s="473"/>
      <c r="AO2756" s="473"/>
      <c r="AP2756" s="473"/>
      <c r="AQ2756" s="473"/>
    </row>
    <row r="2757" spans="2:43" s="400" customFormat="1" ht="9" customHeight="1" x14ac:dyDescent="0.45">
      <c r="B2757" s="441"/>
      <c r="C2757" s="417"/>
      <c r="J2757" s="292"/>
      <c r="K2757" s="292"/>
      <c r="L2757" s="405"/>
      <c r="M2757" s="421"/>
      <c r="N2757" s="292"/>
      <c r="O2757" s="347"/>
      <c r="P2757" s="295"/>
      <c r="Q2757" s="442"/>
      <c r="R2757" s="403" t="str">
        <f t="shared" si="232"/>
        <v>DELETE</v>
      </c>
      <c r="S2757" s="378"/>
      <c r="T2757" s="378"/>
      <c r="U2757" s="378"/>
      <c r="V2757" s="378"/>
      <c r="W2757" s="378"/>
      <c r="X2757" s="378"/>
      <c r="Y2757" s="381"/>
      <c r="Z2757" s="381"/>
      <c r="AA2757" s="404"/>
      <c r="AB2757" s="444"/>
      <c r="AC2757" s="444"/>
      <c r="AD2757" s="444"/>
      <c r="AE2757" s="444"/>
      <c r="AF2757" s="444"/>
      <c r="AG2757" s="444"/>
      <c r="AH2757" s="444"/>
      <c r="AI2757" s="444"/>
      <c r="AJ2757" s="444"/>
      <c r="AK2757" s="444"/>
      <c r="AL2757" s="473"/>
      <c r="AM2757" s="473"/>
      <c r="AN2757" s="473"/>
      <c r="AO2757" s="473"/>
      <c r="AP2757" s="473"/>
      <c r="AQ2757" s="473"/>
    </row>
    <row r="2758" spans="2:43" s="400" customFormat="1" ht="31.5" customHeight="1" x14ac:dyDescent="0.45">
      <c r="B2758" s="441"/>
      <c r="C2758" s="315" t="str">
        <f>IF(O2758&lt;0,"OPERATING LOSS FOR THE YEAR","OPERATING PROFIT FOR THE YEAR")</f>
        <v>OPERATING PROFIT FOR THE YEAR</v>
      </c>
      <c r="J2758" s="292"/>
      <c r="K2758" s="292">
        <f>'FS2'!B878</f>
        <v>5</v>
      </c>
      <c r="L2758" s="405"/>
      <c r="M2758" s="421"/>
      <c r="N2758" s="292"/>
      <c r="O2758" s="347">
        <f>SUM(S2633:S2755)</f>
        <v>0</v>
      </c>
      <c r="P2758" s="295"/>
      <c r="Q2758" s="442"/>
      <c r="R2758" s="403" t="str">
        <f t="shared" si="232"/>
        <v>DELETE</v>
      </c>
      <c r="S2758" s="378"/>
      <c r="T2758" s="378"/>
      <c r="U2758" s="378"/>
      <c r="V2758" s="378"/>
      <c r="W2758" s="378"/>
      <c r="X2758" s="378"/>
      <c r="Y2758" s="381"/>
      <c r="Z2758" s="381"/>
      <c r="AA2758" s="404"/>
      <c r="AB2758" s="444"/>
      <c r="AC2758" s="444"/>
      <c r="AD2758" s="444"/>
      <c r="AE2758" s="444"/>
      <c r="AF2758" s="444"/>
      <c r="AG2758" s="444"/>
      <c r="AH2758" s="444"/>
      <c r="AI2758" s="444"/>
      <c r="AJ2758" s="444"/>
      <c r="AK2758" s="444"/>
      <c r="AL2758" s="473"/>
      <c r="AM2758" s="473"/>
      <c r="AN2758" s="473"/>
      <c r="AO2758" s="473"/>
      <c r="AP2758" s="473"/>
      <c r="AQ2758" s="473"/>
    </row>
    <row r="2759" spans="2:43" s="400" customFormat="1" ht="31.5" customHeight="1" x14ac:dyDescent="0.45">
      <c r="B2759" s="441"/>
      <c r="C2759" s="417"/>
      <c r="J2759" s="292"/>
      <c r="K2759" s="292"/>
      <c r="L2759" s="405"/>
      <c r="M2759" s="421"/>
      <c r="N2759" s="292"/>
      <c r="O2759" s="347"/>
      <c r="P2759" s="295"/>
      <c r="Q2759" s="442"/>
      <c r="R2759" s="403" t="str">
        <f t="shared" si="232"/>
        <v>DELETE</v>
      </c>
      <c r="S2759" s="378"/>
      <c r="T2759" s="378"/>
      <c r="U2759" s="378"/>
      <c r="V2759" s="378"/>
      <c r="W2759" s="378"/>
      <c r="X2759" s="378"/>
      <c r="Y2759" s="381"/>
      <c r="Z2759" s="381"/>
      <c r="AA2759" s="404"/>
      <c r="AB2759" s="444"/>
      <c r="AC2759" s="444"/>
      <c r="AD2759" s="444"/>
      <c r="AE2759" s="444"/>
      <c r="AF2759" s="444"/>
      <c r="AG2759" s="444"/>
      <c r="AH2759" s="444"/>
      <c r="AI2759" s="444"/>
      <c r="AJ2759" s="444"/>
      <c r="AK2759" s="444"/>
      <c r="AL2759" s="473"/>
      <c r="AM2759" s="473"/>
      <c r="AN2759" s="473"/>
      <c r="AO2759" s="473"/>
      <c r="AP2759" s="473"/>
      <c r="AQ2759" s="473"/>
    </row>
    <row r="2760" spans="2:43" s="400" customFormat="1" ht="31.5" customHeight="1" x14ac:dyDescent="0.45">
      <c r="B2760" s="441"/>
      <c r="C2760" s="417" t="s">
        <v>114</v>
      </c>
      <c r="J2760" s="292"/>
      <c r="K2760" s="292">
        <f>'FS2'!B965</f>
        <v>6</v>
      </c>
      <c r="L2760" s="405"/>
      <c r="M2760" s="421"/>
      <c r="N2760" s="292"/>
      <c r="O2760" s="347">
        <f>SUM(O2763:O2770)</f>
        <v>0</v>
      </c>
      <c r="P2760" s="295"/>
      <c r="Q2760" s="442"/>
      <c r="R2760" s="403" t="str">
        <f t="shared" ref="R2760" si="233">IF(R$2621="DELETE","DELETE",IF(O2760=0,"DELETE"," "))</f>
        <v>DELETE</v>
      </c>
      <c r="S2760" s="380">
        <f>O2760</f>
        <v>0</v>
      </c>
      <c r="T2760" s="380"/>
      <c r="U2760" s="380"/>
      <c r="V2760" s="380"/>
      <c r="W2760" s="378"/>
      <c r="X2760" s="378"/>
      <c r="Y2760" s="381"/>
      <c r="Z2760" s="381"/>
      <c r="AA2760" s="404"/>
      <c r="AB2760" s="444"/>
      <c r="AC2760" s="444"/>
      <c r="AD2760" s="444"/>
      <c r="AE2760" s="444"/>
      <c r="AF2760" s="444"/>
      <c r="AG2760" s="444"/>
      <c r="AH2760" s="444"/>
      <c r="AI2760" s="444"/>
      <c r="AJ2760" s="444"/>
      <c r="AK2760" s="444"/>
      <c r="AL2760" s="473"/>
      <c r="AM2760" s="473"/>
      <c r="AN2760" s="473"/>
      <c r="AO2760" s="473"/>
      <c r="AP2760" s="473"/>
      <c r="AQ2760" s="473"/>
    </row>
    <row r="2761" spans="2:43" s="400" customFormat="1" ht="9" customHeight="1" x14ac:dyDescent="0.45">
      <c r="B2761" s="441"/>
      <c r="C2761" s="417"/>
      <c r="J2761" s="292"/>
      <c r="K2761" s="292"/>
      <c r="L2761" s="405"/>
      <c r="M2761" s="421"/>
      <c r="N2761" s="292"/>
      <c r="O2761" s="347"/>
      <c r="P2761" s="295"/>
      <c r="Q2761" s="442"/>
      <c r="R2761" s="403" t="str">
        <f>R2760</f>
        <v>DELETE</v>
      </c>
      <c r="S2761" s="378"/>
      <c r="T2761" s="378"/>
      <c r="U2761" s="378"/>
      <c r="V2761" s="378"/>
      <c r="W2761" s="378"/>
      <c r="X2761" s="378"/>
      <c r="Y2761" s="381"/>
      <c r="Z2761" s="381"/>
      <c r="AA2761" s="404"/>
      <c r="AB2761" s="444"/>
      <c r="AC2761" s="444"/>
      <c r="AD2761" s="444"/>
      <c r="AE2761" s="444"/>
      <c r="AF2761" s="444"/>
      <c r="AG2761" s="444"/>
      <c r="AH2761" s="444"/>
      <c r="AI2761" s="444"/>
      <c r="AJ2761" s="444"/>
      <c r="AK2761" s="444"/>
      <c r="AL2761" s="473"/>
      <c r="AM2761" s="473"/>
      <c r="AN2761" s="473"/>
      <c r="AO2761" s="473"/>
      <c r="AP2761" s="473"/>
      <c r="AQ2761" s="473"/>
    </row>
    <row r="2762" spans="2:43" s="400" customFormat="1" ht="9" customHeight="1" x14ac:dyDescent="0.45">
      <c r="B2762" s="441"/>
      <c r="C2762" s="417"/>
      <c r="J2762" s="292"/>
      <c r="K2762" s="292"/>
      <c r="L2762" s="405"/>
      <c r="M2762" s="421"/>
      <c r="N2762" s="292"/>
      <c r="O2762" s="372"/>
      <c r="P2762" s="295"/>
      <c r="Q2762" s="442"/>
      <c r="R2762" s="403" t="str">
        <f>R2761</f>
        <v>DELETE</v>
      </c>
      <c r="S2762" s="378"/>
      <c r="T2762" s="378"/>
      <c r="U2762" s="378"/>
      <c r="V2762" s="378"/>
      <c r="W2762" s="378"/>
      <c r="X2762" s="378"/>
      <c r="Y2762" s="381"/>
      <c r="Z2762" s="381"/>
      <c r="AA2762" s="404"/>
      <c r="AB2762" s="444"/>
      <c r="AC2762" s="444"/>
      <c r="AD2762" s="444"/>
      <c r="AE2762" s="444"/>
      <c r="AF2762" s="444"/>
      <c r="AG2762" s="444"/>
      <c r="AH2762" s="444"/>
      <c r="AI2762" s="444"/>
      <c r="AJ2762" s="444"/>
      <c r="AK2762" s="444"/>
      <c r="AL2762" s="473"/>
      <c r="AM2762" s="473"/>
      <c r="AN2762" s="473"/>
      <c r="AO2762" s="473"/>
      <c r="AP2762" s="473"/>
      <c r="AQ2762" s="473"/>
    </row>
    <row r="2763" spans="2:43" s="400" customFormat="1" ht="31.5" customHeight="1" x14ac:dyDescent="0.45">
      <c r="B2763" s="441"/>
      <c r="C2763" s="417"/>
      <c r="D2763" s="400" t="s">
        <v>205</v>
      </c>
      <c r="J2763" s="292"/>
      <c r="K2763" s="292"/>
      <c r="L2763" s="405"/>
      <c r="M2763" s="421"/>
      <c r="N2763" s="292"/>
      <c r="O2763" s="373">
        <f>-TrialBalanceC!I94</f>
        <v>0</v>
      </c>
      <c r="P2763" s="295"/>
      <c r="Q2763" s="442"/>
      <c r="R2763" s="403" t="str">
        <f t="shared" ref="R2763:R2768" si="234">IF(R$2621="DELETE","DELETE",IF(O2763=0,"DELETE"," "))</f>
        <v>DELETE</v>
      </c>
      <c r="S2763" s="378"/>
      <c r="T2763" s="378"/>
      <c r="U2763" s="378"/>
      <c r="V2763" s="378"/>
      <c r="W2763" s="378"/>
      <c r="X2763" s="378"/>
      <c r="Y2763" s="381"/>
      <c r="Z2763" s="381"/>
      <c r="AA2763" s="404"/>
      <c r="AB2763" s="444"/>
      <c r="AC2763" s="444"/>
      <c r="AD2763" s="444"/>
      <c r="AE2763" s="444"/>
      <c r="AF2763" s="444"/>
      <c r="AG2763" s="444"/>
      <c r="AH2763" s="444"/>
      <c r="AI2763" s="444"/>
      <c r="AJ2763" s="444"/>
      <c r="AK2763" s="444"/>
      <c r="AL2763" s="473"/>
      <c r="AM2763" s="473"/>
      <c r="AN2763" s="473"/>
      <c r="AO2763" s="473"/>
      <c r="AP2763" s="473"/>
      <c r="AQ2763" s="473"/>
    </row>
    <row r="2764" spans="2:43" s="400" customFormat="1" ht="31.5" customHeight="1" x14ac:dyDescent="0.45">
      <c r="B2764" s="441"/>
      <c r="C2764" s="417"/>
      <c r="D2764" s="400" t="s">
        <v>531</v>
      </c>
      <c r="J2764" s="292"/>
      <c r="K2764" s="292"/>
      <c r="L2764" s="405"/>
      <c r="M2764" s="421"/>
      <c r="N2764" s="292"/>
      <c r="O2764" s="373">
        <f>-SUM(TrialBalanceC!I90:I92)</f>
        <v>0</v>
      </c>
      <c r="P2764" s="295"/>
      <c r="Q2764" s="442"/>
      <c r="R2764" s="403" t="str">
        <f t="shared" si="234"/>
        <v>DELETE</v>
      </c>
      <c r="S2764" s="378"/>
      <c r="T2764" s="378"/>
      <c r="U2764" s="378"/>
      <c r="V2764" s="378"/>
      <c r="W2764" s="378"/>
      <c r="X2764" s="378"/>
      <c r="Y2764" s="381"/>
      <c r="Z2764" s="381"/>
      <c r="AA2764" s="404"/>
      <c r="AB2764" s="444"/>
      <c r="AC2764" s="444"/>
      <c r="AD2764" s="444"/>
      <c r="AE2764" s="444"/>
      <c r="AF2764" s="444"/>
      <c r="AG2764" s="444"/>
      <c r="AH2764" s="444"/>
      <c r="AI2764" s="444"/>
      <c r="AJ2764" s="444"/>
      <c r="AK2764" s="444"/>
      <c r="AL2764" s="473"/>
      <c r="AM2764" s="473"/>
      <c r="AN2764" s="473"/>
      <c r="AO2764" s="473"/>
      <c r="AP2764" s="473"/>
      <c r="AQ2764" s="473"/>
    </row>
    <row r="2765" spans="2:43" s="400" customFormat="1" ht="31.5" customHeight="1" x14ac:dyDescent="0.45">
      <c r="B2765" s="441"/>
      <c r="C2765" s="417"/>
      <c r="D2765" s="400" t="s">
        <v>532</v>
      </c>
      <c r="J2765" s="292"/>
      <c r="K2765" s="292"/>
      <c r="L2765" s="405"/>
      <c r="M2765" s="421"/>
      <c r="N2765" s="292"/>
      <c r="O2765" s="375">
        <f>-SUM(TrialBalanceC!I85:I88)</f>
        <v>0</v>
      </c>
      <c r="P2765" s="295"/>
      <c r="Q2765" s="442"/>
      <c r="R2765" s="403" t="str">
        <f t="shared" si="234"/>
        <v>DELETE</v>
      </c>
      <c r="S2765" s="378"/>
      <c r="T2765" s="378"/>
      <c r="U2765" s="378"/>
      <c r="V2765" s="378"/>
      <c r="W2765" s="378"/>
      <c r="X2765" s="378"/>
      <c r="Y2765" s="381"/>
      <c r="Z2765" s="381"/>
      <c r="AA2765" s="404"/>
      <c r="AB2765" s="444"/>
      <c r="AC2765" s="444"/>
      <c r="AD2765" s="444"/>
      <c r="AE2765" s="444"/>
      <c r="AF2765" s="444"/>
      <c r="AG2765" s="444"/>
      <c r="AH2765" s="444"/>
      <c r="AI2765" s="444"/>
      <c r="AJ2765" s="444"/>
      <c r="AK2765" s="444"/>
      <c r="AL2765" s="473"/>
      <c r="AM2765" s="473"/>
      <c r="AN2765" s="473"/>
      <c r="AO2765" s="473"/>
      <c r="AP2765" s="473"/>
      <c r="AQ2765" s="473"/>
    </row>
    <row r="2766" spans="2:43" s="400" customFormat="1" ht="31.5" customHeight="1" x14ac:dyDescent="0.45">
      <c r="B2766" s="441"/>
      <c r="C2766" s="417"/>
      <c r="D2766" s="400" t="s">
        <v>207</v>
      </c>
      <c r="J2766" s="292"/>
      <c r="K2766" s="292"/>
      <c r="L2766" s="405"/>
      <c r="M2766" s="421"/>
      <c r="N2766" s="292"/>
      <c r="O2766" s="375">
        <f>-SUM(TrialBalanceC!I95)</f>
        <v>0</v>
      </c>
      <c r="P2766" s="295"/>
      <c r="Q2766" s="442"/>
      <c r="R2766" s="403" t="str">
        <f t="shared" si="234"/>
        <v>DELETE</v>
      </c>
      <c r="S2766" s="378"/>
      <c r="T2766" s="378"/>
      <c r="U2766" s="378"/>
      <c r="V2766" s="378"/>
      <c r="W2766" s="378"/>
      <c r="X2766" s="378"/>
      <c r="Y2766" s="381"/>
      <c r="Z2766" s="381"/>
      <c r="AA2766" s="404"/>
      <c r="AB2766" s="444"/>
      <c r="AC2766" s="444"/>
      <c r="AD2766" s="444"/>
      <c r="AE2766" s="444"/>
      <c r="AF2766" s="444"/>
      <c r="AG2766" s="444"/>
      <c r="AH2766" s="444"/>
      <c r="AI2766" s="444"/>
      <c r="AJ2766" s="444"/>
      <c r="AK2766" s="444"/>
      <c r="AL2766" s="473"/>
      <c r="AM2766" s="473"/>
      <c r="AN2766" s="473"/>
      <c r="AO2766" s="473"/>
      <c r="AP2766" s="473"/>
      <c r="AQ2766" s="473"/>
    </row>
    <row r="2767" spans="2:43" s="400" customFormat="1" ht="31.5" customHeight="1" x14ac:dyDescent="0.45">
      <c r="B2767" s="441"/>
      <c r="C2767" s="417"/>
      <c r="D2767" s="400" t="s">
        <v>548</v>
      </c>
      <c r="J2767" s="292"/>
      <c r="K2767" s="292"/>
      <c r="L2767" s="405"/>
      <c r="M2767" s="421"/>
      <c r="N2767" s="292"/>
      <c r="O2767" s="373">
        <f>IF(TrialBalanceC!I93&lt;0,-TrialBalanceC!I93,0)</f>
        <v>0</v>
      </c>
      <c r="P2767" s="295"/>
      <c r="Q2767" s="442"/>
      <c r="R2767" s="403" t="str">
        <f t="shared" si="234"/>
        <v>DELETE</v>
      </c>
      <c r="S2767" s="378"/>
      <c r="T2767" s="378"/>
      <c r="U2767" s="378"/>
      <c r="V2767" s="378"/>
      <c r="W2767" s="378"/>
      <c r="X2767" s="378"/>
      <c r="Y2767" s="381"/>
      <c r="Z2767" s="381"/>
      <c r="AA2767" s="404"/>
      <c r="AB2767" s="444"/>
      <c r="AC2767" s="444"/>
      <c r="AD2767" s="444"/>
      <c r="AE2767" s="444"/>
      <c r="AF2767" s="444"/>
      <c r="AG2767" s="444"/>
      <c r="AH2767" s="444"/>
      <c r="AI2767" s="444"/>
      <c r="AJ2767" s="444"/>
      <c r="AK2767" s="444"/>
      <c r="AL2767" s="473"/>
      <c r="AM2767" s="473"/>
      <c r="AN2767" s="473"/>
      <c r="AO2767" s="473"/>
      <c r="AP2767" s="473"/>
      <c r="AQ2767" s="473"/>
    </row>
    <row r="2768" spans="2:43" s="400" customFormat="1" ht="31.5" customHeight="1" x14ac:dyDescent="0.45">
      <c r="B2768" s="441"/>
      <c r="C2768" s="417"/>
      <c r="D2768" s="400" t="s">
        <v>359</v>
      </c>
      <c r="J2768" s="292"/>
      <c r="K2768" s="292"/>
      <c r="L2768" s="405"/>
      <c r="M2768" s="421"/>
      <c r="N2768" s="292"/>
      <c r="O2768" s="373">
        <f>-TrialBalanceC!I83</f>
        <v>0</v>
      </c>
      <c r="P2768" s="295"/>
      <c r="Q2768" s="442"/>
      <c r="R2768" s="403" t="str">
        <f t="shared" si="234"/>
        <v>DELETE</v>
      </c>
      <c r="S2768" s="378"/>
      <c r="T2768" s="378"/>
      <c r="U2768" s="378"/>
      <c r="V2768" s="378"/>
      <c r="W2768" s="378"/>
      <c r="X2768" s="378"/>
      <c r="Y2768" s="381"/>
      <c r="Z2768" s="381"/>
      <c r="AA2768" s="404"/>
      <c r="AB2768" s="444"/>
      <c r="AC2768" s="444"/>
      <c r="AD2768" s="444"/>
      <c r="AE2768" s="444"/>
      <c r="AF2768" s="444"/>
      <c r="AG2768" s="444"/>
      <c r="AH2768" s="444"/>
      <c r="AI2768" s="444"/>
      <c r="AJ2768" s="444"/>
      <c r="AK2768" s="444"/>
      <c r="AL2768" s="473"/>
      <c r="AM2768" s="473"/>
      <c r="AN2768" s="473"/>
      <c r="AO2768" s="473"/>
      <c r="AP2768" s="473"/>
      <c r="AQ2768" s="473"/>
    </row>
    <row r="2769" spans="2:43" s="400" customFormat="1" ht="31.5" customHeight="1" x14ac:dyDescent="0.45">
      <c r="B2769" s="441"/>
      <c r="C2769" s="417"/>
      <c r="D2769" s="400" t="str">
        <f>TrialBalance!C96</f>
        <v>Revaluation of investment property</v>
      </c>
      <c r="J2769" s="292"/>
      <c r="K2769" s="292"/>
      <c r="L2769" s="405"/>
      <c r="M2769" s="421"/>
      <c r="N2769" s="292"/>
      <c r="O2769" s="373">
        <f>-TrialBalanceC!I96</f>
        <v>0</v>
      </c>
      <c r="P2769" s="295"/>
      <c r="Q2769" s="442"/>
      <c r="R2769" s="403" t="str">
        <f>IF(R$2621="DELETE","DELETE",IF(O2769=0,"DELETE"," "))</f>
        <v>DELETE</v>
      </c>
      <c r="S2769" s="378"/>
      <c r="T2769" s="378"/>
      <c r="U2769" s="378"/>
      <c r="V2769" s="378"/>
      <c r="W2769" s="378"/>
      <c r="X2769" s="378"/>
      <c r="Y2769" s="381"/>
      <c r="Z2769" s="381"/>
      <c r="AA2769" s="404"/>
      <c r="AB2769" s="444"/>
      <c r="AC2769" s="444"/>
      <c r="AD2769" s="444"/>
      <c r="AE2769" s="444"/>
      <c r="AF2769" s="444"/>
      <c r="AG2769" s="444"/>
      <c r="AH2769" s="444"/>
      <c r="AI2769" s="444"/>
      <c r="AJ2769" s="444"/>
      <c r="AK2769" s="444"/>
      <c r="AL2769" s="473"/>
      <c r="AM2769" s="473"/>
      <c r="AN2769" s="473"/>
      <c r="AO2769" s="473"/>
      <c r="AP2769" s="473"/>
      <c r="AQ2769" s="473"/>
    </row>
    <row r="2770" spans="2:43" s="400" customFormat="1" ht="9" customHeight="1" x14ac:dyDescent="0.45">
      <c r="B2770" s="441"/>
      <c r="C2770" s="417"/>
      <c r="J2770" s="292"/>
      <c r="K2770" s="292"/>
      <c r="L2770" s="405"/>
      <c r="M2770" s="421"/>
      <c r="N2770" s="292"/>
      <c r="O2770" s="374"/>
      <c r="P2770" s="295"/>
      <c r="Q2770" s="442"/>
      <c r="R2770" s="403" t="str">
        <f>R2760</f>
        <v>DELETE</v>
      </c>
      <c r="S2770" s="378"/>
      <c r="T2770" s="378"/>
      <c r="U2770" s="378"/>
      <c r="V2770" s="378"/>
      <c r="W2770" s="378"/>
      <c r="X2770" s="378"/>
      <c r="Y2770" s="381"/>
      <c r="Z2770" s="381"/>
      <c r="AA2770" s="404"/>
      <c r="AB2770" s="444"/>
      <c r="AC2770" s="444"/>
      <c r="AD2770" s="444"/>
      <c r="AE2770" s="444"/>
      <c r="AF2770" s="444"/>
      <c r="AG2770" s="444"/>
      <c r="AH2770" s="444"/>
      <c r="AI2770" s="444"/>
      <c r="AJ2770" s="444"/>
      <c r="AK2770" s="444"/>
      <c r="AL2770" s="473"/>
      <c r="AM2770" s="473"/>
      <c r="AN2770" s="473"/>
      <c r="AO2770" s="473"/>
      <c r="AP2770" s="473"/>
      <c r="AQ2770" s="473"/>
    </row>
    <row r="2771" spans="2:43" s="400" customFormat="1" ht="9" customHeight="1" x14ac:dyDescent="0.45">
      <c r="B2771" s="441"/>
      <c r="C2771" s="417"/>
      <c r="J2771" s="292"/>
      <c r="K2771" s="292"/>
      <c r="L2771" s="405"/>
      <c r="M2771" s="421"/>
      <c r="N2771" s="292"/>
      <c r="O2771" s="349"/>
      <c r="P2771" s="295"/>
      <c r="Q2771" s="442"/>
      <c r="R2771" s="403" t="str">
        <f>R2770</f>
        <v>DELETE</v>
      </c>
      <c r="S2771" s="378"/>
      <c r="T2771" s="378"/>
      <c r="U2771" s="378"/>
      <c r="V2771" s="378"/>
      <c r="W2771" s="378"/>
      <c r="X2771" s="378"/>
      <c r="Y2771" s="381"/>
      <c r="Z2771" s="381"/>
      <c r="AA2771" s="404"/>
      <c r="AB2771" s="444"/>
      <c r="AC2771" s="444"/>
      <c r="AD2771" s="444"/>
      <c r="AE2771" s="444"/>
      <c r="AF2771" s="444"/>
      <c r="AG2771" s="444"/>
      <c r="AH2771" s="444"/>
      <c r="AI2771" s="444"/>
      <c r="AJ2771" s="444"/>
      <c r="AK2771" s="444"/>
      <c r="AL2771" s="473"/>
      <c r="AM2771" s="473"/>
      <c r="AN2771" s="473"/>
      <c r="AO2771" s="473"/>
      <c r="AP2771" s="473"/>
      <c r="AQ2771" s="473"/>
    </row>
    <row r="2772" spans="2:43" s="400" customFormat="1" ht="9" customHeight="1" x14ac:dyDescent="0.45">
      <c r="B2772" s="441"/>
      <c r="C2772" s="417"/>
      <c r="J2772" s="292"/>
      <c r="K2772" s="292"/>
      <c r="L2772" s="405"/>
      <c r="M2772" s="421"/>
      <c r="N2772" s="292"/>
      <c r="O2772" s="347"/>
      <c r="P2772" s="295"/>
      <c r="Q2772" s="442"/>
      <c r="R2772" s="403" t="str">
        <f>R2771</f>
        <v>DELETE</v>
      </c>
      <c r="S2772" s="378"/>
      <c r="T2772" s="378"/>
      <c r="U2772" s="378"/>
      <c r="V2772" s="378"/>
      <c r="W2772" s="378"/>
      <c r="X2772" s="378"/>
      <c r="Y2772" s="381"/>
      <c r="Z2772" s="381"/>
      <c r="AA2772" s="404"/>
      <c r="AB2772" s="444"/>
      <c r="AC2772" s="444"/>
      <c r="AD2772" s="444"/>
      <c r="AE2772" s="444"/>
      <c r="AF2772" s="444"/>
      <c r="AG2772" s="444"/>
      <c r="AH2772" s="444"/>
      <c r="AI2772" s="444"/>
      <c r="AJ2772" s="444"/>
      <c r="AK2772" s="444"/>
      <c r="AL2772" s="473"/>
      <c r="AM2772" s="473"/>
      <c r="AN2772" s="473"/>
      <c r="AO2772" s="473"/>
      <c r="AP2772" s="473"/>
      <c r="AQ2772" s="473"/>
    </row>
    <row r="2773" spans="2:43" s="400" customFormat="1" ht="31.5" customHeight="1" x14ac:dyDescent="0.45">
      <c r="B2773" s="441"/>
      <c r="C2773" s="417"/>
      <c r="J2773" s="292"/>
      <c r="K2773" s="292"/>
      <c r="L2773" s="405"/>
      <c r="M2773" s="421"/>
      <c r="N2773" s="292"/>
      <c r="O2773" s="347">
        <f>SUM(S2633:S2770)</f>
        <v>0</v>
      </c>
      <c r="P2773" s="295"/>
      <c r="Q2773" s="442"/>
      <c r="R2773" s="403" t="str">
        <f>R2772</f>
        <v>DELETE</v>
      </c>
      <c r="S2773" s="378"/>
      <c r="T2773" s="378"/>
      <c r="U2773" s="378"/>
      <c r="V2773" s="378"/>
      <c r="W2773" s="378"/>
      <c r="X2773" s="378"/>
      <c r="Y2773" s="381"/>
      <c r="Z2773" s="381"/>
      <c r="AA2773" s="404"/>
      <c r="AB2773" s="444"/>
      <c r="AC2773" s="444"/>
      <c r="AD2773" s="444"/>
      <c r="AE2773" s="444"/>
      <c r="AF2773" s="444"/>
      <c r="AG2773" s="444"/>
      <c r="AH2773" s="444"/>
      <c r="AI2773" s="444"/>
      <c r="AJ2773" s="444"/>
      <c r="AK2773" s="444"/>
      <c r="AL2773" s="473"/>
      <c r="AM2773" s="473"/>
      <c r="AN2773" s="473"/>
      <c r="AO2773" s="473"/>
      <c r="AP2773" s="473"/>
      <c r="AQ2773" s="473"/>
    </row>
    <row r="2774" spans="2:43" s="400" customFormat="1" ht="31.5" customHeight="1" x14ac:dyDescent="0.45">
      <c r="B2774" s="441"/>
      <c r="C2774" s="417"/>
      <c r="J2774" s="292"/>
      <c r="K2774" s="292"/>
      <c r="L2774" s="405"/>
      <c r="M2774" s="421"/>
      <c r="N2774" s="292"/>
      <c r="O2774" s="347"/>
      <c r="P2774" s="295"/>
      <c r="Q2774" s="442"/>
      <c r="R2774" s="403" t="str">
        <f>R2773</f>
        <v>DELETE</v>
      </c>
      <c r="S2774" s="378"/>
      <c r="T2774" s="378"/>
      <c r="U2774" s="378"/>
      <c r="V2774" s="378"/>
      <c r="W2774" s="378"/>
      <c r="X2774" s="378"/>
      <c r="Y2774" s="381"/>
      <c r="Z2774" s="381"/>
      <c r="AA2774" s="404"/>
      <c r="AB2774" s="444"/>
      <c r="AC2774" s="444"/>
      <c r="AD2774" s="444"/>
      <c r="AE2774" s="444"/>
      <c r="AF2774" s="444"/>
      <c r="AG2774" s="444"/>
      <c r="AH2774" s="444"/>
      <c r="AI2774" s="444"/>
      <c r="AJ2774" s="444"/>
      <c r="AK2774" s="444"/>
      <c r="AL2774" s="473"/>
      <c r="AM2774" s="473"/>
      <c r="AN2774" s="473"/>
      <c r="AO2774" s="473"/>
      <c r="AP2774" s="473"/>
      <c r="AQ2774" s="473"/>
    </row>
    <row r="2775" spans="2:43" s="400" customFormat="1" ht="31.5" customHeight="1" x14ac:dyDescent="0.45">
      <c r="B2775" s="441"/>
      <c r="C2775" s="417" t="s">
        <v>262</v>
      </c>
      <c r="J2775" s="292"/>
      <c r="K2775" s="292">
        <f>'FS2'!B1024</f>
        <v>7</v>
      </c>
      <c r="L2775" s="405"/>
      <c r="M2775" s="421"/>
      <c r="N2775" s="292"/>
      <c r="O2775" s="347">
        <f>SUM(TrialBalanceC!I142:I152)</f>
        <v>0</v>
      </c>
      <c r="P2775" s="295"/>
      <c r="Q2775" s="442"/>
      <c r="R2775" s="403" t="str">
        <f t="shared" ref="R2775" si="235">IF(R$2621="DELETE","DELETE",IF(O2775=0,"DELETE"," "))</f>
        <v>DELETE</v>
      </c>
      <c r="S2775" s="380">
        <f>-O2775</f>
        <v>0</v>
      </c>
      <c r="T2775" s="380"/>
      <c r="U2775" s="380"/>
      <c r="V2775" s="380"/>
      <c r="W2775" s="378"/>
      <c r="X2775" s="378"/>
      <c r="Y2775" s="381"/>
      <c r="Z2775" s="381"/>
      <c r="AA2775" s="404"/>
      <c r="AB2775" s="444"/>
      <c r="AC2775" s="444"/>
      <c r="AD2775" s="444"/>
      <c r="AE2775" s="444"/>
      <c r="AF2775" s="444"/>
      <c r="AG2775" s="444"/>
      <c r="AH2775" s="444"/>
      <c r="AI2775" s="444"/>
      <c r="AJ2775" s="444"/>
      <c r="AK2775" s="444"/>
      <c r="AL2775" s="473"/>
      <c r="AM2775" s="473"/>
      <c r="AN2775" s="473"/>
      <c r="AO2775" s="473"/>
      <c r="AP2775" s="473"/>
      <c r="AQ2775" s="473"/>
    </row>
    <row r="2776" spans="2:43" s="400" customFormat="1" ht="9" customHeight="1" x14ac:dyDescent="0.45">
      <c r="B2776" s="441"/>
      <c r="C2776" s="417"/>
      <c r="J2776" s="292"/>
      <c r="K2776" s="292"/>
      <c r="L2776" s="405"/>
      <c r="M2776" s="421"/>
      <c r="N2776" s="292"/>
      <c r="O2776" s="349"/>
      <c r="P2776" s="295"/>
      <c r="Q2776" s="442"/>
      <c r="R2776" s="403" t="str">
        <f t="shared" ref="R2776:R2784" si="236">R$2621</f>
        <v>DELETE</v>
      </c>
      <c r="S2776" s="378"/>
      <c r="T2776" s="378"/>
      <c r="U2776" s="378"/>
      <c r="V2776" s="378"/>
      <c r="W2776" s="378"/>
      <c r="X2776" s="378"/>
      <c r="Y2776" s="381"/>
      <c r="Z2776" s="381"/>
      <c r="AA2776" s="404"/>
      <c r="AB2776" s="444"/>
      <c r="AC2776" s="444"/>
      <c r="AD2776" s="444"/>
      <c r="AE2776" s="444"/>
      <c r="AF2776" s="444"/>
      <c r="AG2776" s="444"/>
      <c r="AH2776" s="444"/>
      <c r="AI2776" s="444"/>
      <c r="AJ2776" s="444"/>
      <c r="AK2776" s="444"/>
      <c r="AL2776" s="473"/>
      <c r="AM2776" s="473"/>
      <c r="AN2776" s="473"/>
      <c r="AO2776" s="473"/>
      <c r="AP2776" s="473"/>
      <c r="AQ2776" s="473"/>
    </row>
    <row r="2777" spans="2:43" s="400" customFormat="1" ht="9" customHeight="1" x14ac:dyDescent="0.45">
      <c r="B2777" s="441"/>
      <c r="C2777" s="417"/>
      <c r="J2777" s="292"/>
      <c r="K2777" s="292"/>
      <c r="L2777" s="405"/>
      <c r="M2777" s="421"/>
      <c r="N2777" s="292"/>
      <c r="O2777" s="347"/>
      <c r="P2777" s="295"/>
      <c r="Q2777" s="442"/>
      <c r="R2777" s="403" t="str">
        <f t="shared" si="236"/>
        <v>DELETE</v>
      </c>
      <c r="S2777" s="378"/>
      <c r="T2777" s="378"/>
      <c r="U2777" s="378"/>
      <c r="V2777" s="378"/>
      <c r="W2777" s="378"/>
      <c r="X2777" s="378"/>
      <c r="Y2777" s="381"/>
      <c r="Z2777" s="381"/>
      <c r="AA2777" s="404"/>
      <c r="AB2777" s="444"/>
      <c r="AC2777" s="444"/>
      <c r="AD2777" s="444"/>
      <c r="AE2777" s="444"/>
      <c r="AF2777" s="444"/>
      <c r="AG2777" s="444"/>
      <c r="AH2777" s="444"/>
      <c r="AI2777" s="444"/>
      <c r="AJ2777" s="444"/>
      <c r="AK2777" s="444"/>
      <c r="AL2777" s="473"/>
      <c r="AM2777" s="473"/>
      <c r="AN2777" s="473"/>
      <c r="AO2777" s="473"/>
      <c r="AP2777" s="473"/>
      <c r="AQ2777" s="473"/>
    </row>
    <row r="2778" spans="2:43" s="400" customFormat="1" ht="31.5" customHeight="1" x14ac:dyDescent="0.45">
      <c r="B2778" s="441"/>
      <c r="C2778" s="315" t="str">
        <f>IF(O2778&lt;0,"LOSS BEFORE TAXATION","PROFIT BEFORE TAXATION")</f>
        <v>PROFIT BEFORE TAXATION</v>
      </c>
      <c r="J2778" s="292"/>
      <c r="K2778" s="292"/>
      <c r="L2778" s="405"/>
      <c r="M2778" s="421"/>
      <c r="N2778" s="292"/>
      <c r="O2778" s="347">
        <f>SUM(S2633:S2777)</f>
        <v>0</v>
      </c>
      <c r="P2778" s="295"/>
      <c r="Q2778" s="442"/>
      <c r="R2778" s="403" t="str">
        <f t="shared" si="236"/>
        <v>DELETE</v>
      </c>
      <c r="S2778" s="378"/>
      <c r="T2778" s="378"/>
      <c r="U2778" s="378" t="b">
        <f>O2778='FS2'!O2279</f>
        <v>1</v>
      </c>
      <c r="V2778" s="378"/>
      <c r="W2778" s="378"/>
      <c r="X2778" s="378"/>
      <c r="Y2778" s="381"/>
      <c r="Z2778" s="381"/>
      <c r="AA2778" s="404"/>
      <c r="AB2778" s="444"/>
      <c r="AC2778" s="444"/>
      <c r="AD2778" s="444"/>
      <c r="AE2778" s="444"/>
      <c r="AF2778" s="444"/>
      <c r="AG2778" s="444"/>
      <c r="AH2778" s="444"/>
      <c r="AI2778" s="444"/>
      <c r="AJ2778" s="444"/>
      <c r="AK2778" s="444"/>
      <c r="AL2778" s="473"/>
      <c r="AM2778" s="473"/>
      <c r="AN2778" s="473"/>
      <c r="AO2778" s="473"/>
      <c r="AP2778" s="473"/>
      <c r="AQ2778" s="473"/>
    </row>
    <row r="2779" spans="2:43" s="400" customFormat="1" ht="9" customHeight="1" thickBot="1" x14ac:dyDescent="0.5">
      <c r="B2779" s="441"/>
      <c r="C2779" s="417"/>
      <c r="J2779" s="292"/>
      <c r="K2779" s="292"/>
      <c r="L2779" s="405"/>
      <c r="M2779" s="421"/>
      <c r="N2779" s="292"/>
      <c r="O2779" s="351"/>
      <c r="P2779" s="295"/>
      <c r="Q2779" s="442"/>
      <c r="R2779" s="403" t="str">
        <f t="shared" si="236"/>
        <v>DELETE</v>
      </c>
      <c r="S2779" s="378"/>
      <c r="T2779" s="378"/>
      <c r="U2779" s="378"/>
      <c r="V2779" s="378"/>
      <c r="W2779" s="378"/>
      <c r="X2779" s="378"/>
      <c r="Y2779" s="381"/>
      <c r="Z2779" s="381"/>
      <c r="AA2779" s="404"/>
      <c r="AB2779" s="444"/>
      <c r="AC2779" s="444"/>
      <c r="AD2779" s="444"/>
      <c r="AE2779" s="444"/>
      <c r="AF2779" s="444"/>
      <c r="AG2779" s="444"/>
      <c r="AH2779" s="444"/>
      <c r="AI2779" s="444"/>
      <c r="AJ2779" s="444"/>
      <c r="AK2779" s="444"/>
      <c r="AL2779" s="473"/>
      <c r="AM2779" s="473"/>
      <c r="AN2779" s="473"/>
      <c r="AO2779" s="473"/>
      <c r="AP2779" s="473"/>
      <c r="AQ2779" s="473"/>
    </row>
    <row r="2780" spans="2:43" s="400" customFormat="1" ht="9" customHeight="1" thickTop="1" x14ac:dyDescent="0.45">
      <c r="B2780" s="441"/>
      <c r="C2780" s="417"/>
      <c r="J2780" s="292"/>
      <c r="K2780" s="292"/>
      <c r="L2780" s="405"/>
      <c r="M2780" s="421"/>
      <c r="N2780" s="292"/>
      <c r="O2780" s="363"/>
      <c r="P2780" s="295"/>
      <c r="Q2780" s="442"/>
      <c r="R2780" s="403" t="str">
        <f t="shared" si="236"/>
        <v>DELETE</v>
      </c>
      <c r="S2780" s="378"/>
      <c r="T2780" s="378"/>
      <c r="U2780" s="378"/>
      <c r="V2780" s="378"/>
      <c r="W2780" s="378"/>
      <c r="X2780" s="378"/>
      <c r="Y2780" s="381"/>
      <c r="Z2780" s="381"/>
      <c r="AA2780" s="404"/>
      <c r="AB2780" s="444"/>
      <c r="AC2780" s="444"/>
      <c r="AD2780" s="444"/>
      <c r="AE2780" s="444"/>
      <c r="AF2780" s="444"/>
      <c r="AG2780" s="444"/>
      <c r="AH2780" s="444"/>
      <c r="AI2780" s="444"/>
      <c r="AJ2780" s="444"/>
      <c r="AK2780" s="444"/>
      <c r="AL2780" s="473"/>
      <c r="AM2780" s="473"/>
      <c r="AN2780" s="473"/>
      <c r="AO2780" s="473"/>
      <c r="AP2780" s="473"/>
      <c r="AQ2780" s="473"/>
    </row>
    <row r="2781" spans="2:43" s="400" customFormat="1" ht="31.5" customHeight="1" x14ac:dyDescent="0.45">
      <c r="B2781" s="441"/>
      <c r="C2781" s="417"/>
      <c r="J2781" s="292"/>
      <c r="K2781" s="292"/>
      <c r="L2781" s="405"/>
      <c r="M2781" s="421"/>
      <c r="N2781" s="292"/>
      <c r="O2781" s="347"/>
      <c r="P2781" s="295"/>
      <c r="Q2781" s="442"/>
      <c r="R2781" s="403" t="str">
        <f t="shared" si="236"/>
        <v>DELETE</v>
      </c>
      <c r="S2781" s="378"/>
      <c r="T2781" s="378"/>
      <c r="U2781" s="378"/>
      <c r="V2781" s="378"/>
      <c r="W2781" s="378"/>
      <c r="X2781" s="378"/>
      <c r="Y2781" s="381"/>
      <c r="Z2781" s="381"/>
      <c r="AA2781" s="404"/>
      <c r="AB2781" s="444"/>
      <c r="AC2781" s="444"/>
      <c r="AD2781" s="444"/>
      <c r="AE2781" s="444"/>
      <c r="AF2781" s="444"/>
      <c r="AG2781" s="444"/>
      <c r="AH2781" s="444"/>
      <c r="AI2781" s="444"/>
      <c r="AJ2781" s="444"/>
      <c r="AK2781" s="444"/>
      <c r="AL2781" s="473"/>
      <c r="AM2781" s="473"/>
      <c r="AN2781" s="473"/>
      <c r="AO2781" s="473"/>
      <c r="AP2781" s="473"/>
      <c r="AQ2781" s="473"/>
    </row>
    <row r="2782" spans="2:43" s="400" customFormat="1" ht="31.5" customHeight="1" x14ac:dyDescent="0.45">
      <c r="B2782" s="441"/>
      <c r="C2782" s="417"/>
      <c r="J2782" s="292"/>
      <c r="K2782" s="292"/>
      <c r="L2782" s="292"/>
      <c r="M2782" s="347"/>
      <c r="N2782" s="298"/>
      <c r="O2782" s="347"/>
      <c r="P2782" s="295"/>
      <c r="Q2782" s="442"/>
      <c r="R2782" s="403" t="str">
        <f t="shared" si="236"/>
        <v>DELETE</v>
      </c>
      <c r="S2782" s="378"/>
      <c r="T2782" s="378"/>
      <c r="U2782" s="378"/>
      <c r="V2782" s="378"/>
      <c r="W2782" s="378"/>
      <c r="X2782" s="378"/>
      <c r="Y2782" s="381"/>
      <c r="Z2782" s="381"/>
      <c r="AA2782" s="404"/>
      <c r="AB2782" s="444"/>
      <c r="AC2782" s="444"/>
      <c r="AD2782" s="444"/>
      <c r="AE2782" s="444"/>
      <c r="AF2782" s="444"/>
      <c r="AG2782" s="444"/>
      <c r="AH2782" s="444"/>
      <c r="AI2782" s="444"/>
      <c r="AJ2782" s="444"/>
      <c r="AK2782" s="444"/>
      <c r="AL2782" s="473"/>
      <c r="AM2782" s="473"/>
      <c r="AN2782" s="473"/>
      <c r="AO2782" s="473"/>
      <c r="AP2782" s="473"/>
      <c r="AQ2782" s="473"/>
    </row>
    <row r="2783" spans="2:43" s="400" customFormat="1" ht="31.5" customHeight="1" x14ac:dyDescent="0.45">
      <c r="B2783" s="445"/>
      <c r="C2783" s="429"/>
      <c r="D2783" s="429"/>
      <c r="E2783" s="429"/>
      <c r="F2783" s="429"/>
      <c r="G2783" s="429"/>
      <c r="H2783" s="429"/>
      <c r="I2783" s="429"/>
      <c r="J2783" s="429"/>
      <c r="K2783" s="429"/>
      <c r="L2783" s="429"/>
      <c r="M2783" s="437"/>
      <c r="N2783" s="461"/>
      <c r="O2783" s="437"/>
      <c r="P2783" s="433"/>
      <c r="Q2783" s="446"/>
      <c r="R2783" s="403" t="str">
        <f t="shared" si="236"/>
        <v>DELETE</v>
      </c>
      <c r="S2783" s="378"/>
      <c r="T2783" s="378"/>
      <c r="U2783" s="378"/>
      <c r="V2783" s="378"/>
      <c r="W2783" s="378"/>
      <c r="X2783" s="378"/>
      <c r="Y2783" s="381"/>
      <c r="Z2783" s="381"/>
      <c r="AA2783" s="404"/>
      <c r="AB2783" s="444"/>
      <c r="AC2783" s="444"/>
      <c r="AD2783" s="444"/>
      <c r="AE2783" s="444"/>
      <c r="AF2783" s="444"/>
      <c r="AG2783" s="444"/>
      <c r="AH2783" s="444"/>
      <c r="AI2783" s="444"/>
      <c r="AJ2783" s="444"/>
      <c r="AK2783" s="444"/>
      <c r="AL2783" s="473"/>
      <c r="AM2783" s="473"/>
      <c r="AN2783" s="473"/>
      <c r="AO2783" s="473"/>
      <c r="AP2783" s="473"/>
      <c r="AQ2783" s="473"/>
    </row>
    <row r="2784" spans="2:43" s="400" customFormat="1" ht="31.5" customHeight="1" x14ac:dyDescent="0.45">
      <c r="M2784" s="426"/>
      <c r="N2784" s="406"/>
      <c r="O2784" s="426"/>
      <c r="P2784" s="402"/>
      <c r="R2784" s="403" t="str">
        <f t="shared" si="236"/>
        <v>DELETE</v>
      </c>
      <c r="S2784" s="378"/>
      <c r="T2784" s="378"/>
      <c r="U2784" s="378"/>
      <c r="V2784" s="378"/>
      <c r="W2784" s="378"/>
      <c r="X2784" s="378"/>
      <c r="Y2784" s="381"/>
      <c r="Z2784" s="381"/>
      <c r="AA2784" s="404"/>
      <c r="AB2784" s="444"/>
      <c r="AC2784" s="444"/>
      <c r="AD2784" s="444"/>
      <c r="AE2784" s="444"/>
      <c r="AF2784" s="444"/>
      <c r="AG2784" s="444"/>
      <c r="AH2784" s="444"/>
      <c r="AI2784" s="444"/>
      <c r="AJ2784" s="444"/>
      <c r="AK2784" s="444"/>
      <c r="AL2784" s="473"/>
      <c r="AM2784" s="473"/>
      <c r="AN2784" s="473"/>
      <c r="AO2784" s="473"/>
      <c r="AP2784" s="473"/>
      <c r="AQ2784" s="473"/>
    </row>
  </sheetData>
  <sheetProtection formatColumns="0" formatRows="0" insertRows="0" deleteRows="0"/>
  <mergeCells count="11">
    <mergeCell ref="L2101:N2101"/>
    <mergeCell ref="L2102:N2102"/>
    <mergeCell ref="D212:H212"/>
    <mergeCell ref="E216:H216"/>
    <mergeCell ref="U1:V1"/>
    <mergeCell ref="O2101:P2101"/>
    <mergeCell ref="O2102:P2102"/>
    <mergeCell ref="J111:K111"/>
    <mergeCell ref="D16:N16"/>
    <mergeCell ref="D18:N18"/>
    <mergeCell ref="D20:N20"/>
  </mergeCells>
  <hyperlinks>
    <hyperlink ref="D380" r:id="rId1" display="=@IF(U501+V501=1,&quot;GROSS PROFIT/(LOSS)&quot;,IF((U501+V501=2),&quot;GROSS PROFIT&quot;,&quot;GROSS LOSS&quot;))" xr:uid="{6EC37E41-BCC4-4C53-9493-94F79E412701}"/>
    <hyperlink ref="D385" r:id="rId2" display="=@IF(U501+V501=1,&quot;GROSS PROFIT/(LOSS)&quot;,IF((U501+V501=2),&quot;GROSS PROFIT&quot;,&quot;GROSS LOSS&quot;))" xr:uid="{FFB167F4-7EB2-4FEE-8BFC-C7143253C1DE}"/>
    <hyperlink ref="C2146" r:id="rId3" display="=@IF(U501+V501=1,&quot;GROSS PROFIT/(LOSS)&quot;,IF((U501+V501=2),&quot;GROSS PROFIT&quot;,&quot;GROSS LOSS&quot;))" xr:uid="{1643BDFA-D727-47D4-9BA2-6D5DCF7E0D84}"/>
    <hyperlink ref="C2195" r:id="rId4" display="=@IF(U501+V501=1,&quot;GROSS PROFIT/(LOSS)&quot;,IF((U501+V501=2),&quot;GROSS PROFIT&quot;,&quot;GROSS LOSS&quot;))" xr:uid="{103FBFC9-7DF4-4D47-A11C-A8E48A23ACBD}"/>
    <hyperlink ref="C2211" r:id="rId5" display="=@IF(U501+V501=1,&quot;GROSS PROFIT/(LOSS)&quot;,IF((U501+V501=2),&quot;GROSS PROFIT&quot;,&quot;GROSS LOSS&quot;))" xr:uid="{9CC7F115-90DD-48D8-86EA-ECB612A365AE}"/>
    <hyperlink ref="C2254" r:id="rId6" display="=@IF(U501+V501=1,&quot;GROSS PROFIT/(LOSS)&quot;,IF((U501+V501=2),&quot;GROSS PROFIT&quot;,&quot;GROSS LOSS&quot;))" xr:uid="{6C93F943-EB95-497D-84FF-67DFEEF43968}"/>
    <hyperlink ref="C2274" r:id="rId7" display="=@IF(U501+V501=1,&quot;GROSS PROFIT/(LOSS)&quot;,IF((U501+V501=2),&quot;GROSS PROFIT&quot;,&quot;GROSS LOSS&quot;))" xr:uid="{3D5E6050-17BE-4D4D-90F9-84758F5A61B2}"/>
    <hyperlink ref="C2287" r:id="rId8" display="=@IF(U501+V501=1,&quot;GROSS PROFIT/(LOSS)&quot;,IF((U501+V501=2),&quot;GROSS PROFIT&quot;,&quot;GROSS LOSS&quot;))" xr:uid="{A8C271EC-EC6D-47EB-83A6-43F55E5FC312}"/>
    <hyperlink ref="D459" r:id="rId9" display="=@IF(U501+V501=1,&quot;GROSS PROFIT/(LOSS)&quot;,IF((U501+V501=2),&quot;GROSS PROFIT&quot;,&quot;GROSS LOSS&quot;))" xr:uid="{0FC3C64B-3B23-49E0-A6EB-83863B23F98F}"/>
    <hyperlink ref="D879" r:id="rId10" display="=@IF(U501+V501=1,&quot;GROSS PROFIT/(LOSS)&quot;,IF((U501+V501=2),&quot;GROSS PROFIT&quot;,&quot;GROSS LOSS&quot;))" xr:uid="{385F827D-69D9-449D-9E9A-86FACF81D6F8}"/>
    <hyperlink ref="O2261" r:id="rId11" display="-@sum(TrialBalance!A67:A70" xr:uid="{B87D1B0C-4B38-49F0-A919-B276F374DFFA}"/>
    <hyperlink ref="O459" r:id="rId12" display="-TrialBalance!A146-@sum(TrialBalance!A5:A127)" xr:uid="{FF572C62-E9B4-42A8-A28A-041B701D6F61}"/>
    <hyperlink ref="O359" r:id="rId13" display="-@sum(TrialBalance!A8:A22" xr:uid="{EB092C9A-4DBA-4D21-BD08-6D7278AC32E0}"/>
    <hyperlink ref="O366" r:id="rId14" display="-@sum(TrialBalance!A23:A63" xr:uid="{06BA80CE-08E8-472B-9C0F-A701C364BD31}"/>
    <hyperlink ref="O368" r:id="rId15" display="-@sum(TrialBalance!A77:A111" xr:uid="{44E9DDB7-0601-4D66-87DE-8DB26AD3ECE4}"/>
    <hyperlink ref="O376" r:id="rId16" display="-@sum(TrialBalance!A112:A118" xr:uid="{93CECDAD-479E-4CF7-9E09-D3D0509BF138}"/>
    <hyperlink ref="O382" r:id="rId17" display="-@sum(TrialBalance!A119:A125" xr:uid="{BD339420-551F-480B-8EC5-160132AD1B8A}"/>
    <hyperlink ref="C878" r:id="rId18" display="=@IF(U501+V501=1,&quot;GROSS PROFIT/(LOSS)&quot;,IF((U501+V501=2),&quot;GROSS PROFIT&quot;,&quot;GROSS LOSS&quot;))" xr:uid="{F835615E-7600-4C23-8922-16564FA57C95}"/>
    <hyperlink ref="C534" r:id="rId19" display="=@IF(U501+V501=1,&quot;GROSS PROFIT/(LOSS)&quot;,IF((U501+V501=2),&quot;GROSS PROFIT&quot;,&quot;GROSS LOSS&quot;))" xr:uid="{37FEEF04-5C7E-4EF3-BCDD-1CE9BD539F04}"/>
    <hyperlink ref="D537" r:id="rId20" display="=@IF(U501+V501=1,&quot;GROSS PROFIT/(LOSS)&quot;,IF((U501+V501=2),&quot;GROSS PROFIT&quot;,&quot;GROSS LOSS&quot;))" xr:uid="{D55A10C6-027F-40AD-9164-704B8B4DA379}"/>
    <hyperlink ref="O1690" r:id="rId21" display="=@if(Criteria!E33*Criteria!E34=Criteria!E36*Criteria!E37,&quot; &quot;,Criteria!E33*Criteria!E34)" xr:uid="{75BED5CF-6ABE-46F6-AAD7-1DE3B8AF5676}"/>
    <hyperlink ref="D2277" r:id="rId22" display="=@IF(U501+V501=1,&quot;GROSS PROFIT/(LOSS)&quot;,IF((U501+V501=2),&quot;GROSS PROFIT&quot;,&quot;GROSS LOSS&quot;))" xr:uid="{59956A35-B889-42C0-9BFB-E3D11CAD8708}"/>
    <hyperlink ref="D2278" r:id="rId23" display="=@IF(U501+V501=1,&quot;GROSS PROFIT/(LOSS)&quot;,IF((U501+V501=2),&quot;GROSS PROFIT&quot;,&quot;GROSS LOSS&quot;))" xr:uid="{8C560084-76AE-4E03-B786-F5668C590C1D}"/>
    <hyperlink ref="D2279" r:id="rId24" display="=@IF(U501+V501=1,&quot;GROSS PROFIT/(LOSS)&quot;,IF((U501+V501=2),&quot;GROSS PROFIT&quot;,&quot;GROSS LOSS&quot;))" xr:uid="{943C22D1-C410-4C73-A5C6-E2A43F6C2223}"/>
    <hyperlink ref="D1858" r:id="rId25" display="=@IF(U501+V501=1,&quot;GROSS PROFIT/(LOSS)&quot;,IF((U501+V501=2),&quot;GROSS PROFIT&quot;,&quot;GROSS LOSS&quot;))" xr:uid="{EF2B8CBB-8CD0-44A8-BD7B-F29DDCF87E41}"/>
    <hyperlink ref="O2437" r:id="rId26" display="-@sum(TrialBalance!A67:A70" xr:uid="{F1135C42-6EF3-4919-98DD-C2DAF1E01619}"/>
    <hyperlink ref="C2450" r:id="rId27" display="=@IF(U501+V501=1,&quot;GROSS PROFIT/(LOSS)&quot;,IF((U501+V501=2),&quot;GROSS PROFIT&quot;,&quot;GROSS LOSS&quot;))" xr:uid="{0A67C957-8A96-41AA-9CC2-3AA59A9CEA50}"/>
    <hyperlink ref="C2430" r:id="rId28" display="=@IF(U501+V501=1,&quot;GROSS PROFIT/(LOSS)&quot;,IF((U501+V501=2),&quot;GROSS PROFIT&quot;,&quot;GROSS LOSS&quot;))" xr:uid="{F10BFC7D-6E95-4207-A099-5C561083F887}"/>
    <hyperlink ref="C2388" r:id="rId29" display="=@IF(U501+V501=1,&quot;GROSS PROFIT/(LOSS)&quot;,IF((U501+V501=2),&quot;GROSS PROFIT&quot;,&quot;GROSS LOSS&quot;))" xr:uid="{712617A2-D6CD-4E60-BB31-C3466777F117}"/>
    <hyperlink ref="C2372" r:id="rId30" display="=@IF(U501+V501=1,&quot;GROSS PROFIT/(LOSS)&quot;,IF((U501+V501=2),&quot;GROSS PROFIT&quot;,&quot;GROSS LOSS&quot;))" xr:uid="{F99CBF6E-81AD-4109-9092-FF9B960F3C6B}"/>
    <hyperlink ref="C2323" r:id="rId31" display="=@IF(U501+V501=1,&quot;GROSS PROFIT/(LOSS)&quot;,IF((U501+V501=2),&quot;GROSS PROFIT&quot;,&quot;GROSS LOSS&quot;))" xr:uid="{86586CB7-84A4-484F-BDCF-62517A748845}"/>
    <hyperlink ref="O2601" r:id="rId32" display="-@sum(TrialBalance!A67:A70" xr:uid="{F8C1963A-9E34-4A98-9F85-930629AE2643}"/>
    <hyperlink ref="C2614" r:id="rId33" display="=@IF(U501+V501=1,&quot;GROSS PROFIT/(LOSS)&quot;,IF((U501+V501=2),&quot;GROSS PROFIT&quot;,&quot;GROSS LOSS&quot;))" xr:uid="{CEC5C5F2-914F-4AD5-974E-26470BECA6EA}"/>
    <hyperlink ref="C2594" r:id="rId34" display="=@IF(U501+V501=1,&quot;GROSS PROFIT/(LOSS)&quot;,IF((U501+V501=2),&quot;GROSS PROFIT&quot;,&quot;GROSS LOSS&quot;))" xr:uid="{D45ADED7-4FC5-490C-A289-BE9B3F0F5C90}"/>
    <hyperlink ref="C2536" r:id="rId35" display="=@IF(U501+V501=1,&quot;GROSS PROFIT/(LOSS)&quot;,IF((U501+V501=2),&quot;GROSS PROFIT&quot;,&quot;GROSS LOSS&quot;))" xr:uid="{99D387F1-43FC-4BAC-8C9B-35FE9D052ECB}"/>
    <hyperlink ref="C2487" r:id="rId36" display="=@IF(U501+V501=1,&quot;GROSS PROFIT/(LOSS)&quot;,IF((U501+V501=2),&quot;GROSS PROFIT&quot;,&quot;GROSS LOSS&quot;))" xr:uid="{801CD040-8E67-434D-9E98-B3C6B9547D43}"/>
    <hyperlink ref="C2552" r:id="rId37" display="=@IF(U501+V501=1,&quot;GROSS PROFIT/(LOSS)&quot;,IF((U501+V501=2),&quot;GROSS PROFIT&quot;,&quot;GROSS LOSS&quot;))" xr:uid="{A069841F-5D72-492E-8DDC-BDC43412D60E}"/>
    <hyperlink ref="C2651" r:id="rId38" display="=@IF(U501+V501=1,&quot;GROSS PROFIT/(LOSS)&quot;,IF((U501+V501=2),&quot;GROSS PROFIT&quot;,&quot;GROSS LOSS&quot;))" xr:uid="{98FC5CC4-FB4D-4EE2-BC82-6A0526F0C56D}"/>
    <hyperlink ref="C2700" r:id="rId39" display="=@IF(U501+V501=1,&quot;GROSS PROFIT/(LOSS)&quot;,IF((U501+V501=2),&quot;GROSS PROFIT&quot;,&quot;GROSS LOSS&quot;))" xr:uid="{050D4589-7F9F-48B7-9C73-2F842C20F794}"/>
    <hyperlink ref="C2758" r:id="rId40" display="=@IF(U501+V501=1,&quot;GROSS PROFIT/(LOSS)&quot;,IF((U501+V501=2),&quot;GROSS PROFIT&quot;,&quot;GROSS LOSS&quot;))" xr:uid="{0D6834C2-6D1C-41F1-964F-12D5E1F5D175}"/>
    <hyperlink ref="C2778" r:id="rId41" display="=@IF(U501+V501=1,&quot;GROSS PROFIT/(LOSS)&quot;,IF((U501+V501=2),&quot;GROSS PROFIT&quot;,&quot;GROSS LOSS&quot;))" xr:uid="{BED28F06-5C74-4DB1-B992-1F47A300C042}"/>
    <hyperlink ref="O2765" r:id="rId42" display="-@sum(TrialBalance!A67:A70" xr:uid="{2D083B57-EE56-49C8-9A6A-B7F4C640C6FC}"/>
    <hyperlink ref="C2716" r:id="rId43" display="=@IF(U501+V501=1,&quot;GROSS PROFIT/(LOSS)&quot;,IF((U501+V501=2),&quot;GROSS PROFIT&quot;,&quot;GROSS LOSS&quot;))" xr:uid="{A32CB3F5-F645-4B9D-8CA0-57B981C3D99A}"/>
    <hyperlink ref="D362" r:id="rId44" display="=@IF(U501+V501=1,&quot;GROSS PROFIT/(LOSS)&quot;,IF((U501+V501=2),&quot;GROSS PROFIT&quot;,&quot;GROSS LOSS&quot;))" xr:uid="{E1B80E91-18FE-42C6-A1A2-2B5043F18074}"/>
    <hyperlink ref="D372" r:id="rId45" display="=@IF(U501+V501=1,&quot;GROSS PROFIT/(LOSS)&quot;,IF((U501+V501=2),&quot;GROSS PROFIT&quot;,&quot;GROSS LOSS&quot;))" xr:uid="{88ECA870-FAD9-4EDF-8F7E-DFEAB539C34D}"/>
    <hyperlink ref="D326" r:id="rId46" display="=@if(Criteria!F343=&quot;No&quot;,Criteria!G346,&quot; &quot;)" xr:uid="{742F580A-5B68-42D8-93A6-5F94F336E3B7}"/>
    <hyperlink ref="D327" r:id="rId47" display="=@if(Criteria!F343=&quot;No&quot;,Criteria!G346,&quot; &quot;)" xr:uid="{261E20C9-DC48-4D03-B6E3-CA61BCB3266F}"/>
    <hyperlink ref="C2085" r:id="rId48" display="=@IF(U501+V501=1,&quot;GROSS PROFIT/(LOSS)&quot;,IF((U501+V501=2),&quot;GROSS PROFIT&quot;,&quot;GROSS LOSS&quot;))" xr:uid="{471418B5-D822-44AF-8787-3075991ECC71}"/>
    <hyperlink ref="D328" r:id="rId49" display="=@if(Criteria!F343=&quot;No&quot;,Criteria!G346,&quot; &quot;)" xr:uid="{6F94A5AC-DB11-4A82-8753-A8607596D00F}"/>
    <hyperlink ref="D1887" r:id="rId50" display="=@IF(U501+V501=1,&quot;GROSS PROFIT/(LOSS)&quot;,IF((U501+V501=2),&quot;GROSS PROFIT&quot;,&quot;GROSS LOSS&quot;))" xr:uid="{91D17A33-3561-4A2D-AAD3-4F12B6A529BF}"/>
    <hyperlink ref="D1872" r:id="rId51" display="=@IF(U501+V501=1,&quot;GROSS PROFIT/(LOSS)&quot;,IF((U501+V501=2),&quot;GROSS PROFIT&quot;,&quot;GROSS LOSS&quot;))" xr:uid="{5C383DB8-B833-4C07-949C-48A5C29E2072}"/>
    <hyperlink ref="D2010" r:id="rId52" display="=@IF(U501+V501=1,&quot;GROSS PROFIT/(LOSS)&quot;,IF((U501+V501=2),&quot;GROSS PROFIT&quot;,&quot;GROSS LOSS&quot;))" xr:uid="{7872B034-949B-41FF-8C43-297AFFBA60E8}"/>
    <hyperlink ref="D2019" r:id="rId53" display="=@IF(U501+V501=1,&quot;GROSS PROFIT/(LOSS)&quot;,IF((U501+V501=2),&quot;GROSS PROFIT&quot;,&quot;GROSS LOSS&quot;))" xr:uid="{C4DE6342-ADBE-469A-8D01-362DC8685BFC}"/>
    <hyperlink ref="C2009" r:id="rId54" display="=@IF(U501+V501=1,&quot;GROSS PROFIT/(LOSS)&quot;,IF((U501+V501=2),&quot;GROSS PROFIT&quot;,&quot;GROSS LOSS&quot;))" xr:uid="{E4EA5D38-165B-4DD2-92A2-C6F6E23E342B}"/>
  </hyperlinks>
  <pageMargins left="0.7" right="0.7" top="0.75" bottom="0.75" header="0.3" footer="0.3"/>
  <pageSetup paperSize="9" scale="43" fitToHeight="0" orientation="portrait" r:id="rId55"/>
  <headerFooter alignWithMargins="0"/>
  <drawing r:id="rId56"/>
  <picture r:id="rId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N378"/>
  <sheetViews>
    <sheetView zoomScale="87" zoomScaleNormal="87" workbookViewId="0">
      <selection activeCell="E9" sqref="E9:G9"/>
    </sheetView>
  </sheetViews>
  <sheetFormatPr defaultRowHeight="15.75" x14ac:dyDescent="0.25"/>
  <cols>
    <col min="1" max="1" width="8.85546875" style="23" customWidth="1"/>
    <col min="2" max="2" width="7.140625" customWidth="1"/>
    <col min="3" max="3" width="27.5703125" style="2" customWidth="1"/>
    <col min="4" max="4" width="11.7109375" style="2" customWidth="1"/>
    <col min="5" max="5" width="30.85546875" style="2" customWidth="1"/>
    <col min="6" max="6" width="24.140625" style="2" customWidth="1"/>
    <col min="7" max="7" width="29.28515625" style="2" customWidth="1"/>
    <col min="8" max="8" width="23.85546875" style="2" customWidth="1"/>
    <col min="9" max="9" width="22.7109375" style="2" customWidth="1"/>
    <col min="10" max="10" width="24.28515625" style="2" customWidth="1"/>
    <col min="11" max="11" width="14.85546875" style="2" customWidth="1"/>
    <col min="12" max="12" width="6.7109375" style="2" customWidth="1"/>
    <col min="13" max="13" width="17.7109375" customWidth="1"/>
    <col min="14" max="14" width="17.85546875" customWidth="1"/>
    <col min="15" max="15" width="16" bestFit="1" customWidth="1"/>
    <col min="16" max="16" width="18.28515625" customWidth="1"/>
    <col min="18" max="18" width="18.28515625" customWidth="1"/>
    <col min="19" max="20" width="18" customWidth="1"/>
    <col min="21" max="21" width="15.5703125" customWidth="1"/>
    <col min="22" max="22" width="12" bestFit="1" customWidth="1"/>
  </cols>
  <sheetData>
    <row r="2" spans="3:9" ht="23.25" x14ac:dyDescent="0.35">
      <c r="E2" s="210" t="s">
        <v>1182</v>
      </c>
    </row>
    <row r="3" spans="3:9" ht="18.75" x14ac:dyDescent="0.3">
      <c r="E3" s="211" t="s">
        <v>832</v>
      </c>
    </row>
    <row r="4" spans="3:9" ht="18.75" x14ac:dyDescent="0.3">
      <c r="E4" s="211" t="s">
        <v>705</v>
      </c>
    </row>
    <row r="7" spans="3:9" ht="19.5" x14ac:dyDescent="0.35">
      <c r="C7" s="120" t="s">
        <v>543</v>
      </c>
    </row>
    <row r="9" spans="3:9" ht="18.75" x14ac:dyDescent="0.3">
      <c r="C9" s="2" t="s">
        <v>544</v>
      </c>
      <c r="E9" s="521" t="s">
        <v>1139</v>
      </c>
      <c r="F9" s="521"/>
      <c r="G9" s="521"/>
    </row>
    <row r="10" spans="3:9" ht="18.75" x14ac:dyDescent="0.3">
      <c r="E10" s="521" t="s">
        <v>860</v>
      </c>
      <c r="F10" s="521"/>
      <c r="G10" s="521"/>
    </row>
    <row r="11" spans="3:9" x14ac:dyDescent="0.25">
      <c r="E11" s="520" t="s">
        <v>1143</v>
      </c>
      <c r="F11" s="520"/>
      <c r="G11" s="520"/>
    </row>
    <row r="13" spans="3:9" ht="18.75" x14ac:dyDescent="0.3">
      <c r="D13" s="2" t="s">
        <v>756</v>
      </c>
      <c r="E13" s="522" t="s">
        <v>861</v>
      </c>
      <c r="F13" s="522"/>
      <c r="G13" s="522"/>
      <c r="H13" s="212" t="s">
        <v>862</v>
      </c>
      <c r="I13" s="178"/>
    </row>
    <row r="14" spans="3:9" ht="18.75" x14ac:dyDescent="0.3">
      <c r="C14" s="2" t="s">
        <v>516</v>
      </c>
      <c r="D14" s="2" t="s">
        <v>880</v>
      </c>
      <c r="E14" s="522" t="s">
        <v>874</v>
      </c>
      <c r="F14" s="522"/>
      <c r="G14" s="522"/>
      <c r="H14" s="212" t="s">
        <v>876</v>
      </c>
      <c r="I14" s="178"/>
    </row>
    <row r="15" spans="3:9" ht="18.75" x14ac:dyDescent="0.3">
      <c r="D15" s="2" t="s">
        <v>881</v>
      </c>
      <c r="E15" s="522" t="s">
        <v>875</v>
      </c>
      <c r="F15" s="522"/>
      <c r="G15" s="522"/>
      <c r="H15" s="212" t="s">
        <v>877</v>
      </c>
      <c r="I15" s="178"/>
    </row>
    <row r="16" spans="3:9" ht="18.75" x14ac:dyDescent="0.3">
      <c r="D16" s="2" t="s">
        <v>882</v>
      </c>
      <c r="E16" s="522"/>
      <c r="F16" s="522"/>
      <c r="G16" s="522"/>
      <c r="H16" s="212"/>
      <c r="I16" s="178"/>
    </row>
    <row r="17" spans="3:10" x14ac:dyDescent="0.25">
      <c r="I17"/>
    </row>
    <row r="18" spans="3:10" x14ac:dyDescent="0.25">
      <c r="C18" s="2" t="s">
        <v>680</v>
      </c>
      <c r="E18" s="213" t="s">
        <v>844</v>
      </c>
      <c r="J18" s="50"/>
    </row>
    <row r="20" spans="3:10" x14ac:dyDescent="0.25">
      <c r="C20" s="2" t="s">
        <v>160</v>
      </c>
      <c r="E20" s="214" t="s">
        <v>1095</v>
      </c>
      <c r="G20" s="216">
        <v>45351</v>
      </c>
    </row>
    <row r="21" spans="3:10" x14ac:dyDescent="0.25">
      <c r="G21" s="216">
        <f>G20-366</f>
        <v>44985</v>
      </c>
    </row>
    <row r="22" spans="3:10" x14ac:dyDescent="0.25">
      <c r="C22" s="2" t="s">
        <v>161</v>
      </c>
      <c r="E22" s="213">
        <v>2024</v>
      </c>
      <c r="G22" s="216">
        <f>G21-365</f>
        <v>44620</v>
      </c>
      <c r="H22" s="5"/>
    </row>
    <row r="23" spans="3:10" x14ac:dyDescent="0.25">
      <c r="E23" s="5"/>
      <c r="G23" s="118"/>
    </row>
    <row r="24" spans="3:10" x14ac:dyDescent="0.25">
      <c r="C24" s="2" t="s">
        <v>90</v>
      </c>
      <c r="E24" s="215" t="s">
        <v>86</v>
      </c>
      <c r="G24" s="5" t="str">
        <f>PROPER(E20)</f>
        <v>29 February 2024</v>
      </c>
    </row>
    <row r="25" spans="3:10" hidden="1" x14ac:dyDescent="0.25">
      <c r="E25" s="5"/>
      <c r="F25" s="2" t="s">
        <v>85</v>
      </c>
      <c r="G25" s="5" t="s">
        <v>86</v>
      </c>
    </row>
    <row r="26" spans="3:10" x14ac:dyDescent="0.25">
      <c r="E26" s="5"/>
    </row>
    <row r="27" spans="3:10" x14ac:dyDescent="0.25">
      <c r="C27" s="2" t="s">
        <v>1014</v>
      </c>
      <c r="E27" s="218">
        <f>E22-1</f>
        <v>2023</v>
      </c>
    </row>
    <row r="29" spans="3:10" x14ac:dyDescent="0.25">
      <c r="C29" s="2" t="s">
        <v>685</v>
      </c>
      <c r="F29" s="217" t="s">
        <v>703</v>
      </c>
    </row>
    <row r="31" spans="3:10" ht="19.5" x14ac:dyDescent="0.35">
      <c r="C31" s="120" t="s">
        <v>165</v>
      </c>
    </row>
    <row r="33" spans="3:10" x14ac:dyDescent="0.25">
      <c r="C33" s="2" t="s">
        <v>97</v>
      </c>
      <c r="E33" s="219" t="s">
        <v>863</v>
      </c>
      <c r="F33" s="111"/>
    </row>
    <row r="34" spans="3:10" x14ac:dyDescent="0.25">
      <c r="E34" s="220" t="s">
        <v>864</v>
      </c>
      <c r="F34" s="112"/>
    </row>
    <row r="35" spans="3:10" x14ac:dyDescent="0.25">
      <c r="E35" s="220"/>
      <c r="F35" s="112"/>
    </row>
    <row r="36" spans="3:10" x14ac:dyDescent="0.25">
      <c r="E36" s="221"/>
      <c r="F36" s="113"/>
    </row>
    <row r="37" spans="3:10" x14ac:dyDescent="0.25">
      <c r="G37" s="5" t="s">
        <v>711</v>
      </c>
    </row>
    <row r="38" spans="3:10" x14ac:dyDescent="0.25">
      <c r="C38" s="2" t="s">
        <v>483</v>
      </c>
      <c r="D38" s="114"/>
      <c r="E38" s="217" t="s">
        <v>710</v>
      </c>
      <c r="F38" s="222" t="s">
        <v>100</v>
      </c>
      <c r="G38" s="222" t="s">
        <v>712</v>
      </c>
      <c r="H38" s="2" t="str">
        <f>E38</f>
        <v>A Director</v>
      </c>
      <c r="I38" s="2">
        <f>IF(H38=0," ",1)</f>
        <v>1</v>
      </c>
    </row>
    <row r="39" spans="3:10" x14ac:dyDescent="0.25">
      <c r="D39" s="115"/>
      <c r="E39" s="217"/>
      <c r="F39" s="222"/>
      <c r="G39" s="222"/>
      <c r="H39" s="2">
        <f>E39</f>
        <v>0</v>
      </c>
      <c r="I39" s="2" t="str">
        <f>IF(H39=0," ",I38+1)</f>
        <v xml:space="preserve"> </v>
      </c>
    </row>
    <row r="40" spans="3:10" x14ac:dyDescent="0.25">
      <c r="D40" s="114"/>
      <c r="E40" s="217"/>
      <c r="F40" s="217"/>
      <c r="G40" s="217"/>
      <c r="H40" s="2">
        <f>E40</f>
        <v>0</v>
      </c>
      <c r="I40" s="2" t="str">
        <f>IF(H40=0," ",I39+1)</f>
        <v xml:space="preserve"> </v>
      </c>
    </row>
    <row r="41" spans="3:10" x14ac:dyDescent="0.25">
      <c r="D41" s="115"/>
      <c r="E41" s="217"/>
      <c r="F41" s="217"/>
      <c r="G41" s="217"/>
      <c r="H41" s="2">
        <f>E41</f>
        <v>0</v>
      </c>
      <c r="I41" s="2" t="str">
        <f>IF(H41=0," ",I40+1)</f>
        <v xml:space="preserve"> </v>
      </c>
    </row>
    <row r="42" spans="3:10" x14ac:dyDescent="0.25">
      <c r="D42" s="115"/>
      <c r="E42" s="217"/>
      <c r="F42" s="217"/>
      <c r="G42" s="217"/>
      <c r="H42" s="2">
        <f>E42</f>
        <v>0</v>
      </c>
      <c r="I42" s="2" t="str">
        <f>IF(H42=0," ",I41+1)</f>
        <v xml:space="preserve"> </v>
      </c>
    </row>
    <row r="44" spans="3:10" hidden="1" x14ac:dyDescent="0.25">
      <c r="G44" s="2" t="s">
        <v>334</v>
      </c>
    </row>
    <row r="45" spans="3:10" hidden="1" x14ac:dyDescent="0.25">
      <c r="G45" s="2" t="s">
        <v>336</v>
      </c>
    </row>
    <row r="46" spans="3:10" hidden="1" x14ac:dyDescent="0.25">
      <c r="G46" s="2" t="s">
        <v>335</v>
      </c>
    </row>
    <row r="47" spans="3:10" x14ac:dyDescent="0.25">
      <c r="E47" s="2" t="s">
        <v>713</v>
      </c>
      <c r="G47" s="215" t="s">
        <v>86</v>
      </c>
    </row>
    <row r="48" spans="3:10" x14ac:dyDescent="0.25">
      <c r="F48" s="2" t="s">
        <v>488</v>
      </c>
      <c r="G48" s="222" t="s">
        <v>830</v>
      </c>
      <c r="H48" s="116"/>
      <c r="I48" s="116"/>
      <c r="J48" s="116"/>
    </row>
    <row r="50" spans="3:8" x14ac:dyDescent="0.25">
      <c r="C50" s="2" t="s">
        <v>1179</v>
      </c>
      <c r="E50" s="217"/>
      <c r="F50" s="222"/>
      <c r="G50" s="2">
        <f>E50</f>
        <v>0</v>
      </c>
      <c r="H50" s="2" t="str">
        <f>IF(G50=0," ",1)</f>
        <v xml:space="preserve"> </v>
      </c>
    </row>
    <row r="51" spans="3:8" x14ac:dyDescent="0.25">
      <c r="E51" s="217"/>
      <c r="F51" s="222"/>
      <c r="G51" s="2">
        <f t="shared" ref="G51:G54" si="0">E51</f>
        <v>0</v>
      </c>
      <c r="H51" s="2" t="str">
        <f>IF(G51=0," ",H50+1)</f>
        <v xml:space="preserve"> </v>
      </c>
    </row>
    <row r="52" spans="3:8" x14ac:dyDescent="0.25">
      <c r="E52" s="217"/>
      <c r="F52" s="217"/>
      <c r="G52" s="2">
        <f t="shared" si="0"/>
        <v>0</v>
      </c>
      <c r="H52" s="2" t="str">
        <f>IF(G52=0," ",H51+1)</f>
        <v xml:space="preserve"> </v>
      </c>
    </row>
    <row r="53" spans="3:8" x14ac:dyDescent="0.25">
      <c r="E53" s="217"/>
      <c r="F53" s="217"/>
      <c r="G53" s="2">
        <f t="shared" si="0"/>
        <v>0</v>
      </c>
      <c r="H53" s="2" t="str">
        <f>IF(G53=0," ",H52+1)</f>
        <v xml:space="preserve"> </v>
      </c>
    </row>
    <row r="54" spans="3:8" x14ac:dyDescent="0.25">
      <c r="E54" s="217"/>
      <c r="F54" s="217"/>
      <c r="G54" s="2">
        <f t="shared" si="0"/>
        <v>0</v>
      </c>
      <c r="H54" s="2" t="str">
        <f>IF(G54=0," ",H53+1)</f>
        <v xml:space="preserve"> </v>
      </c>
    </row>
    <row r="56" spans="3:8" x14ac:dyDescent="0.25">
      <c r="C56" s="2" t="s">
        <v>98</v>
      </c>
      <c r="E56" s="217"/>
    </row>
    <row r="57" spans="3:8" x14ac:dyDescent="0.25">
      <c r="E57" s="217"/>
    </row>
    <row r="58" spans="3:8" x14ac:dyDescent="0.25">
      <c r="E58" s="223"/>
      <c r="G58" s="50"/>
    </row>
    <row r="59" spans="3:8" x14ac:dyDescent="0.25">
      <c r="E59" s="224"/>
    </row>
    <row r="61" spans="3:8" x14ac:dyDescent="0.25">
      <c r="C61" s="2" t="s">
        <v>816</v>
      </c>
      <c r="E61" s="224"/>
    </row>
    <row r="62" spans="3:8" x14ac:dyDescent="0.25">
      <c r="E62" s="224"/>
    </row>
    <row r="63" spans="3:8" x14ac:dyDescent="0.25">
      <c r="E63" s="223"/>
    </row>
    <row r="64" spans="3:8" x14ac:dyDescent="0.25">
      <c r="E64" s="224"/>
    </row>
    <row r="66" spans="1:10" x14ac:dyDescent="0.25">
      <c r="C66" s="2" t="s">
        <v>44</v>
      </c>
      <c r="E66" s="217"/>
    </row>
    <row r="67" spans="1:10" x14ac:dyDescent="0.25">
      <c r="E67" s="217"/>
    </row>
    <row r="68" spans="1:10" x14ac:dyDescent="0.25">
      <c r="E68" s="223"/>
    </row>
    <row r="69" spans="1:10" x14ac:dyDescent="0.25">
      <c r="E69" s="224"/>
    </row>
    <row r="71" spans="1:10" x14ac:dyDescent="0.25">
      <c r="C71" s="2" t="s">
        <v>715</v>
      </c>
      <c r="E71" s="224"/>
    </row>
    <row r="72" spans="1:10" x14ac:dyDescent="0.25">
      <c r="E72" s="224"/>
    </row>
    <row r="73" spans="1:10" x14ac:dyDescent="0.25">
      <c r="E73" s="224"/>
    </row>
    <row r="76" spans="1:10" ht="18.75" x14ac:dyDescent="0.3">
      <c r="A76" s="519" t="s">
        <v>585</v>
      </c>
      <c r="B76" s="519"/>
      <c r="C76" s="519"/>
      <c r="D76" s="519"/>
      <c r="E76" s="519"/>
      <c r="F76" s="519"/>
      <c r="G76" s="519"/>
      <c r="H76" s="519"/>
      <c r="I76" s="519"/>
      <c r="J76" s="519"/>
    </row>
    <row r="78" spans="1:10" ht="19.5" x14ac:dyDescent="0.35">
      <c r="C78" s="120" t="s">
        <v>484</v>
      </c>
    </row>
    <row r="79" spans="1:10" x14ac:dyDescent="0.25">
      <c r="F79" s="26"/>
    </row>
    <row r="80" spans="1:10" x14ac:dyDescent="0.25">
      <c r="C80" s="523" t="s">
        <v>1156</v>
      </c>
      <c r="D80" s="523"/>
      <c r="E80" s="523"/>
      <c r="F80" s="523"/>
    </row>
    <row r="81" spans="3:10" x14ac:dyDescent="0.25">
      <c r="E81" s="26"/>
    </row>
    <row r="82" spans="3:10" x14ac:dyDescent="0.25">
      <c r="C82" s="2" t="s">
        <v>1176</v>
      </c>
      <c r="E82" s="26"/>
      <c r="F82" s="215" t="s">
        <v>85</v>
      </c>
    </row>
    <row r="83" spans="3:10" x14ac:dyDescent="0.25">
      <c r="E83" s="26"/>
    </row>
    <row r="84" spans="3:10" x14ac:dyDescent="0.25">
      <c r="C84" s="2" t="s">
        <v>1177</v>
      </c>
      <c r="E84" s="26"/>
      <c r="F84" s="215" t="s">
        <v>85</v>
      </c>
    </row>
    <row r="85" spans="3:10" x14ac:dyDescent="0.25">
      <c r="E85" s="26"/>
    </row>
    <row r="86" spans="3:10" x14ac:dyDescent="0.25">
      <c r="C86" s="2" t="s">
        <v>1178</v>
      </c>
      <c r="E86" s="26"/>
      <c r="F86" s="215" t="s">
        <v>86</v>
      </c>
    </row>
    <row r="87" spans="3:10" x14ac:dyDescent="0.25">
      <c r="E87" s="26"/>
    </row>
    <row r="88" spans="3:10" x14ac:dyDescent="0.25">
      <c r="C88" s="2" t="s">
        <v>487</v>
      </c>
      <c r="E88" s="26"/>
      <c r="F88" s="215" t="s">
        <v>86</v>
      </c>
      <c r="G88" s="225" t="s">
        <v>1108</v>
      </c>
      <c r="H88" s="117"/>
      <c r="I88" s="117"/>
      <c r="J88" s="117"/>
    </row>
    <row r="89" spans="3:10" x14ac:dyDescent="0.25">
      <c r="E89" s="26"/>
    </row>
    <row r="90" spans="3:10" x14ac:dyDescent="0.25">
      <c r="C90" s="2" t="s">
        <v>737</v>
      </c>
      <c r="E90" s="26"/>
      <c r="F90" s="215" t="s">
        <v>86</v>
      </c>
    </row>
    <row r="91" spans="3:10" x14ac:dyDescent="0.25">
      <c r="E91" s="26"/>
      <c r="F91" s="2" t="s">
        <v>488</v>
      </c>
      <c r="G91" s="225" t="s">
        <v>841</v>
      </c>
      <c r="H91" s="117"/>
      <c r="I91" s="117"/>
      <c r="J91" s="117"/>
    </row>
    <row r="92" spans="3:10" x14ac:dyDescent="0.25">
      <c r="E92" s="26"/>
      <c r="G92" s="225"/>
      <c r="H92" s="117"/>
      <c r="I92" s="117"/>
      <c r="J92" s="117"/>
    </row>
    <row r="93" spans="3:10" x14ac:dyDescent="0.25">
      <c r="E93" s="26"/>
    </row>
    <row r="94" spans="3:10" x14ac:dyDescent="0.25">
      <c r="C94" s="2" t="s">
        <v>489</v>
      </c>
      <c r="E94" s="26"/>
      <c r="F94" s="215" t="s">
        <v>86</v>
      </c>
    </row>
    <row r="95" spans="3:10" x14ac:dyDescent="0.25">
      <c r="E95" s="26"/>
      <c r="F95" s="2" t="s">
        <v>488</v>
      </c>
      <c r="G95" s="225" t="s">
        <v>738</v>
      </c>
      <c r="H95" s="117"/>
      <c r="I95" s="117"/>
      <c r="J95" s="117"/>
    </row>
    <row r="96" spans="3:10" x14ac:dyDescent="0.25">
      <c r="E96" s="26"/>
    </row>
    <row r="97" spans="3:13" x14ac:dyDescent="0.25">
      <c r="C97" s="2" t="s">
        <v>707</v>
      </c>
      <c r="E97" s="26"/>
      <c r="F97" s="215" t="s">
        <v>86</v>
      </c>
    </row>
    <row r="98" spans="3:13" x14ac:dyDescent="0.25">
      <c r="E98" s="26"/>
    </row>
    <row r="99" spans="3:13" x14ac:dyDescent="0.25">
      <c r="E99" s="26"/>
      <c r="F99" s="2" t="s">
        <v>488</v>
      </c>
      <c r="G99" s="225"/>
      <c r="H99" s="117"/>
      <c r="I99" s="117"/>
      <c r="J99" s="117"/>
      <c r="M99" s="2"/>
    </row>
    <row r="100" spans="3:13" x14ac:dyDescent="0.25">
      <c r="E100" s="26"/>
      <c r="G100" s="225"/>
      <c r="H100" s="117"/>
      <c r="I100" s="117"/>
      <c r="J100" s="117"/>
      <c r="M100" s="2"/>
    </row>
    <row r="101" spans="3:13" x14ac:dyDescent="0.25">
      <c r="E101" s="26"/>
      <c r="G101" s="225"/>
      <c r="H101" s="117"/>
      <c r="I101" s="117"/>
      <c r="J101" s="117"/>
      <c r="M101" s="2"/>
    </row>
    <row r="103" spans="3:13" x14ac:dyDescent="0.25">
      <c r="C103" s="2" t="s">
        <v>58</v>
      </c>
      <c r="F103" s="215" t="s">
        <v>85</v>
      </c>
    </row>
    <row r="105" spans="3:13" x14ac:dyDescent="0.25">
      <c r="C105" s="2" t="s">
        <v>246</v>
      </c>
      <c r="F105" s="215" t="s">
        <v>86</v>
      </c>
    </row>
    <row r="107" spans="3:13" x14ac:dyDescent="0.25">
      <c r="C107" s="17" t="s">
        <v>490</v>
      </c>
    </row>
    <row r="108" spans="3:13" x14ac:dyDescent="0.25">
      <c r="E108" s="5">
        <f>E22</f>
        <v>2024</v>
      </c>
      <c r="F108" s="5">
        <f>E27</f>
        <v>2023</v>
      </c>
    </row>
    <row r="109" spans="3:13" x14ac:dyDescent="0.25">
      <c r="C109" s="2" t="s">
        <v>1016</v>
      </c>
      <c r="E109" s="226">
        <v>1000</v>
      </c>
      <c r="F109" s="226">
        <v>1000</v>
      </c>
      <c r="G109" s="2" t="str">
        <f>CONCATENATE(E109," Ordinary shares of R",E110," each")</f>
        <v>1000 Ordinary shares of R1 each</v>
      </c>
    </row>
    <row r="110" spans="3:13" x14ac:dyDescent="0.25">
      <c r="E110" s="227">
        <v>1</v>
      </c>
      <c r="F110" s="227">
        <v>1</v>
      </c>
    </row>
    <row r="112" spans="3:13" x14ac:dyDescent="0.25">
      <c r="C112" s="2" t="s">
        <v>739</v>
      </c>
      <c r="E112" s="228">
        <v>100</v>
      </c>
      <c r="F112" s="228">
        <v>100</v>
      </c>
      <c r="G112" s="2" t="str">
        <f>CONCATENATE(E112," Ordinary shares of R",E113," each")</f>
        <v>100 Ordinary shares of R1 each</v>
      </c>
    </row>
    <row r="113" spans="2:12" x14ac:dyDescent="0.25">
      <c r="E113" s="227">
        <v>1</v>
      </c>
      <c r="F113" s="227">
        <v>1</v>
      </c>
    </row>
    <row r="114" spans="2:12" x14ac:dyDescent="0.25">
      <c r="E114" s="26"/>
    </row>
    <row r="115" spans="2:12" ht="16.5" x14ac:dyDescent="0.3">
      <c r="C115" s="119" t="s">
        <v>104</v>
      </c>
    </row>
    <row r="117" spans="2:12" x14ac:dyDescent="0.25">
      <c r="B117" s="10"/>
      <c r="C117" s="17" t="s">
        <v>959</v>
      </c>
      <c r="F117" s="20"/>
      <c r="G117" s="20"/>
      <c r="H117" s="20"/>
      <c r="I117" s="19"/>
      <c r="J117" s="19"/>
      <c r="L117" s="7"/>
    </row>
    <row r="119" spans="2:12" x14ac:dyDescent="0.25">
      <c r="C119" s="2" t="s">
        <v>1106</v>
      </c>
      <c r="F119" s="215" t="s">
        <v>86</v>
      </c>
    </row>
    <row r="121" spans="2:12" x14ac:dyDescent="0.25">
      <c r="F121" s="5">
        <f>E22</f>
        <v>2024</v>
      </c>
      <c r="G121" s="5">
        <f>E27</f>
        <v>2023</v>
      </c>
    </row>
    <row r="122" spans="2:12" x14ac:dyDescent="0.25">
      <c r="C122" s="2" t="s">
        <v>1200</v>
      </c>
    </row>
    <row r="124" spans="2:12" x14ac:dyDescent="0.25">
      <c r="C124" s="236"/>
      <c r="D124" s="236"/>
      <c r="E124" s="236"/>
      <c r="F124" s="236"/>
      <c r="G124" s="236"/>
    </row>
    <row r="125" spans="2:12" x14ac:dyDescent="0.25">
      <c r="C125" s="236"/>
      <c r="D125" s="236"/>
      <c r="E125" s="236"/>
      <c r="F125" s="236"/>
      <c r="G125" s="236"/>
    </row>
    <row r="126" spans="2:12" x14ac:dyDescent="0.25">
      <c r="C126" s="236"/>
      <c r="D126" s="236"/>
      <c r="E126" s="236"/>
      <c r="F126" s="236"/>
      <c r="G126" s="236"/>
    </row>
    <row r="127" spans="2:12" x14ac:dyDescent="0.25">
      <c r="C127" s="236"/>
      <c r="D127" s="236"/>
      <c r="E127" s="236"/>
      <c r="F127" s="236"/>
      <c r="G127" s="236"/>
    </row>
    <row r="128" spans="2:12" x14ac:dyDescent="0.25">
      <c r="C128" s="236"/>
      <c r="D128" s="236"/>
      <c r="E128" s="236"/>
      <c r="F128" s="236"/>
      <c r="G128" s="236"/>
    </row>
    <row r="129" spans="3:7" x14ac:dyDescent="0.25">
      <c r="C129" s="236"/>
      <c r="D129" s="236"/>
      <c r="E129" s="236"/>
      <c r="F129" s="236"/>
      <c r="G129" s="236"/>
    </row>
    <row r="130" spans="3:7" x14ac:dyDescent="0.25">
      <c r="C130" s="236"/>
      <c r="D130" s="236"/>
      <c r="E130" s="236"/>
      <c r="F130" s="236"/>
      <c r="G130" s="236"/>
    </row>
    <row r="131" spans="3:7" x14ac:dyDescent="0.25">
      <c r="C131" s="236"/>
      <c r="D131" s="236"/>
      <c r="E131" s="236"/>
      <c r="F131" s="236"/>
      <c r="G131" s="236"/>
    </row>
    <row r="132" spans="3:7" x14ac:dyDescent="0.25">
      <c r="C132" s="236"/>
      <c r="D132" s="236"/>
      <c r="E132" s="236"/>
      <c r="F132" s="236"/>
      <c r="G132" s="236"/>
    </row>
    <row r="133" spans="3:7" x14ac:dyDescent="0.25">
      <c r="C133" s="236"/>
      <c r="D133" s="236"/>
      <c r="E133" s="236"/>
      <c r="F133" s="236"/>
      <c r="G133" s="236"/>
    </row>
    <row r="134" spans="3:7" x14ac:dyDescent="0.25">
      <c r="C134" s="236"/>
      <c r="D134" s="236"/>
      <c r="E134" s="236"/>
      <c r="F134" s="236"/>
      <c r="G134" s="236"/>
    </row>
    <row r="135" spans="3:7" x14ac:dyDescent="0.25">
      <c r="C135" s="236"/>
      <c r="D135" s="236"/>
      <c r="E135" s="236"/>
      <c r="F135" s="236"/>
      <c r="G135" s="236"/>
    </row>
    <row r="136" spans="3:7" x14ac:dyDescent="0.25">
      <c r="C136" s="236"/>
      <c r="D136" s="236"/>
      <c r="E136" s="236"/>
      <c r="F136" s="236"/>
      <c r="G136" s="236"/>
    </row>
    <row r="137" spans="3:7" x14ac:dyDescent="0.25">
      <c r="C137" s="236"/>
      <c r="D137" s="236"/>
      <c r="E137" s="236"/>
      <c r="F137" s="236"/>
      <c r="G137" s="236"/>
    </row>
    <row r="138" spans="3:7" x14ac:dyDescent="0.25">
      <c r="C138" s="236"/>
      <c r="D138" s="236"/>
      <c r="E138" s="236"/>
      <c r="F138" s="236"/>
      <c r="G138" s="236"/>
    </row>
    <row r="139" spans="3:7" x14ac:dyDescent="0.25">
      <c r="C139" s="236"/>
      <c r="D139" s="236"/>
      <c r="E139" s="236"/>
      <c r="F139" s="236"/>
      <c r="G139" s="236"/>
    </row>
    <row r="140" spans="3:7" x14ac:dyDescent="0.25">
      <c r="C140" s="236"/>
      <c r="D140" s="236"/>
      <c r="E140" s="236"/>
      <c r="F140" s="236"/>
      <c r="G140" s="236"/>
    </row>
    <row r="141" spans="3:7" x14ac:dyDescent="0.25">
      <c r="C141" s="236"/>
      <c r="D141" s="236"/>
      <c r="E141" s="236"/>
      <c r="F141" s="236"/>
      <c r="G141" s="236"/>
    </row>
    <row r="142" spans="3:7" x14ac:dyDescent="0.25">
      <c r="C142" s="236"/>
      <c r="D142" s="236"/>
      <c r="E142" s="236"/>
      <c r="F142" s="236"/>
      <c r="G142" s="236"/>
    </row>
    <row r="143" spans="3:7" x14ac:dyDescent="0.25">
      <c r="C143" s="236"/>
      <c r="D143" s="236"/>
      <c r="E143" s="236"/>
      <c r="F143" s="236"/>
      <c r="G143" s="236"/>
    </row>
    <row r="144" spans="3:7" x14ac:dyDescent="0.25">
      <c r="C144" s="236"/>
      <c r="D144" s="236"/>
      <c r="E144" s="236"/>
      <c r="F144" s="236"/>
      <c r="G144" s="236"/>
    </row>
    <row r="145" spans="3:7" x14ac:dyDescent="0.25">
      <c r="C145" s="236"/>
      <c r="D145" s="236"/>
      <c r="E145" s="236"/>
      <c r="F145" s="236"/>
      <c r="G145" s="236"/>
    </row>
    <row r="146" spans="3:7" x14ac:dyDescent="0.25">
      <c r="C146" s="236"/>
      <c r="D146" s="236"/>
      <c r="E146" s="236"/>
      <c r="F146" s="236"/>
      <c r="G146" s="236"/>
    </row>
    <row r="147" spans="3:7" x14ac:dyDescent="0.25">
      <c r="C147" s="236"/>
      <c r="D147" s="236"/>
      <c r="E147" s="236"/>
      <c r="F147" s="236"/>
      <c r="G147" s="236"/>
    </row>
    <row r="148" spans="3:7" x14ac:dyDescent="0.25">
      <c r="C148" s="236"/>
      <c r="D148" s="236"/>
      <c r="E148" s="236"/>
      <c r="F148" s="236"/>
      <c r="G148" s="236"/>
    </row>
    <row r="149" spans="3:7" x14ac:dyDescent="0.25">
      <c r="C149" s="236"/>
      <c r="D149" s="236"/>
      <c r="E149" s="236"/>
      <c r="F149" s="236"/>
      <c r="G149" s="236"/>
    </row>
    <row r="150" spans="3:7" x14ac:dyDescent="0.25">
      <c r="C150" s="236"/>
      <c r="D150" s="236"/>
      <c r="E150" s="236"/>
      <c r="F150" s="236"/>
      <c r="G150" s="236"/>
    </row>
    <row r="151" spans="3:7" x14ac:dyDescent="0.25">
      <c r="C151" s="236"/>
      <c r="D151" s="236"/>
      <c r="E151" s="236"/>
      <c r="F151" s="236"/>
      <c r="G151" s="236"/>
    </row>
    <row r="152" spans="3:7" x14ac:dyDescent="0.25">
      <c r="C152" s="236"/>
      <c r="D152" s="236"/>
      <c r="E152" s="236"/>
      <c r="F152" s="236"/>
      <c r="G152" s="236"/>
    </row>
    <row r="153" spans="3:7" x14ac:dyDescent="0.25">
      <c r="C153" s="236"/>
      <c r="D153" s="236"/>
      <c r="E153" s="236"/>
      <c r="F153" s="236"/>
      <c r="G153" s="236"/>
    </row>
    <row r="154" spans="3:7" x14ac:dyDescent="0.25">
      <c r="C154" s="236"/>
      <c r="D154" s="236"/>
      <c r="E154" s="236"/>
      <c r="F154" s="236"/>
      <c r="G154" s="236"/>
    </row>
    <row r="155" spans="3:7" x14ac:dyDescent="0.25">
      <c r="C155" s="236"/>
      <c r="D155" s="236"/>
      <c r="E155" s="236"/>
      <c r="F155" s="236"/>
      <c r="G155" s="236"/>
    </row>
    <row r="156" spans="3:7" x14ac:dyDescent="0.25">
      <c r="C156" s="236"/>
      <c r="D156" s="236"/>
      <c r="E156" s="236"/>
      <c r="F156" s="236"/>
      <c r="G156" s="236"/>
    </row>
    <row r="157" spans="3:7" x14ac:dyDescent="0.25">
      <c r="C157" s="236"/>
      <c r="D157" s="236"/>
      <c r="E157" s="236"/>
      <c r="F157" s="236"/>
      <c r="G157" s="236"/>
    </row>
    <row r="158" spans="3:7" x14ac:dyDescent="0.25">
      <c r="C158" s="236"/>
      <c r="D158" s="236"/>
      <c r="E158" s="236"/>
      <c r="F158" s="236"/>
      <c r="G158" s="236"/>
    </row>
    <row r="159" spans="3:7" x14ac:dyDescent="0.25">
      <c r="C159" s="236"/>
      <c r="D159" s="236"/>
      <c r="E159" s="236"/>
      <c r="F159" s="236"/>
      <c r="G159" s="236"/>
    </row>
    <row r="160" spans="3:7" x14ac:dyDescent="0.25">
      <c r="C160" s="236"/>
      <c r="D160" s="236"/>
      <c r="E160" s="236"/>
      <c r="F160" s="236"/>
      <c r="G160" s="236"/>
    </row>
    <row r="161" spans="3:7" x14ac:dyDescent="0.25">
      <c r="C161" s="236"/>
      <c r="D161" s="236"/>
      <c r="E161" s="236"/>
      <c r="F161" s="236"/>
      <c r="G161" s="236"/>
    </row>
    <row r="162" spans="3:7" ht="16.5" thickBot="1" x14ac:dyDescent="0.3">
      <c r="F162" s="501">
        <f>SUM(F124:F161)</f>
        <v>0</v>
      </c>
      <c r="G162" s="501">
        <f>SUM(G124:G161)</f>
        <v>0</v>
      </c>
    </row>
    <row r="163" spans="3:7" ht="16.5" thickTop="1" x14ac:dyDescent="0.25"/>
    <row r="164" spans="3:7" x14ac:dyDescent="0.25">
      <c r="C164" s="2" t="s">
        <v>1201</v>
      </c>
    </row>
    <row r="166" spans="3:7" x14ac:dyDescent="0.25">
      <c r="C166" s="236"/>
      <c r="D166" s="236"/>
      <c r="E166" s="236"/>
      <c r="F166" s="236"/>
      <c r="G166" s="236"/>
    </row>
    <row r="167" spans="3:7" x14ac:dyDescent="0.25">
      <c r="C167" s="236"/>
      <c r="D167" s="236"/>
      <c r="E167" s="236"/>
      <c r="F167" s="236"/>
      <c r="G167" s="236"/>
    </row>
    <row r="168" spans="3:7" x14ac:dyDescent="0.25">
      <c r="C168" s="236"/>
      <c r="D168" s="236"/>
      <c r="E168" s="236"/>
      <c r="F168" s="236"/>
      <c r="G168" s="236"/>
    </row>
    <row r="169" spans="3:7" x14ac:dyDescent="0.25">
      <c r="C169" s="236"/>
      <c r="D169" s="236"/>
      <c r="E169" s="236"/>
      <c r="F169" s="236"/>
      <c r="G169" s="236"/>
    </row>
    <row r="170" spans="3:7" x14ac:dyDescent="0.25">
      <c r="C170" s="236"/>
      <c r="D170" s="236"/>
      <c r="E170" s="236"/>
      <c r="F170" s="236"/>
      <c r="G170" s="236"/>
    </row>
    <row r="171" spans="3:7" x14ac:dyDescent="0.25">
      <c r="C171" s="236"/>
      <c r="D171" s="236"/>
      <c r="E171" s="236"/>
      <c r="F171" s="236"/>
      <c r="G171" s="236"/>
    </row>
    <row r="172" spans="3:7" x14ac:dyDescent="0.25">
      <c r="C172" s="236"/>
      <c r="D172" s="236"/>
      <c r="E172" s="236"/>
      <c r="F172" s="236"/>
      <c r="G172" s="236"/>
    </row>
    <row r="173" spans="3:7" x14ac:dyDescent="0.25">
      <c r="C173" s="236"/>
      <c r="D173" s="236"/>
      <c r="E173" s="236"/>
      <c r="F173" s="236"/>
      <c r="G173" s="236"/>
    </row>
    <row r="174" spans="3:7" x14ac:dyDescent="0.25">
      <c r="C174" s="236"/>
      <c r="D174" s="236"/>
      <c r="E174" s="236"/>
      <c r="F174" s="236"/>
      <c r="G174" s="236"/>
    </row>
    <row r="175" spans="3:7" x14ac:dyDescent="0.25">
      <c r="C175" s="236"/>
      <c r="D175" s="236"/>
      <c r="E175" s="236"/>
      <c r="F175" s="236"/>
      <c r="G175" s="236"/>
    </row>
    <row r="176" spans="3:7" x14ac:dyDescent="0.25">
      <c r="C176" s="236"/>
      <c r="D176" s="236"/>
      <c r="E176" s="236"/>
      <c r="F176" s="236"/>
      <c r="G176" s="236"/>
    </row>
    <row r="177" spans="3:7" x14ac:dyDescent="0.25">
      <c r="C177" s="236"/>
      <c r="D177" s="236"/>
      <c r="E177" s="236"/>
      <c r="F177" s="236"/>
      <c r="G177" s="236"/>
    </row>
    <row r="178" spans="3:7" x14ac:dyDescent="0.25">
      <c r="C178" s="236"/>
      <c r="D178" s="236"/>
      <c r="E178" s="236"/>
      <c r="F178" s="236"/>
      <c r="G178" s="236"/>
    </row>
    <row r="179" spans="3:7" x14ac:dyDescent="0.25">
      <c r="C179" s="236"/>
      <c r="D179" s="236"/>
      <c r="E179" s="236"/>
      <c r="F179" s="236"/>
      <c r="G179" s="236"/>
    </row>
    <row r="180" spans="3:7" x14ac:dyDescent="0.25">
      <c r="C180" s="236"/>
      <c r="D180" s="236"/>
      <c r="E180" s="236"/>
      <c r="F180" s="236"/>
      <c r="G180" s="236"/>
    </row>
    <row r="181" spans="3:7" x14ac:dyDescent="0.25">
      <c r="C181" s="236"/>
      <c r="D181" s="236"/>
      <c r="E181" s="236"/>
      <c r="F181" s="236"/>
      <c r="G181" s="236"/>
    </row>
    <row r="182" spans="3:7" x14ac:dyDescent="0.25">
      <c r="C182" s="236"/>
      <c r="D182" s="236"/>
      <c r="E182" s="236"/>
      <c r="F182" s="236"/>
      <c r="G182" s="236"/>
    </row>
    <row r="183" spans="3:7" x14ac:dyDescent="0.25">
      <c r="C183" s="236"/>
      <c r="D183" s="236"/>
      <c r="E183" s="236"/>
      <c r="F183" s="236"/>
      <c r="G183" s="236"/>
    </row>
    <row r="184" spans="3:7" x14ac:dyDescent="0.25">
      <c r="C184" s="236"/>
      <c r="D184" s="236"/>
      <c r="E184" s="236"/>
      <c r="F184" s="236"/>
      <c r="G184" s="236"/>
    </row>
    <row r="185" spans="3:7" x14ac:dyDescent="0.25">
      <c r="C185" s="236"/>
      <c r="D185" s="236"/>
      <c r="E185" s="236"/>
      <c r="F185" s="236"/>
      <c r="G185" s="236"/>
    </row>
    <row r="186" spans="3:7" x14ac:dyDescent="0.25">
      <c r="C186" s="236"/>
      <c r="D186" s="236"/>
      <c r="E186" s="236"/>
      <c r="F186" s="236"/>
      <c r="G186" s="236"/>
    </row>
    <row r="187" spans="3:7" x14ac:dyDescent="0.25">
      <c r="C187" s="236"/>
      <c r="D187" s="236"/>
      <c r="E187" s="236"/>
      <c r="F187" s="236"/>
      <c r="G187" s="236"/>
    </row>
    <row r="188" spans="3:7" x14ac:dyDescent="0.25">
      <c r="C188" s="236"/>
      <c r="D188" s="236"/>
      <c r="E188" s="236"/>
      <c r="F188" s="236"/>
      <c r="G188" s="236"/>
    </row>
    <row r="189" spans="3:7" x14ac:dyDescent="0.25">
      <c r="C189" s="236"/>
      <c r="D189" s="236"/>
      <c r="E189" s="236"/>
      <c r="F189" s="236"/>
      <c r="G189" s="236"/>
    </row>
    <row r="190" spans="3:7" x14ac:dyDescent="0.25">
      <c r="C190" s="236"/>
      <c r="D190" s="236"/>
      <c r="E190" s="236"/>
      <c r="F190" s="236"/>
      <c r="G190" s="236"/>
    </row>
    <row r="191" spans="3:7" x14ac:dyDescent="0.25">
      <c r="C191" s="236"/>
      <c r="D191" s="236"/>
      <c r="E191" s="236"/>
      <c r="F191" s="236"/>
      <c r="G191" s="236"/>
    </row>
    <row r="192" spans="3:7" x14ac:dyDescent="0.25">
      <c r="C192" s="236"/>
      <c r="D192" s="236"/>
      <c r="E192" s="236"/>
      <c r="F192" s="236"/>
      <c r="G192" s="236"/>
    </row>
    <row r="193" spans="3:10" x14ac:dyDescent="0.25">
      <c r="C193" s="236"/>
      <c r="D193" s="236"/>
      <c r="E193" s="236"/>
      <c r="F193" s="236"/>
      <c r="G193" s="236"/>
    </row>
    <row r="194" spans="3:10" x14ac:dyDescent="0.25">
      <c r="C194" s="236"/>
      <c r="D194" s="236"/>
      <c r="E194" s="236"/>
      <c r="F194" s="236"/>
      <c r="G194" s="236"/>
    </row>
    <row r="195" spans="3:10" x14ac:dyDescent="0.25">
      <c r="C195" s="236"/>
      <c r="D195" s="236"/>
      <c r="E195" s="236"/>
      <c r="F195" s="236"/>
      <c r="G195" s="236"/>
    </row>
    <row r="196" spans="3:10" x14ac:dyDescent="0.25">
      <c r="C196" s="236"/>
      <c r="D196" s="236"/>
      <c r="E196" s="236"/>
      <c r="F196" s="236"/>
      <c r="G196" s="236"/>
    </row>
    <row r="197" spans="3:10" x14ac:dyDescent="0.25">
      <c r="C197" s="236"/>
      <c r="D197" s="236"/>
      <c r="E197" s="236"/>
      <c r="F197" s="236"/>
      <c r="G197" s="236"/>
    </row>
    <row r="198" spans="3:10" x14ac:dyDescent="0.25">
      <c r="C198" s="236"/>
      <c r="D198" s="236"/>
      <c r="E198" s="236"/>
      <c r="F198" s="236"/>
      <c r="G198" s="236"/>
    </row>
    <row r="199" spans="3:10" x14ac:dyDescent="0.25">
      <c r="C199" s="236"/>
      <c r="D199" s="236"/>
      <c r="E199" s="236"/>
      <c r="F199" s="236"/>
      <c r="G199" s="236"/>
    </row>
    <row r="200" spans="3:10" x14ac:dyDescent="0.25">
      <c r="C200" s="236"/>
      <c r="D200" s="236"/>
      <c r="E200" s="236"/>
      <c r="F200" s="236"/>
      <c r="G200" s="236"/>
    </row>
    <row r="201" spans="3:10" x14ac:dyDescent="0.25">
      <c r="C201" s="236"/>
      <c r="D201" s="236"/>
      <c r="E201" s="236"/>
      <c r="F201" s="236"/>
      <c r="G201" s="236"/>
    </row>
    <row r="202" spans="3:10" x14ac:dyDescent="0.25">
      <c r="C202" s="236"/>
      <c r="D202" s="236"/>
      <c r="E202" s="236"/>
      <c r="F202" s="236"/>
      <c r="G202" s="236"/>
    </row>
    <row r="203" spans="3:10" x14ac:dyDescent="0.25">
      <c r="C203" s="236"/>
      <c r="D203" s="236"/>
      <c r="E203" s="236"/>
      <c r="F203" s="236"/>
      <c r="G203" s="236"/>
    </row>
    <row r="204" spans="3:10" ht="16.5" thickBot="1" x14ac:dyDescent="0.3">
      <c r="F204" s="501">
        <f>SUM(F166:F203)</f>
        <v>0</v>
      </c>
      <c r="G204" s="501">
        <f>SUM(G166:G203)</f>
        <v>0</v>
      </c>
    </row>
    <row r="205" spans="3:10" ht="16.5" thickTop="1" x14ac:dyDescent="0.25"/>
    <row r="206" spans="3:10" x14ac:dyDescent="0.25">
      <c r="C206" s="17" t="s">
        <v>1107</v>
      </c>
      <c r="F206" s="229"/>
      <c r="G206" s="229" t="s">
        <v>380</v>
      </c>
      <c r="H206" s="229" t="s">
        <v>814</v>
      </c>
      <c r="I206" s="229" t="s">
        <v>815</v>
      </c>
      <c r="J206" s="229" t="s">
        <v>381</v>
      </c>
    </row>
    <row r="207" spans="3:10" x14ac:dyDescent="0.25">
      <c r="F207" s="230" t="s">
        <v>959</v>
      </c>
      <c r="G207" s="230" t="s">
        <v>554</v>
      </c>
      <c r="H207" s="230" t="s">
        <v>555</v>
      </c>
      <c r="I207" s="230" t="s">
        <v>554</v>
      </c>
      <c r="J207" s="230" t="s">
        <v>732</v>
      </c>
    </row>
    <row r="208" spans="3:10" x14ac:dyDescent="0.25">
      <c r="C208" s="2" t="s">
        <v>47</v>
      </c>
      <c r="F208" s="231">
        <v>0.02</v>
      </c>
      <c r="G208" s="231">
        <v>0.2</v>
      </c>
      <c r="H208" s="231">
        <v>0.2</v>
      </c>
      <c r="I208" s="231">
        <v>0.33339999999999997</v>
      </c>
      <c r="J208" s="231">
        <v>0.2</v>
      </c>
    </row>
    <row r="209" spans="3:14" x14ac:dyDescent="0.25">
      <c r="F209" s="232" t="s">
        <v>740</v>
      </c>
      <c r="G209" s="232" t="s">
        <v>740</v>
      </c>
      <c r="H209" s="232" t="s">
        <v>740</v>
      </c>
      <c r="I209" s="232" t="s">
        <v>740</v>
      </c>
      <c r="J209" s="232" t="s">
        <v>740</v>
      </c>
    </row>
    <row r="212" spans="3:14" x14ac:dyDescent="0.25">
      <c r="C212" s="17" t="s">
        <v>741</v>
      </c>
      <c r="F212" s="18" t="str">
        <f t="shared" ref="F212:I213" si="1">G206</f>
        <v>Plant and</v>
      </c>
      <c r="G212" s="18" t="str">
        <f t="shared" si="1"/>
        <v>Motor</v>
      </c>
      <c r="H212" s="18" t="str">
        <f t="shared" si="1"/>
        <v>Electronic</v>
      </c>
      <c r="I212" s="18" t="str">
        <f t="shared" si="1"/>
        <v>Furniture and</v>
      </c>
      <c r="J212" s="18"/>
      <c r="L212" s="7"/>
      <c r="M212" s="7"/>
    </row>
    <row r="213" spans="3:14" x14ac:dyDescent="0.25">
      <c r="F213" s="22" t="str">
        <f t="shared" si="1"/>
        <v>equipment</v>
      </c>
      <c r="G213" s="22" t="str">
        <f t="shared" si="1"/>
        <v>vehicles</v>
      </c>
      <c r="H213" s="22" t="str">
        <f t="shared" si="1"/>
        <v>equipment</v>
      </c>
      <c r="I213" s="22" t="str">
        <f t="shared" si="1"/>
        <v>fittings</v>
      </c>
      <c r="J213" s="22" t="s">
        <v>382</v>
      </c>
      <c r="L213" s="7"/>
      <c r="M213" s="7"/>
    </row>
    <row r="214" spans="3:14" x14ac:dyDescent="0.25">
      <c r="C214" s="2" t="s">
        <v>201</v>
      </c>
      <c r="E214" s="9">
        <f>G21</f>
        <v>44985</v>
      </c>
      <c r="F214" s="179">
        <f>F217-F218</f>
        <v>0</v>
      </c>
      <c r="G214" s="180">
        <f>G217-G218</f>
        <v>0</v>
      </c>
      <c r="H214" s="179">
        <f>H217-H218</f>
        <v>0</v>
      </c>
      <c r="I214" s="179">
        <f>I217-I218</f>
        <v>0</v>
      </c>
      <c r="J214" s="179">
        <f>J217-J218</f>
        <v>0</v>
      </c>
      <c r="L214" s="7"/>
      <c r="M214" s="7"/>
      <c r="N214" s="4"/>
    </row>
    <row r="215" spans="3:14" ht="3.6" customHeight="1" x14ac:dyDescent="0.25">
      <c r="E215" s="9"/>
      <c r="F215" s="179"/>
      <c r="G215" s="180"/>
      <c r="H215" s="179"/>
      <c r="I215" s="179"/>
      <c r="J215" s="179"/>
      <c r="L215" s="7"/>
      <c r="M215" s="7"/>
      <c r="N215" s="4"/>
    </row>
    <row r="216" spans="3:14" ht="4.1500000000000004" customHeight="1" x14ac:dyDescent="0.25">
      <c r="E216" s="9"/>
      <c r="F216" s="181"/>
      <c r="G216" s="182"/>
      <c r="H216" s="183"/>
      <c r="I216" s="183"/>
      <c r="J216" s="184"/>
      <c r="L216" s="7"/>
      <c r="M216" s="7"/>
      <c r="N216" s="4"/>
    </row>
    <row r="217" spans="3:14" x14ac:dyDescent="0.25">
      <c r="C217" s="2" t="s">
        <v>383</v>
      </c>
      <c r="E217" s="7"/>
      <c r="F217" s="233"/>
      <c r="G217" s="234"/>
      <c r="H217" s="235"/>
      <c r="I217" s="235"/>
      <c r="J217" s="185">
        <f>SUM(F217:I217)</f>
        <v>0</v>
      </c>
      <c r="L217" s="7"/>
      <c r="M217" s="7"/>
      <c r="N217" s="4"/>
    </row>
    <row r="218" spans="3:14" x14ac:dyDescent="0.25">
      <c r="C218" s="2" t="s">
        <v>742</v>
      </c>
      <c r="E218" s="7"/>
      <c r="F218" s="233"/>
      <c r="G218" s="234"/>
      <c r="H218" s="235"/>
      <c r="I218" s="235"/>
      <c r="J218" s="185">
        <f>SUM(F218:I218)</f>
        <v>0</v>
      </c>
      <c r="L218" s="7"/>
      <c r="M218" s="7"/>
      <c r="N218" s="4"/>
    </row>
    <row r="219" spans="3:14" ht="3.6" customHeight="1" x14ac:dyDescent="0.25">
      <c r="C219" s="1"/>
      <c r="E219" s="7"/>
      <c r="F219" s="186"/>
      <c r="G219" s="187"/>
      <c r="H219" s="187"/>
      <c r="I219" s="187"/>
      <c r="J219" s="188"/>
      <c r="L219" s="7"/>
      <c r="M219" s="7"/>
      <c r="N219" s="4"/>
    </row>
    <row r="220" spans="3:14" x14ac:dyDescent="0.25">
      <c r="E220" s="7"/>
      <c r="F220" s="179"/>
      <c r="G220" s="179"/>
      <c r="H220" s="179"/>
      <c r="I220" s="179"/>
      <c r="J220" s="179"/>
      <c r="L220" s="7"/>
      <c r="M220" s="7"/>
      <c r="N220" s="4"/>
    </row>
    <row r="221" spans="3:14" x14ac:dyDescent="0.25">
      <c r="C221" s="2" t="s">
        <v>201</v>
      </c>
      <c r="E221" s="9">
        <f>G20</f>
        <v>45351</v>
      </c>
      <c r="F221" s="179">
        <f>F224-F225</f>
        <v>0</v>
      </c>
      <c r="G221" s="179">
        <f>G224-G225</f>
        <v>0</v>
      </c>
      <c r="H221" s="179">
        <f>H224-H225</f>
        <v>0</v>
      </c>
      <c r="I221" s="179">
        <f>I224-I225</f>
        <v>0</v>
      </c>
      <c r="J221" s="179">
        <f>J224-J225</f>
        <v>0</v>
      </c>
      <c r="L221" s="7"/>
      <c r="M221" s="7"/>
      <c r="N221" s="4"/>
    </row>
    <row r="222" spans="3:14" ht="3.6" customHeight="1" x14ac:dyDescent="0.25">
      <c r="E222" s="9"/>
      <c r="F222" s="179"/>
      <c r="G222" s="179"/>
      <c r="H222" s="179"/>
      <c r="I222" s="179"/>
      <c r="J222" s="179"/>
      <c r="L222" s="7"/>
      <c r="M222" s="7"/>
      <c r="N222" s="4"/>
    </row>
    <row r="223" spans="3:14" ht="3.6" customHeight="1" x14ac:dyDescent="0.25">
      <c r="E223" s="9"/>
      <c r="F223" s="181"/>
      <c r="G223" s="183"/>
      <c r="H223" s="183"/>
      <c r="I223" s="183"/>
      <c r="J223" s="184"/>
      <c r="L223" s="7"/>
      <c r="M223" s="7"/>
      <c r="N223" s="4"/>
    </row>
    <row r="224" spans="3:14" x14ac:dyDescent="0.25">
      <c r="C224" s="2" t="s">
        <v>383</v>
      </c>
      <c r="E224" s="7"/>
      <c r="F224" s="233"/>
      <c r="G224" s="234"/>
      <c r="H224" s="235"/>
      <c r="I224" s="235"/>
      <c r="J224" s="185">
        <f>SUM(F224:I224)</f>
        <v>0</v>
      </c>
      <c r="L224" s="7"/>
      <c r="M224" s="7"/>
      <c r="N224" s="4"/>
    </row>
    <row r="225" spans="3:14" x14ac:dyDescent="0.25">
      <c r="C225" s="2" t="s">
        <v>742</v>
      </c>
      <c r="E225" s="7"/>
      <c r="F225" s="233"/>
      <c r="G225" s="234"/>
      <c r="H225" s="235"/>
      <c r="I225" s="235"/>
      <c r="J225" s="185">
        <f>SUM(F225:I225)</f>
        <v>0</v>
      </c>
      <c r="L225" s="7"/>
      <c r="M225" s="7"/>
      <c r="N225" s="4"/>
    </row>
    <row r="226" spans="3:14" ht="3.6" customHeight="1" x14ac:dyDescent="0.25">
      <c r="E226" s="7"/>
      <c r="F226" s="186"/>
      <c r="G226" s="187"/>
      <c r="H226" s="187"/>
      <c r="I226" s="187"/>
      <c r="J226" s="188"/>
      <c r="L226" s="7"/>
      <c r="M226" s="7"/>
      <c r="N226" s="4"/>
    </row>
    <row r="228" spans="3:14" x14ac:dyDescent="0.25">
      <c r="C228" s="17" t="s">
        <v>971</v>
      </c>
    </row>
    <row r="229" spans="3:14" x14ac:dyDescent="0.25">
      <c r="C229" s="2" t="s">
        <v>976</v>
      </c>
      <c r="F229" s="233">
        <v>10</v>
      </c>
      <c r="G229" s="2" t="s">
        <v>977</v>
      </c>
    </row>
    <row r="231" spans="3:14" x14ac:dyDescent="0.25">
      <c r="C231" s="17" t="s">
        <v>87</v>
      </c>
      <c r="G231" s="5">
        <f>E22</f>
        <v>2024</v>
      </c>
      <c r="H231" s="5">
        <f>E27</f>
        <v>2023</v>
      </c>
    </row>
    <row r="232" spans="3:14" x14ac:dyDescent="0.25">
      <c r="F232" s="24" t="s">
        <v>89</v>
      </c>
    </row>
    <row r="233" spans="3:14" x14ac:dyDescent="0.25">
      <c r="F233" s="24"/>
    </row>
    <row r="234" spans="3:14" x14ac:dyDescent="0.25">
      <c r="C234" s="2" t="s">
        <v>751</v>
      </c>
      <c r="F234" s="92">
        <f>SUM(TrialBalance!L306:L311)</f>
        <v>0</v>
      </c>
      <c r="G234" s="518" t="s">
        <v>706</v>
      </c>
      <c r="H234" s="518"/>
    </row>
    <row r="235" spans="3:14" x14ac:dyDescent="0.25">
      <c r="C235" s="2" t="s">
        <v>743</v>
      </c>
      <c r="F235" s="92"/>
      <c r="G235" s="236"/>
      <c r="H235" s="236"/>
    </row>
    <row r="236" spans="3:14" x14ac:dyDescent="0.25">
      <c r="F236" s="92"/>
    </row>
    <row r="237" spans="3:14" x14ac:dyDescent="0.25">
      <c r="C237" s="2" t="s">
        <v>744</v>
      </c>
      <c r="F237" s="92">
        <f>SUM(TrialBalance!L312:L317)</f>
        <v>0</v>
      </c>
      <c r="G237" s="518" t="s">
        <v>706</v>
      </c>
      <c r="H237" s="518"/>
    </row>
    <row r="238" spans="3:14" x14ac:dyDescent="0.25">
      <c r="C238" s="2" t="s">
        <v>745</v>
      </c>
      <c r="F238" s="92"/>
      <c r="G238" s="236"/>
      <c r="H238" s="236"/>
    </row>
    <row r="240" spans="3:14" x14ac:dyDescent="0.25">
      <c r="C240" s="17" t="s">
        <v>746</v>
      </c>
    </row>
    <row r="242" spans="3:10" x14ac:dyDescent="0.25">
      <c r="C242" s="2">
        <f>TrialBalance!C320</f>
        <v>0</v>
      </c>
      <c r="E242" s="92">
        <f>TrialBalance!L320</f>
        <v>0</v>
      </c>
      <c r="G242" s="237" t="s">
        <v>374</v>
      </c>
      <c r="H242" s="124"/>
      <c r="I242" s="124"/>
      <c r="J242" s="124"/>
    </row>
    <row r="243" spans="3:10" x14ac:dyDescent="0.25">
      <c r="E243" s="92"/>
      <c r="G243" s="237" t="s">
        <v>375</v>
      </c>
      <c r="H243" s="124"/>
      <c r="I243" s="124"/>
      <c r="J243" s="124"/>
    </row>
    <row r="244" spans="3:10" x14ac:dyDescent="0.25">
      <c r="E244" s="92"/>
    </row>
    <row r="245" spans="3:10" x14ac:dyDescent="0.25">
      <c r="C245" s="2">
        <f>TrialBalance!C321</f>
        <v>0</v>
      </c>
      <c r="E245" s="92">
        <f>TrialBalance!L321</f>
        <v>0</v>
      </c>
      <c r="G245" s="237" t="s">
        <v>374</v>
      </c>
      <c r="H245" s="124"/>
      <c r="I245" s="124"/>
      <c r="J245" s="124"/>
    </row>
    <row r="246" spans="3:10" x14ac:dyDescent="0.25">
      <c r="E246" s="92"/>
      <c r="G246" s="237" t="s">
        <v>375</v>
      </c>
      <c r="H246" s="124"/>
      <c r="I246" s="124"/>
      <c r="J246" s="124"/>
    </row>
    <row r="247" spans="3:10" x14ac:dyDescent="0.25">
      <c r="E247" s="92"/>
    </row>
    <row r="248" spans="3:10" x14ac:dyDescent="0.25">
      <c r="C248" s="2">
        <f>TrialBalance!C322</f>
        <v>0</v>
      </c>
      <c r="E248" s="92">
        <f>TrialBalance!L322</f>
        <v>0</v>
      </c>
      <c r="G248" s="237" t="s">
        <v>374</v>
      </c>
      <c r="H248" s="124"/>
      <c r="I248" s="124"/>
      <c r="J248" s="124"/>
    </row>
    <row r="249" spans="3:10" x14ac:dyDescent="0.25">
      <c r="E249" s="92"/>
      <c r="G249" s="237" t="s">
        <v>375</v>
      </c>
      <c r="H249" s="124"/>
      <c r="I249" s="124"/>
      <c r="J249" s="124"/>
    </row>
    <row r="250" spans="3:10" x14ac:dyDescent="0.25">
      <c r="E250" s="92"/>
    </row>
    <row r="251" spans="3:10" x14ac:dyDescent="0.25">
      <c r="C251" s="2">
        <f>TrialBalance!C329</f>
        <v>0</v>
      </c>
      <c r="E251" s="92">
        <f>TrialBalance!L329</f>
        <v>0</v>
      </c>
      <c r="G251" s="237" t="s">
        <v>374</v>
      </c>
      <c r="H251" s="124"/>
      <c r="I251" s="124"/>
      <c r="J251" s="124"/>
    </row>
    <row r="252" spans="3:10" x14ac:dyDescent="0.25">
      <c r="E252" s="92"/>
      <c r="G252" s="237" t="s">
        <v>375</v>
      </c>
      <c r="H252" s="124"/>
      <c r="I252" s="124"/>
      <c r="J252" s="124"/>
    </row>
    <row r="253" spans="3:10" x14ac:dyDescent="0.25">
      <c r="E253" s="92"/>
    </row>
    <row r="254" spans="3:10" x14ac:dyDescent="0.25">
      <c r="C254" s="2">
        <f>TrialBalance!C343</f>
        <v>0</v>
      </c>
      <c r="E254" s="92">
        <f>TrialBalance!L343</f>
        <v>0</v>
      </c>
      <c r="G254" s="237" t="s">
        <v>374</v>
      </c>
      <c r="H254" s="124"/>
      <c r="I254" s="124"/>
      <c r="J254" s="124"/>
    </row>
    <row r="255" spans="3:10" x14ac:dyDescent="0.25">
      <c r="E255" s="92"/>
      <c r="G255" s="237" t="s">
        <v>375</v>
      </c>
      <c r="H255" s="124"/>
      <c r="I255" s="124"/>
      <c r="J255" s="124"/>
    </row>
    <row r="256" spans="3:10" x14ac:dyDescent="0.25">
      <c r="E256" s="92"/>
    </row>
    <row r="257" spans="3:10" x14ac:dyDescent="0.25">
      <c r="C257" s="2">
        <f>TrialBalance!C344</f>
        <v>0</v>
      </c>
      <c r="E257" s="92">
        <f>TrialBalance!L344</f>
        <v>0</v>
      </c>
      <c r="G257" s="237" t="s">
        <v>374</v>
      </c>
      <c r="H257" s="124"/>
      <c r="I257" s="124"/>
      <c r="J257" s="124"/>
    </row>
    <row r="258" spans="3:10" x14ac:dyDescent="0.25">
      <c r="E258" s="92"/>
      <c r="G258" s="237" t="s">
        <v>375</v>
      </c>
      <c r="H258" s="124"/>
      <c r="I258" s="124"/>
      <c r="J258" s="124"/>
    </row>
    <row r="259" spans="3:10" x14ac:dyDescent="0.25">
      <c r="E259" s="92"/>
    </row>
    <row r="260" spans="3:10" x14ac:dyDescent="0.25">
      <c r="C260" s="2">
        <f>TrialBalance!C345</f>
        <v>0</v>
      </c>
      <c r="E260" s="92">
        <f>TrialBalance!L345</f>
        <v>0</v>
      </c>
      <c r="G260" s="237" t="s">
        <v>374</v>
      </c>
      <c r="H260" s="124"/>
      <c r="I260" s="124"/>
      <c r="J260" s="124"/>
    </row>
    <row r="261" spans="3:10" x14ac:dyDescent="0.25">
      <c r="E261" s="92"/>
      <c r="G261" s="237" t="s">
        <v>375</v>
      </c>
      <c r="H261" s="124"/>
      <c r="I261" s="124"/>
      <c r="J261" s="124"/>
    </row>
    <row r="262" spans="3:10" x14ac:dyDescent="0.25">
      <c r="E262" s="92"/>
    </row>
    <row r="263" spans="3:10" x14ac:dyDescent="0.25">
      <c r="C263" s="2">
        <f>TrialBalance!C346</f>
        <v>0</v>
      </c>
      <c r="E263" s="92">
        <f>TrialBalance!L346</f>
        <v>0</v>
      </c>
      <c r="G263" s="237" t="s">
        <v>374</v>
      </c>
      <c r="H263" s="124"/>
      <c r="I263" s="124"/>
      <c r="J263" s="124"/>
    </row>
    <row r="264" spans="3:10" x14ac:dyDescent="0.25">
      <c r="E264" s="92"/>
      <c r="G264" s="237" t="s">
        <v>375</v>
      </c>
      <c r="H264" s="124"/>
      <c r="I264" s="124"/>
      <c r="J264" s="124"/>
    </row>
    <row r="266" spans="3:10" x14ac:dyDescent="0.25">
      <c r="C266" s="17" t="s">
        <v>724</v>
      </c>
    </row>
    <row r="268" spans="3:10" x14ac:dyDescent="0.25">
      <c r="C268" s="2" t="s">
        <v>747</v>
      </c>
      <c r="G268" s="215" t="s">
        <v>86</v>
      </c>
    </row>
    <row r="270" spans="3:10" x14ac:dyDescent="0.25">
      <c r="F270" s="2" t="s">
        <v>88</v>
      </c>
      <c r="G270" s="237" t="s">
        <v>748</v>
      </c>
      <c r="H270" s="124"/>
      <c r="I270" s="124"/>
    </row>
    <row r="271" spans="3:10" x14ac:dyDescent="0.25">
      <c r="G271" s="237"/>
      <c r="H271" s="124"/>
      <c r="I271" s="124"/>
    </row>
    <row r="273" spans="3:9" x14ac:dyDescent="0.25">
      <c r="C273" s="17" t="s">
        <v>750</v>
      </c>
      <c r="E273" s="24" t="s">
        <v>89</v>
      </c>
    </row>
    <row r="275" spans="3:9" x14ac:dyDescent="0.25">
      <c r="C275" s="2">
        <f>TrialBalance!C185</f>
        <v>0</v>
      </c>
      <c r="E275" s="92">
        <f>-TrialBalance!L185</f>
        <v>0</v>
      </c>
      <c r="F275" s="237" t="s">
        <v>1135</v>
      </c>
      <c r="G275" s="124"/>
      <c r="H275" s="124"/>
      <c r="I275" s="124"/>
    </row>
    <row r="276" spans="3:9" x14ac:dyDescent="0.25">
      <c r="E276" s="92"/>
      <c r="F276" s="237" t="s">
        <v>1136</v>
      </c>
      <c r="G276" s="124"/>
      <c r="H276" s="124"/>
      <c r="I276" s="124"/>
    </row>
    <row r="277" spans="3:9" x14ac:dyDescent="0.25">
      <c r="E277" s="92"/>
      <c r="F277" s="237" t="s">
        <v>1138</v>
      </c>
      <c r="G277" s="124"/>
      <c r="H277" s="124"/>
      <c r="I277" s="124"/>
    </row>
    <row r="278" spans="3:9" x14ac:dyDescent="0.25">
      <c r="E278" s="92"/>
      <c r="F278" s="237" t="s">
        <v>1137</v>
      </c>
      <c r="G278" s="124"/>
      <c r="H278" s="124"/>
      <c r="I278" s="124"/>
    </row>
    <row r="279" spans="3:9" x14ac:dyDescent="0.25">
      <c r="E279" s="92"/>
    </row>
    <row r="280" spans="3:9" x14ac:dyDescent="0.25">
      <c r="C280" s="2">
        <f>TrialBalance!C186</f>
        <v>0</v>
      </c>
      <c r="E280" s="92">
        <f>-TrialBalance!L186</f>
        <v>0</v>
      </c>
      <c r="F280" s="237" t="s">
        <v>1135</v>
      </c>
      <c r="G280" s="124"/>
      <c r="H280" s="124"/>
      <c r="I280" s="124"/>
    </row>
    <row r="281" spans="3:9" x14ac:dyDescent="0.25">
      <c r="E281" s="92"/>
      <c r="F281" s="237" t="s">
        <v>1136</v>
      </c>
      <c r="G281" s="124"/>
      <c r="H281" s="124"/>
      <c r="I281" s="124"/>
    </row>
    <row r="282" spans="3:9" x14ac:dyDescent="0.25">
      <c r="E282" s="92"/>
      <c r="F282" s="237" t="s">
        <v>1138</v>
      </c>
      <c r="G282" s="124"/>
      <c r="H282" s="124"/>
      <c r="I282" s="124"/>
    </row>
    <row r="283" spans="3:9" x14ac:dyDescent="0.25">
      <c r="E283" s="92"/>
      <c r="F283" s="237" t="s">
        <v>1137</v>
      </c>
      <c r="G283" s="124"/>
      <c r="H283" s="124"/>
      <c r="I283" s="124"/>
    </row>
    <row r="284" spans="3:9" x14ac:dyDescent="0.25">
      <c r="E284" s="92"/>
    </row>
    <row r="285" spans="3:9" x14ac:dyDescent="0.25">
      <c r="C285" s="2">
        <f>TrialBalance!C187</f>
        <v>0</v>
      </c>
      <c r="E285" s="92">
        <f>-TrialBalance!L187</f>
        <v>0</v>
      </c>
      <c r="F285" s="237" t="s">
        <v>1135</v>
      </c>
      <c r="G285" s="124"/>
      <c r="H285" s="124"/>
      <c r="I285" s="124"/>
    </row>
    <row r="286" spans="3:9" x14ac:dyDescent="0.25">
      <c r="E286" s="92"/>
      <c r="F286" s="237" t="s">
        <v>1136</v>
      </c>
      <c r="G286" s="124"/>
      <c r="H286" s="124"/>
      <c r="I286" s="124"/>
    </row>
    <row r="287" spans="3:9" x14ac:dyDescent="0.25">
      <c r="E287" s="92"/>
      <c r="F287" s="237" t="s">
        <v>1138</v>
      </c>
      <c r="G287" s="124"/>
      <c r="H287" s="124"/>
      <c r="I287" s="124"/>
    </row>
    <row r="288" spans="3:9" x14ac:dyDescent="0.25">
      <c r="E288" s="92"/>
      <c r="F288" s="237" t="s">
        <v>1137</v>
      </c>
      <c r="G288" s="124"/>
      <c r="H288" s="124"/>
      <c r="I288" s="124"/>
    </row>
    <row r="289" spans="3:9" x14ac:dyDescent="0.25">
      <c r="E289" s="92"/>
    </row>
    <row r="290" spans="3:9" x14ac:dyDescent="0.25">
      <c r="C290" s="2">
        <f>TrialBalance!C188</f>
        <v>0</v>
      </c>
      <c r="E290" s="92">
        <f>-TrialBalance!L188</f>
        <v>0</v>
      </c>
      <c r="F290" s="237" t="s">
        <v>1135</v>
      </c>
      <c r="G290" s="124"/>
      <c r="H290" s="124"/>
      <c r="I290" s="124"/>
    </row>
    <row r="291" spans="3:9" x14ac:dyDescent="0.25">
      <c r="E291" s="92"/>
      <c r="F291" s="237" t="s">
        <v>1136</v>
      </c>
      <c r="G291" s="124"/>
      <c r="H291" s="124"/>
      <c r="I291" s="124"/>
    </row>
    <row r="292" spans="3:9" x14ac:dyDescent="0.25">
      <c r="E292" s="92"/>
      <c r="F292" s="237" t="s">
        <v>1138</v>
      </c>
      <c r="G292" s="124"/>
      <c r="H292" s="124"/>
      <c r="I292" s="124"/>
    </row>
    <row r="293" spans="3:9" x14ac:dyDescent="0.25">
      <c r="E293" s="92"/>
      <c r="F293" s="237" t="s">
        <v>1137</v>
      </c>
      <c r="G293" s="124"/>
      <c r="H293" s="124"/>
      <c r="I293" s="124"/>
    </row>
    <row r="294" spans="3:9" x14ac:dyDescent="0.25">
      <c r="E294" s="92"/>
    </row>
    <row r="295" spans="3:9" x14ac:dyDescent="0.25">
      <c r="C295" s="2">
        <f>TrialBalance!C189</f>
        <v>0</v>
      </c>
      <c r="E295" s="92">
        <f>-TrialBalance!L189</f>
        <v>0</v>
      </c>
      <c r="F295" s="237" t="s">
        <v>1135</v>
      </c>
      <c r="G295" s="124"/>
      <c r="H295" s="124"/>
      <c r="I295" s="124"/>
    </row>
    <row r="296" spans="3:9" x14ac:dyDescent="0.25">
      <c r="E296" s="92"/>
      <c r="F296" s="237" t="s">
        <v>1136</v>
      </c>
      <c r="G296" s="124"/>
      <c r="H296" s="124"/>
      <c r="I296" s="124"/>
    </row>
    <row r="297" spans="3:9" x14ac:dyDescent="0.25">
      <c r="E297" s="92"/>
      <c r="F297" s="237" t="s">
        <v>1138</v>
      </c>
      <c r="G297" s="124"/>
      <c r="H297" s="124"/>
      <c r="I297" s="124"/>
    </row>
    <row r="298" spans="3:9" x14ac:dyDescent="0.25">
      <c r="E298" s="92"/>
      <c r="F298" s="237" t="s">
        <v>1137</v>
      </c>
      <c r="G298" s="124"/>
      <c r="H298" s="124"/>
      <c r="I298" s="124"/>
    </row>
    <row r="299" spans="3:9" x14ac:dyDescent="0.25">
      <c r="E299" s="92"/>
    </row>
    <row r="300" spans="3:9" x14ac:dyDescent="0.25">
      <c r="C300" s="2">
        <f>TrialBalance!C190</f>
        <v>0</v>
      </c>
      <c r="E300" s="92">
        <f>-TrialBalance!L190</f>
        <v>0</v>
      </c>
      <c r="F300" s="237" t="s">
        <v>1135</v>
      </c>
      <c r="G300" s="124"/>
      <c r="H300" s="124"/>
      <c r="I300" s="124"/>
    </row>
    <row r="301" spans="3:9" x14ac:dyDescent="0.25">
      <c r="E301" s="92"/>
      <c r="F301" s="237" t="s">
        <v>1136</v>
      </c>
      <c r="G301" s="124"/>
      <c r="H301" s="124"/>
      <c r="I301" s="124"/>
    </row>
    <row r="302" spans="3:9" x14ac:dyDescent="0.25">
      <c r="E302" s="92"/>
      <c r="F302" s="237" t="s">
        <v>1138</v>
      </c>
      <c r="G302" s="124"/>
      <c r="H302" s="124"/>
      <c r="I302" s="124"/>
    </row>
    <row r="303" spans="3:9" x14ac:dyDescent="0.25">
      <c r="E303" s="92"/>
      <c r="F303" s="237" t="s">
        <v>1137</v>
      </c>
      <c r="G303" s="124"/>
      <c r="H303" s="124"/>
      <c r="I303" s="124"/>
    </row>
    <row r="304" spans="3:9" x14ac:dyDescent="0.25">
      <c r="E304" s="92"/>
    </row>
    <row r="305" spans="3:9" x14ac:dyDescent="0.25">
      <c r="C305" s="2">
        <f>TrialBalance!C191</f>
        <v>0</v>
      </c>
      <c r="E305" s="92">
        <f>-TrialBalance!L191</f>
        <v>0</v>
      </c>
      <c r="F305" s="237" t="s">
        <v>1135</v>
      </c>
      <c r="G305" s="124"/>
      <c r="H305" s="124"/>
      <c r="I305" s="124"/>
    </row>
    <row r="306" spans="3:9" x14ac:dyDescent="0.25">
      <c r="E306" s="92"/>
      <c r="F306" s="237" t="s">
        <v>1136</v>
      </c>
      <c r="G306" s="124"/>
      <c r="H306" s="124"/>
      <c r="I306" s="124"/>
    </row>
    <row r="307" spans="3:9" x14ac:dyDescent="0.25">
      <c r="E307" s="92"/>
      <c r="F307" s="237" t="s">
        <v>1138</v>
      </c>
      <c r="G307" s="124"/>
      <c r="H307" s="124"/>
      <c r="I307" s="124"/>
    </row>
    <row r="308" spans="3:9" x14ac:dyDescent="0.25">
      <c r="E308" s="92"/>
      <c r="F308" s="237" t="s">
        <v>1137</v>
      </c>
      <c r="G308" s="124"/>
      <c r="H308" s="124"/>
      <c r="I308" s="124"/>
    </row>
    <row r="309" spans="3:9" x14ac:dyDescent="0.25">
      <c r="E309" s="92"/>
    </row>
    <row r="310" spans="3:9" x14ac:dyDescent="0.25">
      <c r="C310" s="2">
        <f>TrialBalance!C192</f>
        <v>0</v>
      </c>
      <c r="E310" s="92">
        <f>-TrialBalance!L192</f>
        <v>0</v>
      </c>
      <c r="F310" s="237" t="s">
        <v>1135</v>
      </c>
      <c r="G310" s="124"/>
      <c r="H310" s="124"/>
      <c r="I310" s="124"/>
    </row>
    <row r="311" spans="3:9" x14ac:dyDescent="0.25">
      <c r="E311" s="92"/>
      <c r="F311" s="237" t="s">
        <v>1136</v>
      </c>
      <c r="G311" s="124"/>
      <c r="H311" s="124"/>
      <c r="I311" s="124"/>
    </row>
    <row r="312" spans="3:9" x14ac:dyDescent="0.25">
      <c r="E312" s="92"/>
      <c r="F312" s="237" t="s">
        <v>1138</v>
      </c>
      <c r="G312" s="124"/>
      <c r="H312" s="124"/>
      <c r="I312" s="124"/>
    </row>
    <row r="313" spans="3:9" x14ac:dyDescent="0.25">
      <c r="E313" s="92"/>
      <c r="F313" s="237" t="s">
        <v>1137</v>
      </c>
      <c r="G313" s="124"/>
      <c r="H313" s="124"/>
      <c r="I313" s="124"/>
    </row>
    <row r="314" spans="3:9" x14ac:dyDescent="0.25">
      <c r="E314" s="92"/>
    </row>
    <row r="315" spans="3:9" x14ac:dyDescent="0.25">
      <c r="C315" s="2">
        <f>TrialBalance!C193</f>
        <v>0</v>
      </c>
      <c r="E315" s="92">
        <f>-TrialBalance!L193</f>
        <v>0</v>
      </c>
      <c r="F315" s="237" t="s">
        <v>1135</v>
      </c>
      <c r="G315" s="124"/>
      <c r="H315" s="124"/>
      <c r="I315" s="124"/>
    </row>
    <row r="316" spans="3:9" x14ac:dyDescent="0.25">
      <c r="E316" s="92"/>
      <c r="F316" s="237" t="s">
        <v>1136</v>
      </c>
      <c r="G316" s="124"/>
      <c r="H316" s="124"/>
      <c r="I316" s="124"/>
    </row>
    <row r="317" spans="3:9" x14ac:dyDescent="0.25">
      <c r="E317" s="92"/>
      <c r="F317" s="237" t="s">
        <v>1138</v>
      </c>
      <c r="G317" s="124"/>
      <c r="H317" s="124"/>
      <c r="I317" s="124"/>
    </row>
    <row r="318" spans="3:9" x14ac:dyDescent="0.25">
      <c r="E318" s="92"/>
      <c r="F318" s="237" t="s">
        <v>1137</v>
      </c>
      <c r="G318" s="124"/>
      <c r="H318" s="124"/>
      <c r="I318" s="124"/>
    </row>
    <row r="319" spans="3:9" x14ac:dyDescent="0.25">
      <c r="E319" s="92"/>
    </row>
    <row r="320" spans="3:9" x14ac:dyDescent="0.25">
      <c r="C320" s="2">
        <f>TrialBalance!C194</f>
        <v>0</v>
      </c>
      <c r="E320" s="92">
        <f>-TrialBalance!L194</f>
        <v>0</v>
      </c>
      <c r="F320" s="237" t="s">
        <v>1135</v>
      </c>
      <c r="G320" s="124"/>
      <c r="H320" s="124"/>
      <c r="I320" s="124"/>
    </row>
    <row r="321" spans="3:9" x14ac:dyDescent="0.25">
      <c r="E321" s="92"/>
      <c r="F321" s="237" t="s">
        <v>1136</v>
      </c>
      <c r="G321" s="124"/>
      <c r="H321" s="124"/>
      <c r="I321" s="124"/>
    </row>
    <row r="322" spans="3:9" x14ac:dyDescent="0.25">
      <c r="E322" s="92"/>
      <c r="F322" s="237" t="s">
        <v>1138</v>
      </c>
      <c r="G322" s="124"/>
      <c r="H322" s="124"/>
      <c r="I322" s="124"/>
    </row>
    <row r="323" spans="3:9" x14ac:dyDescent="0.25">
      <c r="E323" s="92"/>
      <c r="F323" s="237" t="s">
        <v>1137</v>
      </c>
      <c r="G323" s="124"/>
      <c r="H323" s="124"/>
      <c r="I323" s="124"/>
    </row>
    <row r="324" spans="3:9" x14ac:dyDescent="0.25">
      <c r="E324" s="92"/>
    </row>
    <row r="325" spans="3:9" x14ac:dyDescent="0.25">
      <c r="C325" s="2">
        <f>TrialBalance!C195</f>
        <v>0</v>
      </c>
      <c r="E325" s="92">
        <f>-TrialBalance!L195</f>
        <v>0</v>
      </c>
      <c r="F325" s="237" t="s">
        <v>1135</v>
      </c>
      <c r="G325" s="124"/>
      <c r="H325" s="124"/>
      <c r="I325" s="124"/>
    </row>
    <row r="326" spans="3:9" x14ac:dyDescent="0.25">
      <c r="C326"/>
      <c r="D326"/>
      <c r="E326" s="172"/>
      <c r="F326" s="237" t="s">
        <v>1136</v>
      </c>
      <c r="G326" s="124"/>
      <c r="H326" s="124"/>
      <c r="I326" s="124"/>
    </row>
    <row r="327" spans="3:9" x14ac:dyDescent="0.25">
      <c r="C327"/>
      <c r="D327"/>
      <c r="E327" s="172"/>
      <c r="F327" s="237" t="s">
        <v>1138</v>
      </c>
      <c r="G327" s="124"/>
      <c r="H327" s="124"/>
      <c r="I327" s="124"/>
    </row>
    <row r="328" spans="3:9" x14ac:dyDescent="0.25">
      <c r="E328" s="92"/>
      <c r="F328" s="237" t="s">
        <v>1137</v>
      </c>
      <c r="G328" s="124"/>
      <c r="H328" s="124"/>
      <c r="I328" s="124"/>
    </row>
    <row r="329" spans="3:9" x14ac:dyDescent="0.25">
      <c r="E329" s="92"/>
    </row>
    <row r="330" spans="3:9" x14ac:dyDescent="0.25">
      <c r="C330" s="2">
        <f>TrialBalance!C196</f>
        <v>0</v>
      </c>
      <c r="E330" s="92">
        <f>-TrialBalance!L196</f>
        <v>0</v>
      </c>
      <c r="F330" s="237" t="s">
        <v>1135</v>
      </c>
      <c r="G330" s="124"/>
      <c r="H330" s="124"/>
      <c r="I330" s="124"/>
    </row>
    <row r="331" spans="3:9" x14ac:dyDescent="0.25">
      <c r="C331"/>
      <c r="D331"/>
      <c r="E331" s="172"/>
      <c r="F331" s="237" t="s">
        <v>1136</v>
      </c>
      <c r="G331" s="124"/>
      <c r="H331" s="124"/>
      <c r="I331" s="124"/>
    </row>
    <row r="332" spans="3:9" x14ac:dyDescent="0.25">
      <c r="E332" s="92"/>
      <c r="F332" s="237" t="s">
        <v>1138</v>
      </c>
      <c r="G332" s="124"/>
      <c r="H332" s="124"/>
      <c r="I332" s="124"/>
    </row>
    <row r="333" spans="3:9" x14ac:dyDescent="0.25">
      <c r="E333" s="92"/>
      <c r="F333" s="237" t="s">
        <v>1137</v>
      </c>
      <c r="G333" s="124"/>
      <c r="H333" s="124"/>
      <c r="I333" s="124"/>
    </row>
    <row r="334" spans="3:9" x14ac:dyDescent="0.25">
      <c r="E334" s="92"/>
    </row>
    <row r="335" spans="3:9" x14ac:dyDescent="0.25">
      <c r="C335" s="2">
        <f>TrialBalance!C197</f>
        <v>0</v>
      </c>
      <c r="E335" s="92">
        <f>-TrialBalance!L197</f>
        <v>0</v>
      </c>
      <c r="F335" s="237" t="s">
        <v>1135</v>
      </c>
      <c r="G335" s="124"/>
      <c r="H335" s="124"/>
      <c r="I335" s="124"/>
    </row>
    <row r="336" spans="3:9" x14ac:dyDescent="0.25">
      <c r="E336" s="92"/>
      <c r="F336" s="237" t="s">
        <v>1136</v>
      </c>
      <c r="G336" s="124"/>
      <c r="H336" s="124"/>
      <c r="I336" s="124"/>
    </row>
    <row r="337" spans="3:9" x14ac:dyDescent="0.25">
      <c r="E337" s="92"/>
      <c r="F337" s="237" t="s">
        <v>1138</v>
      </c>
      <c r="G337" s="124"/>
      <c r="H337" s="124"/>
      <c r="I337" s="124"/>
    </row>
    <row r="338" spans="3:9" x14ac:dyDescent="0.25">
      <c r="E338" s="92"/>
      <c r="F338" s="237" t="s">
        <v>1137</v>
      </c>
      <c r="G338" s="124"/>
      <c r="H338" s="124"/>
      <c r="I338" s="124"/>
    </row>
    <row r="339" spans="3:9" x14ac:dyDescent="0.25">
      <c r="E339" s="92"/>
    </row>
    <row r="340" spans="3:9" x14ac:dyDescent="0.25">
      <c r="C340" s="2">
        <f>TrialBalance!C198</f>
        <v>0</v>
      </c>
      <c r="E340" s="92">
        <f>-TrialBalance!L198</f>
        <v>0</v>
      </c>
      <c r="F340" s="237" t="s">
        <v>1135</v>
      </c>
      <c r="G340" s="124"/>
      <c r="H340" s="124"/>
      <c r="I340" s="124"/>
    </row>
    <row r="341" spans="3:9" x14ac:dyDescent="0.25">
      <c r="E341" s="92"/>
      <c r="F341" s="237" t="s">
        <v>1136</v>
      </c>
      <c r="G341" s="124"/>
      <c r="H341" s="124"/>
      <c r="I341" s="124"/>
    </row>
    <row r="342" spans="3:9" x14ac:dyDescent="0.25">
      <c r="E342" s="92"/>
      <c r="F342" s="237" t="s">
        <v>1138</v>
      </c>
      <c r="G342" s="124"/>
      <c r="H342" s="124"/>
      <c r="I342" s="124"/>
    </row>
    <row r="343" spans="3:9" x14ac:dyDescent="0.25">
      <c r="E343" s="92"/>
      <c r="F343" s="237" t="s">
        <v>1137</v>
      </c>
      <c r="G343" s="124"/>
      <c r="H343" s="124"/>
      <c r="I343" s="124"/>
    </row>
    <row r="344" spans="3:9" x14ac:dyDescent="0.25">
      <c r="E344" s="92"/>
    </row>
    <row r="345" spans="3:9" x14ac:dyDescent="0.25">
      <c r="C345" s="2">
        <f>TrialBalance!C199</f>
        <v>0</v>
      </c>
      <c r="E345" s="92">
        <f>-TrialBalance!L199</f>
        <v>0</v>
      </c>
      <c r="F345" s="237" t="s">
        <v>1135</v>
      </c>
      <c r="G345" s="124"/>
      <c r="H345" s="124"/>
      <c r="I345" s="124"/>
    </row>
    <row r="346" spans="3:9" x14ac:dyDescent="0.25">
      <c r="E346" s="92"/>
      <c r="F346" s="237" t="s">
        <v>1136</v>
      </c>
      <c r="G346" s="124"/>
      <c r="H346" s="124"/>
      <c r="I346" s="124"/>
    </row>
    <row r="347" spans="3:9" x14ac:dyDescent="0.25">
      <c r="E347" s="92"/>
      <c r="F347" s="237" t="s">
        <v>1138</v>
      </c>
      <c r="G347" s="124"/>
      <c r="H347" s="124"/>
      <c r="I347" s="124"/>
    </row>
    <row r="348" spans="3:9" x14ac:dyDescent="0.25">
      <c r="E348" s="92"/>
      <c r="F348" s="237" t="s">
        <v>1137</v>
      </c>
      <c r="G348" s="124"/>
      <c r="H348" s="124"/>
      <c r="I348" s="124"/>
    </row>
    <row r="350" spans="3:9" x14ac:dyDescent="0.25">
      <c r="C350" s="17" t="s">
        <v>1112</v>
      </c>
    </row>
    <row r="351" spans="3:9" x14ac:dyDescent="0.25">
      <c r="C351" s="17"/>
      <c r="F351" s="25">
        <f>E22</f>
        <v>2024</v>
      </c>
      <c r="G351" s="25">
        <f>E27</f>
        <v>2023</v>
      </c>
    </row>
    <row r="353" spans="3:7" x14ac:dyDescent="0.25">
      <c r="C353" s="2" t="s">
        <v>1113</v>
      </c>
      <c r="E353" s="2" t="s">
        <v>1114</v>
      </c>
      <c r="F353" s="236"/>
      <c r="G353" s="236"/>
    </row>
    <row r="354" spans="3:7" x14ac:dyDescent="0.25">
      <c r="E354" s="2" t="s">
        <v>1115</v>
      </c>
      <c r="F354" s="236"/>
      <c r="G354" s="236"/>
    </row>
    <row r="355" spans="3:7" x14ac:dyDescent="0.25">
      <c r="E355" s="2" t="s">
        <v>1116</v>
      </c>
      <c r="F355" s="236"/>
      <c r="G355" s="236"/>
    </row>
    <row r="357" spans="3:7" x14ac:dyDescent="0.25">
      <c r="C357" s="17" t="s">
        <v>1117</v>
      </c>
    </row>
    <row r="358" spans="3:7" x14ac:dyDescent="0.25">
      <c r="C358" s="2" t="s">
        <v>1183</v>
      </c>
    </row>
    <row r="360" spans="3:7" x14ac:dyDescent="0.25">
      <c r="C360" s="2" t="s">
        <v>1113</v>
      </c>
      <c r="E360" s="2" t="s">
        <v>1114</v>
      </c>
      <c r="F360" s="236"/>
      <c r="G360" s="236"/>
    </row>
    <row r="361" spans="3:7" x14ac:dyDescent="0.25">
      <c r="E361" s="2" t="s">
        <v>1115</v>
      </c>
      <c r="F361" s="236"/>
      <c r="G361" s="236"/>
    </row>
    <row r="362" spans="3:7" x14ac:dyDescent="0.25">
      <c r="E362" s="2" t="s">
        <v>1116</v>
      </c>
      <c r="F362" s="236"/>
      <c r="G362" s="236"/>
    </row>
    <row r="364" spans="3:7" ht="19.5" x14ac:dyDescent="0.35">
      <c r="C364" s="120" t="s">
        <v>818</v>
      </c>
    </row>
    <row r="366" spans="3:7" x14ac:dyDescent="0.25">
      <c r="C366" s="2" t="s">
        <v>824</v>
      </c>
    </row>
    <row r="367" spans="3:7" x14ac:dyDescent="0.25">
      <c r="F367" s="2" t="s">
        <v>827</v>
      </c>
    </row>
    <row r="368" spans="3:7" x14ac:dyDescent="0.25">
      <c r="C368" s="2" t="s">
        <v>822</v>
      </c>
      <c r="E368" s="5" t="s">
        <v>825</v>
      </c>
      <c r="F368" s="5" t="s">
        <v>828</v>
      </c>
    </row>
    <row r="369" spans="3:8" x14ac:dyDescent="0.25">
      <c r="C369" s="236"/>
      <c r="E369" s="236"/>
      <c r="F369" s="236"/>
      <c r="G369" s="2">
        <f>IF(COUNTIF(E369:E378,"&gt;0")&gt;0,1,IF(COUNTIF(E369:E378,"&lt;0")&gt;0,1,0))</f>
        <v>0</v>
      </c>
      <c r="H369" s="2">
        <f>IF(COUNTIF(F369:F378,"&gt;0")&gt;0,1,IF(COUNTIF(F369:F378,"&lt;0")&gt;0,1,0))</f>
        <v>0</v>
      </c>
    </row>
    <row r="370" spans="3:8" x14ac:dyDescent="0.25">
      <c r="C370" s="236"/>
      <c r="E370" s="236"/>
      <c r="F370" s="236"/>
    </row>
    <row r="371" spans="3:8" x14ac:dyDescent="0.25">
      <c r="C371" s="236"/>
      <c r="E371" s="236"/>
      <c r="F371" s="236"/>
    </row>
    <row r="372" spans="3:8" x14ac:dyDescent="0.25">
      <c r="C372" s="236"/>
      <c r="E372" s="236"/>
      <c r="F372" s="236"/>
    </row>
    <row r="373" spans="3:8" x14ac:dyDescent="0.25">
      <c r="C373" s="236"/>
      <c r="E373" s="236"/>
      <c r="F373" s="236"/>
    </row>
    <row r="374" spans="3:8" x14ac:dyDescent="0.25">
      <c r="C374" s="236"/>
      <c r="E374" s="236"/>
      <c r="F374" s="236"/>
    </row>
    <row r="375" spans="3:8" x14ac:dyDescent="0.25">
      <c r="C375" s="236"/>
      <c r="E375" s="236"/>
      <c r="F375" s="236"/>
    </row>
    <row r="376" spans="3:8" x14ac:dyDescent="0.25">
      <c r="C376" s="236"/>
      <c r="E376" s="236"/>
      <c r="F376" s="236"/>
    </row>
    <row r="377" spans="3:8" x14ac:dyDescent="0.25">
      <c r="C377" s="236"/>
      <c r="E377" s="236"/>
      <c r="F377" s="236"/>
    </row>
    <row r="378" spans="3:8" x14ac:dyDescent="0.25">
      <c r="C378" s="236"/>
      <c r="E378" s="236"/>
      <c r="F378" s="236"/>
    </row>
  </sheetData>
  <sheetProtection algorithmName="SHA-512" hashValue="gDaCLVuJCNIYJW8gSXP7FYXWp2JpP85ObN6cV6f8v7c0bdJz8YxSlkgsJOFCrGvf0QuT5SVpq1ivChoGRN1AlQ==" saltValue="0t2BaAhPRqkEy9HvGGHONA==" spinCount="100000" sheet="1" objects="1" scenarios="1" selectLockedCells="1"/>
  <mergeCells count="11">
    <mergeCell ref="G234:H234"/>
    <mergeCell ref="G237:H237"/>
    <mergeCell ref="A76:J76"/>
    <mergeCell ref="E11:G11"/>
    <mergeCell ref="E9:G9"/>
    <mergeCell ref="E10:G10"/>
    <mergeCell ref="E13:G13"/>
    <mergeCell ref="E14:G14"/>
    <mergeCell ref="C80:F80"/>
    <mergeCell ref="E15:G15"/>
    <mergeCell ref="E16:G16"/>
  </mergeCells>
  <phoneticPr fontId="0" type="noConversion"/>
  <dataValidations count="1">
    <dataValidation type="list" allowBlank="1" showInputMessage="1" showErrorMessage="1" sqref="E24 G47 F119 F82 F84 F86 F88 F90 F94 F97 G268 F103 F105" xr:uid="{00000000-0002-0000-0300-00000D000000}">
      <formula1>$F$25:$G$25</formula1>
    </dataValidation>
  </dataValidations>
  <hyperlinks>
    <hyperlink ref="E3" r:id="rId1" xr:uid="{E9AA1D72-5443-4E1A-A189-F434B7EA826A}"/>
    <hyperlink ref="E4" r:id="rId2" xr:uid="{BDAD9E5B-AE0F-43B6-9F17-6ECD787EE826}"/>
  </hyperlinks>
  <pageMargins left="0.75" right="0.75" top="1" bottom="1" header="0.5" footer="0.5"/>
  <pageSetup paperSize="9"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38"/>
  <sheetViews>
    <sheetView zoomScale="89" zoomScaleNormal="89" workbookViewId="0">
      <pane xSplit="3" ySplit="3" topLeftCell="D4" activePane="bottomRight" state="frozen"/>
      <selection pane="topRight" activeCell="D1" sqref="D1"/>
      <selection pane="bottomLeft" activeCell="A4" sqref="A4"/>
      <selection pane="bottomRight"/>
    </sheetView>
  </sheetViews>
  <sheetFormatPr defaultRowHeight="12.75" x14ac:dyDescent="0.2"/>
  <cols>
    <col min="1" max="1" width="15.85546875" style="11" bestFit="1" customWidth="1"/>
    <col min="2" max="2" width="8.7109375" bestFit="1" customWidth="1"/>
    <col min="3" max="3" width="37.85546875" style="12" bestFit="1" customWidth="1"/>
    <col min="4" max="5" width="15.28515625" style="125" bestFit="1" customWidth="1"/>
    <col min="6" max="6" width="13.42578125" style="13" customWidth="1"/>
    <col min="7" max="8" width="13.140625" style="13" customWidth="1"/>
    <col min="9" max="9" width="15.85546875" style="13" bestFit="1" customWidth="1"/>
    <col min="10" max="10" width="13.85546875" style="13" bestFit="1" customWidth="1"/>
    <col min="11" max="11" width="15.28515625" style="13" bestFit="1" customWidth="1"/>
    <col min="12" max="12" width="15.85546875" style="155" bestFit="1" customWidth="1"/>
    <col min="13" max="13" width="4.85546875" style="76" customWidth="1"/>
    <col min="14" max="14" width="15.7109375" customWidth="1"/>
    <col min="15" max="15" width="4.140625" customWidth="1"/>
    <col min="16" max="16" width="13.85546875" customWidth="1"/>
    <col min="17" max="17" width="13.85546875" style="42" bestFit="1" customWidth="1"/>
    <col min="18" max="18" width="14.28515625" bestFit="1" customWidth="1"/>
    <col min="19" max="20" width="13.140625" bestFit="1" customWidth="1"/>
    <col min="21" max="21" width="13.85546875" bestFit="1" customWidth="1"/>
  </cols>
  <sheetData>
    <row r="1" spans="1:21" x14ac:dyDescent="0.2">
      <c r="A1" s="257"/>
      <c r="B1" s="258"/>
      <c r="C1" s="258"/>
      <c r="D1" s="524" t="str">
        <f>Criteria!E13</f>
        <v>INVESTMENTS IN FINANCIAL INSTRUMENTS</v>
      </c>
      <c r="E1" s="524"/>
      <c r="F1" s="254" t="str">
        <f>Criteria!E14</f>
        <v>SUBSIDIARY ONE 111 (PTY) LTD</v>
      </c>
      <c r="G1" s="254" t="str">
        <f>Criteria!E15</f>
        <v>SUBSIDIARY TWO 15 (PTY) LTD</v>
      </c>
      <c r="H1" s="254">
        <f>Criteria!E16</f>
        <v>0</v>
      </c>
      <c r="I1" s="259"/>
      <c r="J1" s="260" t="s">
        <v>166</v>
      </c>
      <c r="K1" s="260"/>
      <c r="L1" s="261">
        <f>Criteria!E22</f>
        <v>2024</v>
      </c>
      <c r="M1" s="261"/>
      <c r="N1" s="261">
        <f>Criteria!E27</f>
        <v>2023</v>
      </c>
      <c r="O1" s="258"/>
      <c r="P1" s="526" t="s">
        <v>350</v>
      </c>
      <c r="Q1" s="526"/>
      <c r="S1" s="62"/>
    </row>
    <row r="2" spans="1:21" x14ac:dyDescent="0.2">
      <c r="A2" s="262" t="s">
        <v>1015</v>
      </c>
      <c r="B2" s="258"/>
      <c r="C2" s="258"/>
      <c r="D2" s="525">
        <f>D403-E403</f>
        <v>0</v>
      </c>
      <c r="E2" s="525"/>
      <c r="F2" s="263">
        <f>F403</f>
        <v>0</v>
      </c>
      <c r="G2" s="263">
        <f>G403</f>
        <v>0</v>
      </c>
      <c r="H2" s="263">
        <f>H403</f>
        <v>0</v>
      </c>
      <c r="I2" s="264" t="s">
        <v>446</v>
      </c>
      <c r="J2" s="259">
        <f>J403</f>
        <v>0</v>
      </c>
      <c r="K2" s="265">
        <f>D2-E2+F2+G2+H2</f>
        <v>0</v>
      </c>
      <c r="L2" s="266">
        <f>L403</f>
        <v>0</v>
      </c>
      <c r="M2" s="267"/>
      <c r="N2" s="268">
        <f>N403</f>
        <v>0</v>
      </c>
      <c r="O2" s="258"/>
      <c r="P2" s="261">
        <f>Criteria!E22</f>
        <v>2024</v>
      </c>
      <c r="Q2" s="261">
        <f>Criteria!E27</f>
        <v>2023</v>
      </c>
      <c r="S2" s="63"/>
    </row>
    <row r="3" spans="1:21" x14ac:dyDescent="0.2">
      <c r="A3" s="262" t="s">
        <v>620</v>
      </c>
      <c r="B3" s="269"/>
      <c r="C3" s="269" t="s">
        <v>228</v>
      </c>
      <c r="D3" s="262" t="s">
        <v>229</v>
      </c>
      <c r="E3" s="262" t="s">
        <v>230</v>
      </c>
      <c r="F3" s="262" t="s">
        <v>620</v>
      </c>
      <c r="G3" s="262" t="s">
        <v>620</v>
      </c>
      <c r="H3" s="262" t="s">
        <v>620</v>
      </c>
      <c r="I3" s="270" t="s">
        <v>137</v>
      </c>
      <c r="J3" s="257"/>
      <c r="K3" s="271"/>
      <c r="L3" s="251"/>
      <c r="M3" s="272"/>
      <c r="N3" s="258"/>
      <c r="O3" s="258"/>
      <c r="P3" s="268">
        <f>SUM(L5:L164)</f>
        <v>0</v>
      </c>
      <c r="Q3" s="11">
        <f>SUM(N5:N164)</f>
        <v>0</v>
      </c>
    </row>
    <row r="4" spans="1:21" x14ac:dyDescent="0.2">
      <c r="A4" s="238"/>
      <c r="B4" s="90" t="s">
        <v>231</v>
      </c>
      <c r="C4" s="239" t="s">
        <v>112</v>
      </c>
      <c r="D4" s="154"/>
      <c r="E4" s="153"/>
      <c r="F4" s="51"/>
      <c r="G4" s="51"/>
      <c r="H4" s="51"/>
      <c r="I4" s="51"/>
      <c r="J4" s="38"/>
      <c r="K4" s="39"/>
      <c r="L4" s="153"/>
      <c r="M4" s="59"/>
      <c r="N4" s="46" t="s">
        <v>228</v>
      </c>
      <c r="Q4" s="43"/>
    </row>
    <row r="5" spans="1:21" x14ac:dyDescent="0.2">
      <c r="A5" s="238"/>
      <c r="B5" s="10" t="s">
        <v>232</v>
      </c>
      <c r="C5" s="242" t="s">
        <v>907</v>
      </c>
      <c r="D5" s="250"/>
      <c r="E5" s="251"/>
      <c r="F5" s="132"/>
      <c r="G5" s="132"/>
      <c r="H5" s="132"/>
      <c r="I5" s="79"/>
      <c r="J5" s="198">
        <f>SUMIF(Journals!D$14:D$920,TrialBalance!P5,Journals!J$14:J$920)+SUMIF(Journals!E$14:E$920,TrialBalance!P5,Journals!J$14:J$920)</f>
        <v>0</v>
      </c>
      <c r="K5" s="253"/>
      <c r="L5" s="255">
        <f t="shared" ref="L5:L10" si="0">ROUND(D5-E5+F5+G5+H5+J5+I5,0)</f>
        <v>0</v>
      </c>
      <c r="M5" s="75"/>
      <c r="N5" s="48">
        <f t="shared" ref="N5:N73" si="1">ROUND(SUM(A5),0)</f>
        <v>0</v>
      </c>
      <c r="P5" s="140" t="str">
        <f t="shared" ref="P5:P41" si="2">CONCATENATE(B5,C5)</f>
        <v>1000/001Sale of goods</v>
      </c>
      <c r="Q5" s="70"/>
      <c r="S5" s="71"/>
      <c r="T5" s="51"/>
      <c r="U5" s="31"/>
    </row>
    <row r="6" spans="1:21" x14ac:dyDescent="0.2">
      <c r="A6" s="238"/>
      <c r="B6" s="90" t="s">
        <v>233</v>
      </c>
      <c r="C6" s="242" t="s">
        <v>908</v>
      </c>
      <c r="D6" s="250"/>
      <c r="E6" s="251"/>
      <c r="F6" s="132"/>
      <c r="G6" s="132"/>
      <c r="H6" s="132"/>
      <c r="I6" s="79"/>
      <c r="J6" s="198">
        <f>SUMIF(Journals!D$14:D$920,TrialBalance!P6,Journals!J$14:J$920)+SUMIF(Journals!E$14:E$920,TrialBalance!P6,Journals!J$14:J$920)</f>
        <v>0</v>
      </c>
      <c r="K6" s="253"/>
      <c r="L6" s="255">
        <f t="shared" ref="L6:L9" si="3">ROUND(D6-E6+F6+G6+H6+J6+I6,0)</f>
        <v>0</v>
      </c>
      <c r="M6" s="75"/>
      <c r="N6" s="48">
        <f t="shared" ref="N6:N9" si="4">ROUND(SUM(A6),0)</f>
        <v>0</v>
      </c>
      <c r="P6" s="140" t="str">
        <f t="shared" ref="P6:P9" si="5">CONCATENATE(B6,C6)</f>
        <v>1000/002Rendering of services</v>
      </c>
      <c r="Q6" s="70"/>
      <c r="S6" s="71"/>
      <c r="T6" s="51"/>
      <c r="U6" s="31"/>
    </row>
    <row r="7" spans="1:21" x14ac:dyDescent="0.2">
      <c r="A7" s="238"/>
      <c r="B7" s="90" t="s">
        <v>234</v>
      </c>
      <c r="C7" s="242" t="s">
        <v>909</v>
      </c>
      <c r="D7" s="250"/>
      <c r="E7" s="251"/>
      <c r="F7" s="132"/>
      <c r="G7" s="132"/>
      <c r="H7" s="132"/>
      <c r="I7" s="79"/>
      <c r="J7" s="198">
        <f>SUMIF(Journals!D$14:D$920,TrialBalance!P7,Journals!J$14:J$920)+SUMIF(Journals!E$14:E$920,TrialBalance!P7,Journals!J$14:J$920)</f>
        <v>0</v>
      </c>
      <c r="K7" s="253"/>
      <c r="L7" s="255">
        <f t="shared" si="3"/>
        <v>0</v>
      </c>
      <c r="M7" s="75"/>
      <c r="N7" s="48">
        <f t="shared" si="4"/>
        <v>0</v>
      </c>
      <c r="P7" s="140" t="str">
        <f t="shared" si="5"/>
        <v>1000/003Commissions received</v>
      </c>
      <c r="Q7" s="70"/>
      <c r="S7" s="71"/>
      <c r="T7" s="51"/>
      <c r="U7" s="31"/>
    </row>
    <row r="8" spans="1:21" x14ac:dyDescent="0.2">
      <c r="A8" s="238"/>
      <c r="B8" s="90" t="s">
        <v>910</v>
      </c>
      <c r="C8" s="243"/>
      <c r="D8" s="250"/>
      <c r="E8" s="251"/>
      <c r="F8" s="132"/>
      <c r="G8" s="132"/>
      <c r="H8" s="132"/>
      <c r="I8" s="79"/>
      <c r="J8" s="198">
        <f>SUMIF(Journals!D$14:D$920,TrialBalance!P8,Journals!J$14:J$920)+SUMIF(Journals!E$14:E$920,TrialBalance!P8,Journals!J$14:J$920)</f>
        <v>0</v>
      </c>
      <c r="K8" s="253"/>
      <c r="L8" s="255">
        <f t="shared" si="3"/>
        <v>0</v>
      </c>
      <c r="M8" s="75"/>
      <c r="N8" s="48">
        <f t="shared" si="4"/>
        <v>0</v>
      </c>
      <c r="P8" s="140" t="str">
        <f t="shared" si="5"/>
        <v>1000/004</v>
      </c>
      <c r="Q8" s="70"/>
      <c r="S8" s="71"/>
      <c r="T8" s="51"/>
      <c r="U8" s="31"/>
    </row>
    <row r="9" spans="1:21" x14ac:dyDescent="0.2">
      <c r="A9" s="238"/>
      <c r="B9" s="90" t="s">
        <v>911</v>
      </c>
      <c r="C9" s="243"/>
      <c r="D9" s="250"/>
      <c r="E9" s="251"/>
      <c r="F9" s="132"/>
      <c r="G9" s="132"/>
      <c r="H9" s="132"/>
      <c r="I9" s="79"/>
      <c r="J9" s="198">
        <f>SUMIF(Journals!D$14:D$920,TrialBalance!P9,Journals!J$14:J$920)+SUMIF(Journals!E$14:E$920,TrialBalance!P9,Journals!J$14:J$920)</f>
        <v>0</v>
      </c>
      <c r="K9" s="253"/>
      <c r="L9" s="255">
        <f t="shared" si="3"/>
        <v>0</v>
      </c>
      <c r="M9" s="75"/>
      <c r="N9" s="48">
        <f t="shared" si="4"/>
        <v>0</v>
      </c>
      <c r="P9" s="140" t="str">
        <f t="shared" si="5"/>
        <v>1000/005</v>
      </c>
      <c r="Q9" s="70"/>
      <c r="S9" s="71"/>
      <c r="T9" s="51"/>
      <c r="U9" s="31"/>
    </row>
    <row r="10" spans="1:21" x14ac:dyDescent="0.2">
      <c r="A10" s="238"/>
      <c r="B10" s="90" t="s">
        <v>912</v>
      </c>
      <c r="C10" s="243"/>
      <c r="D10" s="251"/>
      <c r="E10" s="251"/>
      <c r="F10" s="132"/>
      <c r="G10" s="132"/>
      <c r="H10" s="132"/>
      <c r="I10" s="79"/>
      <c r="J10" s="198">
        <f>SUMIF(Journals!D$14:D$920,TrialBalance!P10,Journals!J$14:J$920)+SUMIF(Journals!E$14:E$920,TrialBalance!P10,Journals!J$14:J$920)</f>
        <v>0</v>
      </c>
      <c r="K10" s="253"/>
      <c r="L10" s="255">
        <f t="shared" si="0"/>
        <v>0</v>
      </c>
      <c r="M10" s="75"/>
      <c r="N10" s="48">
        <f t="shared" si="1"/>
        <v>0</v>
      </c>
      <c r="P10" s="140" t="str">
        <f t="shared" si="2"/>
        <v>1000/006</v>
      </c>
      <c r="Q10" s="70"/>
      <c r="S10" s="71"/>
      <c r="T10" s="51"/>
      <c r="U10" s="31"/>
    </row>
    <row r="11" spans="1:21" x14ac:dyDescent="0.2">
      <c r="A11" s="238"/>
      <c r="B11" s="90" t="s">
        <v>913</v>
      </c>
      <c r="C11" s="241" t="s">
        <v>359</v>
      </c>
      <c r="D11" s="251"/>
      <c r="E11" s="251"/>
      <c r="F11" s="132"/>
      <c r="G11" s="132"/>
      <c r="H11" s="132"/>
      <c r="I11" s="79"/>
      <c r="J11" s="198">
        <f>SUMIF(Journals!D$14:D$920,TrialBalance!P11,Journals!J$14:J$920)+SUMIF(Journals!E$14:E$920,TrialBalance!P11,Journals!J$14:J$920)</f>
        <v>0</v>
      </c>
      <c r="K11" s="253"/>
      <c r="L11" s="255">
        <f>ROUND(D11-E11+F11+G11+H11+J11+I11,0)</f>
        <v>0</v>
      </c>
      <c r="M11" s="75"/>
      <c r="N11" s="48">
        <f t="shared" si="1"/>
        <v>0</v>
      </c>
      <c r="P11" s="140" t="str">
        <f t="shared" si="2"/>
        <v>1000/007Rent received</v>
      </c>
      <c r="Q11" s="70"/>
      <c r="S11" s="71"/>
      <c r="T11" s="51"/>
      <c r="U11" s="31"/>
    </row>
    <row r="12" spans="1:21" x14ac:dyDescent="0.2">
      <c r="A12" s="238"/>
      <c r="B12" s="54" t="s">
        <v>235</v>
      </c>
      <c r="C12" s="239" t="s">
        <v>113</v>
      </c>
      <c r="D12" s="250"/>
      <c r="E12" s="251"/>
      <c r="F12" s="132"/>
      <c r="G12" s="132"/>
      <c r="H12" s="132"/>
      <c r="I12" s="79"/>
      <c r="J12" s="198">
        <f>SUMIF(Journals!D$14:D$920,TrialBalance!P12,Journals!J$14:J$920)+SUMIF(Journals!E$14:E$920,TrialBalance!P12,Journals!J$14:J$920)</f>
        <v>0</v>
      </c>
      <c r="K12" s="253"/>
      <c r="L12" s="255">
        <f t="shared" ref="L12:L75" si="6">ROUND(D12-E12+F12+G12+H12+J12+I12,0)</f>
        <v>0</v>
      </c>
      <c r="M12" s="75"/>
      <c r="N12" s="48">
        <f t="shared" si="1"/>
        <v>0</v>
      </c>
      <c r="P12" s="140" t="str">
        <f t="shared" si="2"/>
        <v>2000/000COST OF SALES</v>
      </c>
      <c r="Q12" s="70"/>
      <c r="S12" s="71"/>
      <c r="T12" s="51"/>
      <c r="U12" s="31"/>
    </row>
    <row r="13" spans="1:21" x14ac:dyDescent="0.2">
      <c r="A13" s="238"/>
      <c r="B13" s="54" t="s">
        <v>236</v>
      </c>
      <c r="C13" s="242" t="s">
        <v>664</v>
      </c>
      <c r="D13" s="250"/>
      <c r="E13" s="251"/>
      <c r="F13" s="132"/>
      <c r="G13" s="132"/>
      <c r="H13" s="132"/>
      <c r="I13" s="79"/>
      <c r="J13" s="198">
        <f>SUMIF(Journals!D$14:D$920,TrialBalance!P13,Journals!J$14:J$920)+SUMIF(Journals!E$14:E$920,TrialBalance!P13,Journals!J$14:J$920)</f>
        <v>0</v>
      </c>
      <c r="K13" s="253"/>
      <c r="L13" s="255">
        <f t="shared" si="6"/>
        <v>0</v>
      </c>
      <c r="M13" s="75"/>
      <c r="N13" s="48">
        <f t="shared" si="1"/>
        <v>0</v>
      </c>
      <c r="P13" s="140" t="str">
        <f t="shared" si="2"/>
        <v>2000/001Opening stock - Raw materials</v>
      </c>
      <c r="Q13" s="70"/>
      <c r="S13" s="71"/>
      <c r="T13" s="51"/>
      <c r="U13" s="31"/>
    </row>
    <row r="14" spans="1:21" x14ac:dyDescent="0.2">
      <c r="A14" s="238"/>
      <c r="B14" s="54" t="s">
        <v>388</v>
      </c>
      <c r="C14" s="240" t="s">
        <v>389</v>
      </c>
      <c r="D14" s="250"/>
      <c r="E14" s="251"/>
      <c r="F14" s="132"/>
      <c r="G14" s="132"/>
      <c r="H14" s="132"/>
      <c r="I14" s="79"/>
      <c r="J14" s="198">
        <f>SUMIF(Journals!D$14:D$920,TrialBalance!P14,Journals!J$14:J$920)+SUMIF(Journals!E$14:E$920,TrialBalance!P14,Journals!J$14:J$920)</f>
        <v>0</v>
      </c>
      <c r="K14" s="253"/>
      <c r="L14" s="255">
        <f t="shared" si="6"/>
        <v>0</v>
      </c>
      <c r="M14" s="75"/>
      <c r="N14" s="48">
        <f t="shared" si="1"/>
        <v>0</v>
      </c>
      <c r="P14" s="140" t="str">
        <f t="shared" si="2"/>
        <v>2000/002Opening stock - WIP</v>
      </c>
      <c r="Q14" s="70"/>
      <c r="S14" s="71"/>
      <c r="T14" s="51"/>
      <c r="U14" s="31"/>
    </row>
    <row r="15" spans="1:21" x14ac:dyDescent="0.2">
      <c r="A15" s="238"/>
      <c r="B15" s="54" t="s">
        <v>390</v>
      </c>
      <c r="C15" s="240" t="s">
        <v>391</v>
      </c>
      <c r="D15" s="250"/>
      <c r="E15" s="251"/>
      <c r="F15" s="132"/>
      <c r="G15" s="132"/>
      <c r="H15" s="132"/>
      <c r="I15" s="79"/>
      <c r="J15" s="198">
        <f>SUMIF(Journals!D$14:D$920,TrialBalance!P15,Journals!J$14:J$920)+SUMIF(Journals!E$14:E$920,TrialBalance!P15,Journals!J$14:J$920)</f>
        <v>0</v>
      </c>
      <c r="K15" s="253"/>
      <c r="L15" s="255">
        <f t="shared" si="6"/>
        <v>0</v>
      </c>
      <c r="M15" s="75"/>
      <c r="N15" s="48">
        <f t="shared" si="1"/>
        <v>0</v>
      </c>
      <c r="P15" s="140" t="str">
        <f t="shared" si="2"/>
        <v>2000/003Opening stock - Finished goods</v>
      </c>
      <c r="Q15" s="70"/>
      <c r="S15" s="71"/>
      <c r="T15" s="51"/>
      <c r="U15" s="31"/>
    </row>
    <row r="16" spans="1:21" x14ac:dyDescent="0.2">
      <c r="A16" s="238"/>
      <c r="B16" s="54" t="s">
        <v>392</v>
      </c>
      <c r="C16" s="240" t="s">
        <v>393</v>
      </c>
      <c r="D16" s="250"/>
      <c r="E16" s="251"/>
      <c r="F16" s="132"/>
      <c r="G16" s="132"/>
      <c r="H16" s="132"/>
      <c r="I16" s="79"/>
      <c r="J16" s="198">
        <f>SUMIF(Journals!D$14:D$920,TrialBalance!P16,Journals!J$14:J$920)+SUMIF(Journals!E$14:E$920,TrialBalance!P16,Journals!J$14:J$920)</f>
        <v>0</v>
      </c>
      <c r="K16" s="253"/>
      <c r="L16" s="255">
        <f t="shared" si="6"/>
        <v>0</v>
      </c>
      <c r="M16" s="75"/>
      <c r="N16" s="48">
        <f t="shared" si="1"/>
        <v>0</v>
      </c>
      <c r="P16" s="140" t="str">
        <f t="shared" si="2"/>
        <v>2000/004Opening stock - Trading stock</v>
      </c>
      <c r="Q16" s="70"/>
      <c r="S16" s="71"/>
      <c r="T16" s="51"/>
      <c r="U16" s="31"/>
    </row>
    <row r="17" spans="1:21" x14ac:dyDescent="0.2">
      <c r="A17" s="238"/>
      <c r="B17" s="10" t="s">
        <v>394</v>
      </c>
      <c r="C17" s="240" t="s">
        <v>274</v>
      </c>
      <c r="D17" s="250"/>
      <c r="E17" s="251"/>
      <c r="F17" s="132"/>
      <c r="G17" s="132"/>
      <c r="H17" s="132"/>
      <c r="I17" s="79"/>
      <c r="J17" s="198">
        <f>SUMIF(Journals!D$14:D$920,TrialBalance!P17,Journals!J$14:J$920)+SUMIF(Journals!E$14:E$920,TrialBalance!P17,Journals!J$14:J$920)</f>
        <v>0</v>
      </c>
      <c r="K17" s="253"/>
      <c r="L17" s="255">
        <f t="shared" si="6"/>
        <v>0</v>
      </c>
      <c r="M17" s="75"/>
      <c r="N17" s="48">
        <f t="shared" si="1"/>
        <v>0</v>
      </c>
      <c r="P17" s="140" t="str">
        <f t="shared" si="2"/>
        <v>2000/010Purchases</v>
      </c>
      <c r="Q17" s="70"/>
      <c r="S17" s="71"/>
      <c r="T17" s="51"/>
      <c r="U17" s="31"/>
    </row>
    <row r="18" spans="1:21" x14ac:dyDescent="0.2">
      <c r="A18" s="238"/>
      <c r="B18" s="10" t="s">
        <v>395</v>
      </c>
      <c r="C18" s="243"/>
      <c r="D18" s="251"/>
      <c r="E18" s="251"/>
      <c r="F18" s="132"/>
      <c r="G18" s="132"/>
      <c r="H18" s="132"/>
      <c r="I18" s="79"/>
      <c r="J18" s="198">
        <f>SUMIF(Journals!D$14:D$920,TrialBalance!P18,Journals!J$14:J$920)+SUMIF(Journals!E$14:E$920,TrialBalance!P18,Journals!J$14:J$920)</f>
        <v>0</v>
      </c>
      <c r="K18" s="253"/>
      <c r="L18" s="255">
        <f t="shared" si="6"/>
        <v>0</v>
      </c>
      <c r="M18" s="75"/>
      <c r="N18" s="48">
        <f t="shared" si="1"/>
        <v>0</v>
      </c>
      <c r="P18" s="140" t="str">
        <f t="shared" si="2"/>
        <v>2000/011</v>
      </c>
      <c r="Q18" s="70"/>
      <c r="R18" s="31"/>
      <c r="S18" s="71"/>
      <c r="T18" s="51"/>
      <c r="U18" s="31"/>
    </row>
    <row r="19" spans="1:21" x14ac:dyDescent="0.2">
      <c r="A19" s="238"/>
      <c r="B19" s="54" t="s">
        <v>396</v>
      </c>
      <c r="C19" s="243"/>
      <c r="D19" s="251"/>
      <c r="E19" s="251"/>
      <c r="F19" s="132"/>
      <c r="G19" s="132"/>
      <c r="H19" s="132"/>
      <c r="I19" s="79"/>
      <c r="J19" s="198">
        <f>SUMIF(Journals!D$14:D$920,TrialBalance!P19,Journals!J$14:J$920)+SUMIF(Journals!E$14:E$920,TrialBalance!P19,Journals!J$14:J$920)</f>
        <v>0</v>
      </c>
      <c r="K19" s="253"/>
      <c r="L19" s="255">
        <f t="shared" si="6"/>
        <v>0</v>
      </c>
      <c r="M19" s="75"/>
      <c r="N19" s="48">
        <f t="shared" si="1"/>
        <v>0</v>
      </c>
      <c r="P19" s="140" t="str">
        <f t="shared" si="2"/>
        <v>2000/012</v>
      </c>
      <c r="Q19" s="70"/>
      <c r="S19" s="71"/>
      <c r="T19" s="51"/>
      <c r="U19" s="31"/>
    </row>
    <row r="20" spans="1:21" x14ac:dyDescent="0.2">
      <c r="A20" s="238"/>
      <c r="B20" s="54" t="s">
        <v>397</v>
      </c>
      <c r="C20" s="243"/>
      <c r="D20" s="251"/>
      <c r="E20" s="251"/>
      <c r="F20" s="132"/>
      <c r="G20" s="132"/>
      <c r="H20" s="132"/>
      <c r="I20" s="79"/>
      <c r="J20" s="198">
        <f>SUMIF(Journals!D$14:D$920,TrialBalance!P20,Journals!J$14:J$920)+SUMIF(Journals!E$14:E$920,TrialBalance!P20,Journals!J$14:J$920)</f>
        <v>0</v>
      </c>
      <c r="K20" s="253"/>
      <c r="L20" s="255">
        <f t="shared" si="6"/>
        <v>0</v>
      </c>
      <c r="M20" s="75"/>
      <c r="N20" s="48">
        <f t="shared" si="1"/>
        <v>0</v>
      </c>
      <c r="P20" s="140" t="str">
        <f t="shared" si="2"/>
        <v>2000/013</v>
      </c>
      <c r="Q20" s="70"/>
      <c r="S20" s="71"/>
      <c r="T20" s="51"/>
      <c r="U20" s="31"/>
    </row>
    <row r="21" spans="1:21" x14ac:dyDescent="0.2">
      <c r="A21" s="238"/>
      <c r="B21" s="54" t="s">
        <v>398</v>
      </c>
      <c r="C21" s="243"/>
      <c r="D21" s="251"/>
      <c r="E21" s="251"/>
      <c r="F21" s="132"/>
      <c r="G21" s="132"/>
      <c r="H21" s="132"/>
      <c r="I21" s="79"/>
      <c r="J21" s="198">
        <f>SUMIF(Journals!D$14:D$920,TrialBalance!P21,Journals!J$14:J$920)+SUMIF(Journals!E$14:E$920,TrialBalance!P21,Journals!J$14:J$920)</f>
        <v>0</v>
      </c>
      <c r="K21" s="253"/>
      <c r="L21" s="255">
        <f t="shared" si="6"/>
        <v>0</v>
      </c>
      <c r="M21" s="75"/>
      <c r="N21" s="48">
        <f t="shared" si="1"/>
        <v>0</v>
      </c>
      <c r="P21" s="140" t="str">
        <f t="shared" si="2"/>
        <v>2000/014</v>
      </c>
      <c r="Q21" s="70"/>
      <c r="S21" s="71"/>
      <c r="T21" s="51"/>
      <c r="U21" s="31"/>
    </row>
    <row r="22" spans="1:21" x14ac:dyDescent="0.2">
      <c r="A22" s="238"/>
      <c r="B22" s="54" t="s">
        <v>399</v>
      </c>
      <c r="C22" s="243"/>
      <c r="D22" s="251"/>
      <c r="E22" s="251"/>
      <c r="F22" s="132"/>
      <c r="G22" s="132"/>
      <c r="H22" s="132"/>
      <c r="I22" s="79"/>
      <c r="J22" s="198">
        <f>SUMIF(Journals!D$14:D$920,TrialBalance!P22,Journals!J$14:J$920)+SUMIF(Journals!E$14:E$920,TrialBalance!P22,Journals!J$14:J$920)</f>
        <v>0</v>
      </c>
      <c r="K22" s="253"/>
      <c r="L22" s="255">
        <f t="shared" si="6"/>
        <v>0</v>
      </c>
      <c r="M22" s="75"/>
      <c r="N22" s="48">
        <f t="shared" si="1"/>
        <v>0</v>
      </c>
      <c r="P22" s="140" t="str">
        <f t="shared" si="2"/>
        <v>2000/015</v>
      </c>
      <c r="Q22" s="70"/>
      <c r="S22" s="71"/>
      <c r="T22" s="51"/>
      <c r="U22" s="31"/>
    </row>
    <row r="23" spans="1:21" x14ac:dyDescent="0.2">
      <c r="A23" s="238"/>
      <c r="B23" s="54" t="s">
        <v>400</v>
      </c>
      <c r="C23" s="240" t="s">
        <v>401</v>
      </c>
      <c r="D23" s="250"/>
      <c r="E23" s="251"/>
      <c r="F23" s="132"/>
      <c r="G23" s="132"/>
      <c r="H23" s="132"/>
      <c r="I23" s="79"/>
      <c r="J23" s="198">
        <f>SUMIF(Journals!D$14:D$920,TrialBalance!P23,Journals!J$14:J$920)+SUMIF(Journals!E$14:E$920,TrialBalance!P23,Journals!J$14:J$920)</f>
        <v>0</v>
      </c>
      <c r="K23" s="253"/>
      <c r="L23" s="255">
        <f t="shared" si="6"/>
        <v>0</v>
      </c>
      <c r="M23" s="75"/>
      <c r="N23" s="48">
        <f t="shared" si="1"/>
        <v>0</v>
      </c>
      <c r="P23" s="140" t="str">
        <f t="shared" si="2"/>
        <v>2000/050Closing stock - Raw materials</v>
      </c>
      <c r="Q23" s="70"/>
      <c r="S23" s="71"/>
      <c r="T23" s="51"/>
      <c r="U23" s="31"/>
    </row>
    <row r="24" spans="1:21" x14ac:dyDescent="0.2">
      <c r="A24" s="238"/>
      <c r="B24" s="54" t="s">
        <v>402</v>
      </c>
      <c r="C24" s="240" t="s">
        <v>403</v>
      </c>
      <c r="D24" s="250"/>
      <c r="E24" s="251"/>
      <c r="F24" s="132"/>
      <c r="G24" s="132"/>
      <c r="H24" s="132"/>
      <c r="I24" s="79"/>
      <c r="J24" s="198">
        <f>SUMIF(Journals!D$14:D$920,TrialBalance!P24,Journals!J$14:J$920)+SUMIF(Journals!E$14:E$920,TrialBalance!P24,Journals!J$14:J$920)</f>
        <v>0</v>
      </c>
      <c r="K24" s="253"/>
      <c r="L24" s="255">
        <f t="shared" si="6"/>
        <v>0</v>
      </c>
      <c r="M24" s="75"/>
      <c r="N24" s="48">
        <f t="shared" si="1"/>
        <v>0</v>
      </c>
      <c r="P24" s="140" t="str">
        <f t="shared" si="2"/>
        <v>2000/051Closing stock - WIP</v>
      </c>
      <c r="Q24" s="70"/>
      <c r="S24" s="71"/>
      <c r="T24" s="51"/>
      <c r="U24" s="31"/>
    </row>
    <row r="25" spans="1:21" x14ac:dyDescent="0.2">
      <c r="A25" s="238"/>
      <c r="B25" s="54" t="s">
        <v>404</v>
      </c>
      <c r="C25" s="240" t="s">
        <v>405</v>
      </c>
      <c r="D25" s="250"/>
      <c r="E25" s="251"/>
      <c r="F25" s="132"/>
      <c r="G25" s="132"/>
      <c r="H25" s="132"/>
      <c r="I25" s="79"/>
      <c r="J25" s="198">
        <f>SUMIF(Journals!D$14:D$920,TrialBalance!P25,Journals!J$14:J$920)+SUMIF(Journals!E$14:E$920,TrialBalance!P25,Journals!J$14:J$920)</f>
        <v>0</v>
      </c>
      <c r="K25" s="253"/>
      <c r="L25" s="255">
        <f t="shared" si="6"/>
        <v>0</v>
      </c>
      <c r="M25" s="75"/>
      <c r="N25" s="48">
        <f t="shared" si="1"/>
        <v>0</v>
      </c>
      <c r="P25" s="140" t="str">
        <f t="shared" si="2"/>
        <v>2000/052Closing stock - Finished goods</v>
      </c>
      <c r="Q25" s="70"/>
      <c r="S25" s="71"/>
      <c r="T25" s="51"/>
      <c r="U25" s="31"/>
    </row>
    <row r="26" spans="1:21" x14ac:dyDescent="0.2">
      <c r="A26" s="238"/>
      <c r="B26" s="54" t="s">
        <v>406</v>
      </c>
      <c r="C26" s="240" t="s">
        <v>407</v>
      </c>
      <c r="D26" s="250"/>
      <c r="E26" s="251"/>
      <c r="F26" s="132"/>
      <c r="G26" s="132"/>
      <c r="H26" s="132"/>
      <c r="I26" s="79"/>
      <c r="J26" s="198">
        <f>SUMIF(Journals!D$14:D$920,TrialBalance!P26,Journals!J$14:J$920)+SUMIF(Journals!E$14:E$920,TrialBalance!P26,Journals!J$14:J$920)</f>
        <v>0</v>
      </c>
      <c r="K26" s="253"/>
      <c r="L26" s="255">
        <f t="shared" si="6"/>
        <v>0</v>
      </c>
      <c r="M26" s="75"/>
      <c r="N26" s="48">
        <f t="shared" si="1"/>
        <v>0</v>
      </c>
      <c r="P26" s="140" t="str">
        <f t="shared" si="2"/>
        <v>2000/053Closing stock - Trading stock</v>
      </c>
      <c r="Q26" s="70"/>
      <c r="S26" s="71"/>
      <c r="T26" s="51"/>
      <c r="U26" s="31"/>
    </row>
    <row r="27" spans="1:21" x14ac:dyDescent="0.2">
      <c r="A27" s="238"/>
      <c r="B27" s="56" t="s">
        <v>324</v>
      </c>
      <c r="C27" s="244" t="s">
        <v>323</v>
      </c>
      <c r="D27" s="251"/>
      <c r="E27" s="251"/>
      <c r="F27" s="132"/>
      <c r="G27" s="132"/>
      <c r="H27" s="132"/>
      <c r="I27" s="79"/>
      <c r="J27" s="198">
        <f>SUMIF(Journals!D$14:D$920,TrialBalance!P27,Journals!J$14:J$920)+SUMIF(Journals!E$14:E$920,TrialBalance!P27,Journals!J$14:J$920)</f>
        <v>0</v>
      </c>
      <c r="K27" s="253"/>
      <c r="L27" s="255">
        <f t="shared" si="6"/>
        <v>0</v>
      </c>
      <c r="M27" s="75"/>
      <c r="N27" s="48">
        <f t="shared" si="1"/>
        <v>0</v>
      </c>
      <c r="P27" s="140" t="str">
        <f t="shared" si="2"/>
        <v>2050/000OTHER OPERATING INCOME</v>
      </c>
      <c r="Q27" s="70"/>
      <c r="S27" s="71"/>
      <c r="T27" s="51"/>
      <c r="U27" s="31"/>
    </row>
    <row r="28" spans="1:21" x14ac:dyDescent="0.2">
      <c r="A28" s="238"/>
      <c r="B28" s="56" t="s">
        <v>325</v>
      </c>
      <c r="C28" s="241" t="str">
        <f>IF(Criteria!H13=0,"Insurance claims",IF(Criteria!H14=0,"Insurance claims",CONCATENATE("Insurance claims - ",Criteria!H13)))</f>
        <v>Insurance claims - Investments in financial instruments</v>
      </c>
      <c r="D28" s="251"/>
      <c r="E28" s="251"/>
      <c r="F28" s="132"/>
      <c r="G28" s="132"/>
      <c r="H28" s="132"/>
      <c r="I28" s="79"/>
      <c r="J28" s="198">
        <f>SUMIF(Journals!D$14:D$920,TrialBalance!P28,Journals!J$14:J$920)+SUMIF(Journals!E$14:E$920,TrialBalance!P28,Journals!J$14:J$920)</f>
        <v>0</v>
      </c>
      <c r="K28" s="253"/>
      <c r="L28" s="255">
        <f t="shared" si="6"/>
        <v>0</v>
      </c>
      <c r="M28" s="75"/>
      <c r="N28" s="48">
        <f t="shared" si="1"/>
        <v>0</v>
      </c>
      <c r="P28" s="140" t="str">
        <f t="shared" si="2"/>
        <v>2050/001Insurance claims - Investments in financial instruments</v>
      </c>
      <c r="Q28" s="70"/>
      <c r="S28" s="71"/>
      <c r="T28" s="51"/>
      <c r="U28" s="31"/>
    </row>
    <row r="29" spans="1:21" x14ac:dyDescent="0.2">
      <c r="A29" s="238"/>
      <c r="B29" s="56" t="s">
        <v>326</v>
      </c>
      <c r="C29" s="241" t="s">
        <v>831</v>
      </c>
      <c r="D29" s="251"/>
      <c r="E29" s="251"/>
      <c r="F29" s="132"/>
      <c r="G29" s="132"/>
      <c r="H29" s="132"/>
      <c r="I29" s="79"/>
      <c r="J29" s="198">
        <f>SUMIF(Journals!D$14:D$920,TrialBalance!P29,Journals!J$14:J$920)+SUMIF(Journals!E$14:E$920,TrialBalance!P29,Journals!J$14:J$920)</f>
        <v>0</v>
      </c>
      <c r="K29" s="253"/>
      <c r="L29" s="255">
        <f t="shared" si="6"/>
        <v>0</v>
      </c>
      <c r="M29" s="75"/>
      <c r="N29" s="48">
        <f t="shared" si="1"/>
        <v>0</v>
      </c>
      <c r="P29" s="140" t="str">
        <f t="shared" si="2"/>
        <v>2050/002Government grants received</v>
      </c>
      <c r="Q29" s="70"/>
      <c r="S29" s="71"/>
      <c r="T29" s="51"/>
      <c r="U29" s="31"/>
    </row>
    <row r="30" spans="1:21" x14ac:dyDescent="0.2">
      <c r="A30" s="238"/>
      <c r="B30" s="56" t="s">
        <v>327</v>
      </c>
      <c r="C30" s="243"/>
      <c r="D30" s="251"/>
      <c r="E30" s="251"/>
      <c r="F30" s="132"/>
      <c r="G30" s="132"/>
      <c r="H30" s="132"/>
      <c r="I30" s="79"/>
      <c r="J30" s="198">
        <f>SUMIF(Journals!D$14:D$920,TrialBalance!P30,Journals!J$14:J$920)+SUMIF(Journals!E$14:E$920,TrialBalance!P30,Journals!J$14:J$920)</f>
        <v>0</v>
      </c>
      <c r="K30" s="253"/>
      <c r="L30" s="255">
        <f t="shared" si="6"/>
        <v>0</v>
      </c>
      <c r="M30" s="75"/>
      <c r="N30" s="48">
        <f t="shared" si="1"/>
        <v>0</v>
      </c>
      <c r="P30" s="140" t="str">
        <f t="shared" si="2"/>
        <v>2050/003</v>
      </c>
      <c r="Q30" s="70"/>
      <c r="S30" s="71"/>
      <c r="T30" s="51"/>
      <c r="U30" s="31"/>
    </row>
    <row r="31" spans="1:21" x14ac:dyDescent="0.2">
      <c r="A31" s="238"/>
      <c r="B31" s="56" t="s">
        <v>328</v>
      </c>
      <c r="C31" s="243"/>
      <c r="D31" s="251"/>
      <c r="E31" s="251"/>
      <c r="F31" s="132"/>
      <c r="G31" s="132"/>
      <c r="H31" s="132"/>
      <c r="I31" s="79"/>
      <c r="J31" s="198">
        <f>SUMIF(Journals!D$14:D$920,TrialBalance!P31,Journals!J$14:J$920)+SUMIF(Journals!E$14:E$920,TrialBalance!P31,Journals!J$14:J$920)</f>
        <v>0</v>
      </c>
      <c r="K31" s="253"/>
      <c r="L31" s="255">
        <f t="shared" si="6"/>
        <v>0</v>
      </c>
      <c r="M31" s="75"/>
      <c r="N31" s="48">
        <f t="shared" si="1"/>
        <v>0</v>
      </c>
      <c r="P31" s="140" t="str">
        <f t="shared" si="2"/>
        <v>2050/004</v>
      </c>
      <c r="Q31" s="70"/>
      <c r="S31" s="71"/>
      <c r="T31" s="51"/>
      <c r="U31" s="31"/>
    </row>
    <row r="32" spans="1:21" x14ac:dyDescent="0.2">
      <c r="A32" s="238"/>
      <c r="B32" s="56" t="s">
        <v>329</v>
      </c>
      <c r="C32" s="243"/>
      <c r="D32" s="251"/>
      <c r="E32" s="251"/>
      <c r="F32" s="132"/>
      <c r="G32" s="132"/>
      <c r="H32" s="132"/>
      <c r="I32" s="79"/>
      <c r="J32" s="198">
        <f>SUMIF(Journals!D$14:D$920,TrialBalance!P32,Journals!J$14:J$920)+SUMIF(Journals!E$14:E$920,TrialBalance!P32,Journals!J$14:J$920)</f>
        <v>0</v>
      </c>
      <c r="K32" s="253"/>
      <c r="L32" s="255">
        <f t="shared" si="6"/>
        <v>0</v>
      </c>
      <c r="M32" s="75"/>
      <c r="N32" s="48">
        <f t="shared" si="1"/>
        <v>0</v>
      </c>
      <c r="P32" s="140" t="str">
        <f t="shared" si="2"/>
        <v>2050/005</v>
      </c>
      <c r="Q32" s="70"/>
      <c r="S32" s="71"/>
      <c r="T32" s="51"/>
      <c r="U32" s="31"/>
    </row>
    <row r="33" spans="1:21" x14ac:dyDescent="0.2">
      <c r="A33" s="238"/>
      <c r="B33" s="43" t="s">
        <v>1073</v>
      </c>
      <c r="C33" s="241" t="s">
        <v>1074</v>
      </c>
      <c r="D33" s="251"/>
      <c r="E33" s="251"/>
      <c r="F33" s="132"/>
      <c r="G33" s="132"/>
      <c r="H33" s="132"/>
      <c r="I33" s="79"/>
      <c r="J33" s="198">
        <f>SUMIF(Journals!D$14:D$920,TrialBalance!P33,Journals!J$14:J$920)+SUMIF(Journals!E$14:E$920,TrialBalance!P33,Journals!J$14:J$920)</f>
        <v>0</v>
      </c>
      <c r="K33" s="253"/>
      <c r="L33" s="255">
        <f t="shared" ref="L33" si="7">ROUND(D33-E33+F33+G33+H33+J33+I33,0)</f>
        <v>0</v>
      </c>
      <c r="M33" s="75"/>
      <c r="N33" s="48">
        <f t="shared" ref="N33" si="8">ROUND(SUM(A33),0)</f>
        <v>0</v>
      </c>
      <c r="P33" s="140" t="str">
        <f t="shared" ref="P33" si="9">CONCATENATE(B33,C33)</f>
        <v>2050/006Recoupment of depreciation</v>
      </c>
      <c r="Q33" s="70"/>
      <c r="S33" s="71"/>
      <c r="T33" s="51"/>
      <c r="U33" s="31"/>
    </row>
    <row r="34" spans="1:21" x14ac:dyDescent="0.2">
      <c r="A34" s="238"/>
      <c r="B34" s="43" t="s">
        <v>666</v>
      </c>
      <c r="C34" s="244" t="s">
        <v>665</v>
      </c>
      <c r="D34" s="251"/>
      <c r="E34" s="251"/>
      <c r="F34" s="132"/>
      <c r="G34" s="132"/>
      <c r="H34" s="132"/>
      <c r="I34" s="79"/>
      <c r="J34" s="198">
        <f>SUMIF(Journals!D$14:D$920,TrialBalance!P34,Journals!J$14:J$920)+SUMIF(Journals!E$14:E$920,TrialBalance!P34,Journals!J$14:J$920)</f>
        <v>0</v>
      </c>
      <c r="K34" s="253"/>
      <c r="L34" s="255">
        <f t="shared" si="6"/>
        <v>0</v>
      </c>
      <c r="M34" s="75"/>
      <c r="N34" s="48">
        <f t="shared" si="1"/>
        <v>0</v>
      </c>
      <c r="P34" s="140" t="str">
        <f t="shared" si="2"/>
        <v>2060/000NET (PROFIT)/LOSS OTHER</v>
      </c>
      <c r="Q34" s="70"/>
      <c r="S34" s="71"/>
      <c r="T34" s="51"/>
      <c r="U34" s="31"/>
    </row>
    <row r="35" spans="1:21" x14ac:dyDescent="0.2">
      <c r="A35" s="238"/>
      <c r="B35" s="43" t="s">
        <v>574</v>
      </c>
      <c r="C35" s="245" t="str">
        <f>CONCATENATE("Net (profit)/loss - ",Criteria!H14)</f>
        <v>Net (profit)/loss - Subsidiary One 111 (Pty) Ltd</v>
      </c>
      <c r="D35" s="251"/>
      <c r="E35" s="251"/>
      <c r="F35" s="132">
        <f>TrialBalanceA!N2</f>
        <v>0</v>
      </c>
      <c r="G35" s="132"/>
      <c r="H35" s="132"/>
      <c r="I35" s="79"/>
      <c r="J35" s="198">
        <f>SUMIF(Journals!D$14:D$920,TrialBalance!P35,Journals!J$14:J$920)+SUMIF(Journals!E$14:E$920,TrialBalance!P35,Journals!J$14:J$920)</f>
        <v>0</v>
      </c>
      <c r="K35" s="253"/>
      <c r="L35" s="255">
        <f t="shared" si="6"/>
        <v>0</v>
      </c>
      <c r="M35" s="75"/>
      <c r="N35" s="48">
        <f t="shared" si="1"/>
        <v>0</v>
      </c>
      <c r="P35" s="140" t="str">
        <f t="shared" si="2"/>
        <v>2060/001Net (profit)/loss - Subsidiary One 111 (Pty) Ltd</v>
      </c>
      <c r="Q35" s="70"/>
      <c r="S35" s="71"/>
      <c r="T35" s="51"/>
      <c r="U35" s="31"/>
    </row>
    <row r="36" spans="1:21" x14ac:dyDescent="0.2">
      <c r="A36" s="238"/>
      <c r="B36" s="43" t="s">
        <v>575</v>
      </c>
      <c r="C36" s="245" t="str">
        <f>CONCATENATE("Net (profit)/loss - ",Criteria!H15)</f>
        <v>Net (profit)/loss - Subsidiary Two 15 (Pty) Ltd</v>
      </c>
      <c r="D36" s="251"/>
      <c r="E36" s="251"/>
      <c r="F36" s="132"/>
      <c r="G36" s="132">
        <f>TrialBalanceB!N2</f>
        <v>0</v>
      </c>
      <c r="H36" s="132"/>
      <c r="I36" s="79"/>
      <c r="J36" s="198">
        <f>SUMIF(Journals!D$14:D$920,TrialBalance!P36,Journals!J$14:J$920)+SUMIF(Journals!E$14:E$920,TrialBalance!P36,Journals!J$14:J$920)</f>
        <v>0</v>
      </c>
      <c r="K36" s="253"/>
      <c r="L36" s="255">
        <f t="shared" si="6"/>
        <v>0</v>
      </c>
      <c r="M36" s="75"/>
      <c r="N36" s="48">
        <f t="shared" si="1"/>
        <v>0</v>
      </c>
      <c r="P36" s="140" t="str">
        <f t="shared" si="2"/>
        <v>2060/002Net (profit)/loss - Subsidiary Two 15 (Pty) Ltd</v>
      </c>
      <c r="Q36" s="70"/>
      <c r="S36" s="71"/>
      <c r="T36" s="51"/>
      <c r="U36" s="31"/>
    </row>
    <row r="37" spans="1:21" x14ac:dyDescent="0.2">
      <c r="A37" s="238"/>
      <c r="B37" s="43" t="s">
        <v>576</v>
      </c>
      <c r="C37" s="245" t="str">
        <f>CONCATENATE("Net (profit)/loss - ",Criteria!H16)</f>
        <v xml:space="preserve">Net (profit)/loss - </v>
      </c>
      <c r="D37" s="251"/>
      <c r="E37" s="251"/>
      <c r="F37" s="132"/>
      <c r="G37" s="132"/>
      <c r="H37" s="132">
        <f>TrialBalanceC!N2</f>
        <v>0</v>
      </c>
      <c r="I37" s="79"/>
      <c r="J37" s="198">
        <f>SUMIF(Journals!D$14:D$920,TrialBalance!P37,Journals!J$14:J$920)+SUMIF(Journals!E$14:E$920,TrialBalance!P37,Journals!J$14:J$920)</f>
        <v>0</v>
      </c>
      <c r="K37" s="253"/>
      <c r="L37" s="255">
        <f t="shared" si="6"/>
        <v>0</v>
      </c>
      <c r="M37" s="75"/>
      <c r="N37" s="48">
        <f t="shared" si="1"/>
        <v>0</v>
      </c>
      <c r="P37" s="140" t="str">
        <f t="shared" si="2"/>
        <v xml:space="preserve">2060/003Net (profit)/loss - </v>
      </c>
      <c r="Q37" s="70"/>
      <c r="S37" s="71"/>
      <c r="T37" s="51"/>
      <c r="U37" s="31"/>
    </row>
    <row r="38" spans="1:21" x14ac:dyDescent="0.2">
      <c r="A38" s="238"/>
      <c r="B38" s="43" t="s">
        <v>577</v>
      </c>
      <c r="C38" s="246"/>
      <c r="D38" s="251"/>
      <c r="E38" s="251"/>
      <c r="F38" s="132"/>
      <c r="G38" s="132"/>
      <c r="H38" s="132"/>
      <c r="I38" s="79"/>
      <c r="J38" s="198">
        <f>SUMIF(Journals!D$14:D$920,TrialBalance!P38,Journals!J$14:J$920)+SUMIF(Journals!E$14:E$920,TrialBalance!P38,Journals!J$14:J$920)</f>
        <v>0</v>
      </c>
      <c r="K38" s="253"/>
      <c r="L38" s="255">
        <f t="shared" si="6"/>
        <v>0</v>
      </c>
      <c r="M38" s="75"/>
      <c r="N38" s="48">
        <f t="shared" si="1"/>
        <v>0</v>
      </c>
      <c r="P38" s="140" t="str">
        <f t="shared" si="2"/>
        <v>2060/004</v>
      </c>
      <c r="Q38" s="70"/>
      <c r="S38" s="71"/>
      <c r="T38" s="51"/>
      <c r="U38" s="31"/>
    </row>
    <row r="39" spans="1:21" x14ac:dyDescent="0.2">
      <c r="A39" s="238"/>
      <c r="B39" s="54" t="s">
        <v>408</v>
      </c>
      <c r="C39" s="239" t="s">
        <v>995</v>
      </c>
      <c r="D39" s="250"/>
      <c r="E39" s="251"/>
      <c r="F39" s="132"/>
      <c r="G39" s="132"/>
      <c r="H39" s="132"/>
      <c r="I39" s="79"/>
      <c r="J39" s="198">
        <f>SUMIF(Journals!D$14:D$920,TrialBalance!P39,Journals!J$14:J$920)+SUMIF(Journals!E$14:E$920,TrialBalance!P39,Journals!J$14:J$920)</f>
        <v>0</v>
      </c>
      <c r="K39" s="253"/>
      <c r="L39" s="255">
        <f t="shared" si="6"/>
        <v>0</v>
      </c>
      <c r="M39" s="75"/>
      <c r="N39" s="48">
        <f t="shared" si="1"/>
        <v>0</v>
      </c>
      <c r="P39" s="140" t="str">
        <f t="shared" si="2"/>
        <v>2100/000OPERATING EXPENSES</v>
      </c>
      <c r="Q39" s="70"/>
      <c r="S39" s="71"/>
      <c r="T39" s="51"/>
      <c r="U39" s="31"/>
    </row>
    <row r="40" spans="1:21" x14ac:dyDescent="0.2">
      <c r="A40" s="238"/>
      <c r="B40" s="54" t="s">
        <v>409</v>
      </c>
      <c r="C40" s="240" t="s">
        <v>275</v>
      </c>
      <c r="D40" s="250"/>
      <c r="E40" s="251"/>
      <c r="F40" s="132"/>
      <c r="G40" s="132"/>
      <c r="H40" s="132"/>
      <c r="I40" s="79"/>
      <c r="J40" s="198">
        <f>SUMIF(Journals!D$14:D$920,TrialBalance!P40,Journals!J$14:J$920)+SUMIF(Journals!E$14:E$920,TrialBalance!P40,Journals!J$14:J$920)</f>
        <v>0</v>
      </c>
      <c r="K40" s="254" t="s">
        <v>588</v>
      </c>
      <c r="L40" s="255">
        <f t="shared" si="6"/>
        <v>0</v>
      </c>
      <c r="M40" s="75"/>
      <c r="N40" s="48">
        <f t="shared" si="1"/>
        <v>0</v>
      </c>
      <c r="P40" s="140" t="str">
        <f t="shared" si="2"/>
        <v>2100/001Advertising</v>
      </c>
      <c r="Q40" s="70"/>
      <c r="S40" s="71"/>
      <c r="T40" s="51"/>
      <c r="U40" s="31"/>
    </row>
    <row r="41" spans="1:21" x14ac:dyDescent="0.2">
      <c r="A41" s="238"/>
      <c r="B41" s="54" t="s">
        <v>410</v>
      </c>
      <c r="C41" s="242" t="s">
        <v>701</v>
      </c>
      <c r="D41" s="250"/>
      <c r="E41" s="251"/>
      <c r="F41" s="132"/>
      <c r="G41" s="132"/>
      <c r="H41" s="132"/>
      <c r="I41" s="79"/>
      <c r="J41" s="198">
        <f>SUMIF(Journals!D$14:D$920,TrialBalance!P41,Journals!J$14:J$920)+SUMIF(Journals!E$14:E$920,TrialBalance!P41,Journals!J$14:J$920)</f>
        <v>0</v>
      </c>
      <c r="K41" s="253"/>
      <c r="L41" s="255">
        <f t="shared" si="6"/>
        <v>0</v>
      </c>
      <c r="M41" s="75"/>
      <c r="N41" s="48">
        <f t="shared" si="1"/>
        <v>0</v>
      </c>
      <c r="P41" s="140" t="str">
        <f t="shared" si="2"/>
        <v>2100/010Assets less than R7,000</v>
      </c>
      <c r="Q41" s="70"/>
      <c r="S41" s="71"/>
      <c r="T41" s="51"/>
      <c r="U41" s="31"/>
    </row>
    <row r="42" spans="1:21" x14ac:dyDescent="0.2">
      <c r="A42" s="238"/>
      <c r="B42" s="54" t="s">
        <v>411</v>
      </c>
      <c r="C42" s="240" t="s">
        <v>276</v>
      </c>
      <c r="D42" s="250"/>
      <c r="E42" s="251"/>
      <c r="F42" s="132"/>
      <c r="G42" s="132"/>
      <c r="H42" s="132"/>
      <c r="I42" s="79"/>
      <c r="J42" s="198">
        <f>SUMIF(Journals!D$14:D$920,TrialBalance!P42,Journals!J$14:J$920)+SUMIF(Journals!E$14:E$920,TrialBalance!P42,Journals!J$14:J$920)</f>
        <v>0</v>
      </c>
      <c r="K42" s="253"/>
      <c r="L42" s="255">
        <f t="shared" si="6"/>
        <v>0</v>
      </c>
      <c r="M42" s="75"/>
      <c r="N42" s="48">
        <f t="shared" si="1"/>
        <v>0</v>
      </c>
      <c r="P42" s="140" t="str">
        <f t="shared" ref="P42:P73" si="10">CONCATENATE(B42,C42)</f>
        <v>2100/020Consumables</v>
      </c>
      <c r="Q42" s="70"/>
      <c r="S42" s="71"/>
      <c r="T42" s="51"/>
      <c r="U42" s="31"/>
    </row>
    <row r="43" spans="1:21" x14ac:dyDescent="0.2">
      <c r="A43" s="238"/>
      <c r="B43" s="54" t="s">
        <v>412</v>
      </c>
      <c r="C43" s="239" t="s">
        <v>612</v>
      </c>
      <c r="D43" s="250"/>
      <c r="E43" s="251"/>
      <c r="F43" s="132"/>
      <c r="G43" s="132"/>
      <c r="H43" s="132"/>
      <c r="I43" s="79"/>
      <c r="J43" s="198">
        <f>SUMIF(Journals!D$14:D$920,TrialBalance!P43,Journals!J$14:J$920)+SUMIF(Journals!E$14:E$920,TrialBalance!P43,Journals!J$14:J$920)</f>
        <v>0</v>
      </c>
      <c r="K43" s="253"/>
      <c r="L43" s="255">
        <f t="shared" si="6"/>
        <v>0</v>
      </c>
      <c r="M43" s="75"/>
      <c r="N43" s="48">
        <f t="shared" si="1"/>
        <v>0</v>
      </c>
      <c r="P43" s="140" t="str">
        <f t="shared" si="10"/>
        <v>2100/030Depreciation---------------------------------</v>
      </c>
      <c r="Q43" s="70"/>
      <c r="S43" s="71"/>
      <c r="T43" s="51"/>
      <c r="U43" s="31"/>
    </row>
    <row r="44" spans="1:21" x14ac:dyDescent="0.2">
      <c r="A44" s="238"/>
      <c r="B44" s="54" t="s">
        <v>414</v>
      </c>
      <c r="C44" s="242" t="s">
        <v>1123</v>
      </c>
      <c r="D44" s="250"/>
      <c r="E44" s="251"/>
      <c r="F44" s="132"/>
      <c r="G44" s="132"/>
      <c r="H44" s="132"/>
      <c r="I44" s="79"/>
      <c r="J44" s="198">
        <f>SUMIF(Journals!D$14:D$920,TrialBalance!P44,Journals!J$14:J$920)+SUMIF(Journals!E$14:E$920,TrialBalance!P44,Journals!J$14:J$920)</f>
        <v>0</v>
      </c>
      <c r="K44" s="253"/>
      <c r="L44" s="255">
        <f t="shared" si="6"/>
        <v>0</v>
      </c>
      <c r="M44" s="75"/>
      <c r="N44" s="48">
        <f t="shared" si="1"/>
        <v>0</v>
      </c>
      <c r="P44" s="140" t="str">
        <f t="shared" si="10"/>
        <v>2100/031Depr - Property</v>
      </c>
      <c r="Q44" s="70"/>
      <c r="S44" s="71"/>
      <c r="T44" s="51"/>
      <c r="U44" s="31"/>
    </row>
    <row r="45" spans="1:21" x14ac:dyDescent="0.2">
      <c r="A45" s="238"/>
      <c r="B45" s="54" t="s">
        <v>415</v>
      </c>
      <c r="C45" s="242" t="s">
        <v>758</v>
      </c>
      <c r="D45" s="250"/>
      <c r="E45" s="251"/>
      <c r="F45" s="132"/>
      <c r="G45" s="132"/>
      <c r="H45" s="132"/>
      <c r="I45" s="79"/>
      <c r="J45" s="198">
        <f>SUMIF(Journals!D$14:D$920,TrialBalance!P45,Journals!J$14:J$920)+SUMIF(Journals!E$14:E$920,TrialBalance!P45,Journals!J$14:J$920)</f>
        <v>0</v>
      </c>
      <c r="K45" s="253"/>
      <c r="L45" s="255">
        <f t="shared" si="6"/>
        <v>0</v>
      </c>
      <c r="M45" s="75"/>
      <c r="N45" s="48">
        <f t="shared" si="1"/>
        <v>0</v>
      </c>
      <c r="P45" s="140" t="str">
        <f t="shared" si="10"/>
        <v>2100/032Depr - Plant and machinery</v>
      </c>
      <c r="Q45" s="70"/>
      <c r="S45" s="71"/>
      <c r="T45" s="51"/>
      <c r="U45" s="31"/>
    </row>
    <row r="46" spans="1:21" x14ac:dyDescent="0.2">
      <c r="A46" s="238"/>
      <c r="B46" s="54" t="s">
        <v>51</v>
      </c>
      <c r="C46" s="240" t="s">
        <v>52</v>
      </c>
      <c r="D46" s="250"/>
      <c r="E46" s="251"/>
      <c r="F46" s="132"/>
      <c r="G46" s="132"/>
      <c r="H46" s="132"/>
      <c r="I46" s="79"/>
      <c r="J46" s="198">
        <f>SUMIF(Journals!D$14:D$920,TrialBalance!P46,Journals!J$14:J$920)+SUMIF(Journals!E$14:E$920,TrialBalance!P46,Journals!J$14:J$920)</f>
        <v>0</v>
      </c>
      <c r="K46" s="253"/>
      <c r="L46" s="255">
        <f t="shared" si="6"/>
        <v>0</v>
      </c>
      <c r="M46" s="75"/>
      <c r="N46" s="48">
        <f t="shared" si="1"/>
        <v>0</v>
      </c>
      <c r="P46" s="140" t="str">
        <f t="shared" si="10"/>
        <v>2100/033Depr - Motor vehicles</v>
      </c>
      <c r="Q46" s="70"/>
      <c r="S46" s="71"/>
      <c r="T46" s="51"/>
      <c r="U46" s="31"/>
    </row>
    <row r="47" spans="1:21" x14ac:dyDescent="0.2">
      <c r="A47" s="238"/>
      <c r="B47" s="54" t="s">
        <v>54</v>
      </c>
      <c r="C47" s="240" t="s">
        <v>55</v>
      </c>
      <c r="D47" s="250"/>
      <c r="E47" s="251"/>
      <c r="F47" s="132"/>
      <c r="G47" s="132"/>
      <c r="H47" s="132"/>
      <c r="I47" s="79"/>
      <c r="J47" s="198">
        <f>SUMIF(Journals!D$14:D$920,TrialBalance!P47,Journals!J$14:J$920)+SUMIF(Journals!E$14:E$920,TrialBalance!P47,Journals!J$14:J$920)</f>
        <v>0</v>
      </c>
      <c r="K47" s="253"/>
      <c r="L47" s="255">
        <f t="shared" si="6"/>
        <v>0</v>
      </c>
      <c r="M47" s="75"/>
      <c r="N47" s="48">
        <f t="shared" si="1"/>
        <v>0</v>
      </c>
      <c r="P47" s="140" t="str">
        <f t="shared" si="10"/>
        <v>2100/040Discounts allowed</v>
      </c>
      <c r="Q47" s="70"/>
      <c r="S47" s="71"/>
      <c r="T47" s="51"/>
      <c r="U47" s="31"/>
    </row>
    <row r="48" spans="1:21" x14ac:dyDescent="0.2">
      <c r="A48" s="238"/>
      <c r="B48" s="54" t="s">
        <v>56</v>
      </c>
      <c r="C48" s="242" t="s">
        <v>725</v>
      </c>
      <c r="D48" s="250"/>
      <c r="E48" s="251"/>
      <c r="F48" s="132"/>
      <c r="G48" s="132"/>
      <c r="H48" s="132"/>
      <c r="I48" s="79"/>
      <c r="J48" s="198">
        <f>SUMIF(Journals!D$14:D$920,TrialBalance!P48,Journals!J$14:J$920)+SUMIF(Journals!E$14:E$920,TrialBalance!P48,Journals!J$14:J$920)</f>
        <v>0</v>
      </c>
      <c r="K48" s="253"/>
      <c r="L48" s="255">
        <f t="shared" si="6"/>
        <v>0</v>
      </c>
      <c r="M48" s="75"/>
      <c r="N48" s="48">
        <f t="shared" si="1"/>
        <v>0</v>
      </c>
      <c r="P48" s="140" t="str">
        <f t="shared" si="10"/>
        <v>2100/050Electricity and water</v>
      </c>
      <c r="Q48" s="70"/>
      <c r="S48" s="71"/>
      <c r="T48" s="51"/>
      <c r="U48" s="31"/>
    </row>
    <row r="49" spans="1:21" x14ac:dyDescent="0.2">
      <c r="A49" s="238"/>
      <c r="B49" s="54" t="s">
        <v>57</v>
      </c>
      <c r="C49" s="240" t="s">
        <v>59</v>
      </c>
      <c r="D49" s="250"/>
      <c r="E49" s="251"/>
      <c r="F49" s="132"/>
      <c r="G49" s="132"/>
      <c r="H49" s="132"/>
      <c r="I49" s="79"/>
      <c r="J49" s="198">
        <f>SUMIF(Journals!D$14:D$920,TrialBalance!P49,Journals!J$14:J$920)+SUMIF(Journals!E$14:E$920,TrialBalance!P49,Journals!J$14:J$920)</f>
        <v>0</v>
      </c>
      <c r="K49" s="253"/>
      <c r="L49" s="255">
        <f t="shared" si="6"/>
        <v>0</v>
      </c>
      <c r="M49" s="75"/>
      <c r="N49" s="48">
        <f t="shared" si="1"/>
        <v>0</v>
      </c>
      <c r="P49" s="140" t="str">
        <f t="shared" si="10"/>
        <v>2100/055Equipment lease</v>
      </c>
      <c r="Q49" s="70"/>
      <c r="S49" s="71"/>
      <c r="T49" s="51"/>
      <c r="U49" s="31"/>
    </row>
    <row r="50" spans="1:21" x14ac:dyDescent="0.2">
      <c r="A50" s="238"/>
      <c r="B50" s="54" t="s">
        <v>60</v>
      </c>
      <c r="C50" s="240" t="s">
        <v>278</v>
      </c>
      <c r="D50" s="250"/>
      <c r="E50" s="251"/>
      <c r="F50" s="132"/>
      <c r="G50" s="132"/>
      <c r="H50" s="132"/>
      <c r="I50" s="79"/>
      <c r="J50" s="198">
        <f>SUMIF(Journals!D$14:D$920,TrialBalance!P50,Journals!J$14:J$920)+SUMIF(Journals!E$14:E$920,TrialBalance!P50,Journals!J$14:J$920)</f>
        <v>0</v>
      </c>
      <c r="K50" s="254" t="s">
        <v>588</v>
      </c>
      <c r="L50" s="255">
        <f t="shared" si="6"/>
        <v>0</v>
      </c>
      <c r="M50" s="75"/>
      <c r="N50" s="48">
        <f t="shared" si="1"/>
        <v>0</v>
      </c>
      <c r="P50" s="140" t="str">
        <f t="shared" si="10"/>
        <v>2100/060Insurance</v>
      </c>
      <c r="Q50" s="70"/>
      <c r="S50" s="51"/>
      <c r="T50" s="51"/>
      <c r="U50" s="31"/>
    </row>
    <row r="51" spans="1:21" x14ac:dyDescent="0.2">
      <c r="A51" s="238"/>
      <c r="B51" s="54" t="s">
        <v>447</v>
      </c>
      <c r="C51" s="240" t="s">
        <v>172</v>
      </c>
      <c r="D51" s="250"/>
      <c r="E51" s="251"/>
      <c r="F51" s="132"/>
      <c r="G51" s="132"/>
      <c r="H51" s="132"/>
      <c r="I51" s="79"/>
      <c r="J51" s="198">
        <f>SUMIF(Journals!D$14:D$920,TrialBalance!P51,Journals!J$14:J$920)+SUMIF(Journals!E$14:E$920,TrialBalance!P51,Journals!J$14:J$920)</f>
        <v>0</v>
      </c>
      <c r="K51" s="253"/>
      <c r="L51" s="255">
        <f t="shared" si="6"/>
        <v>0</v>
      </c>
      <c r="M51" s="75"/>
      <c r="N51" s="48">
        <f t="shared" si="1"/>
        <v>0</v>
      </c>
      <c r="P51" s="140" t="str">
        <f t="shared" si="10"/>
        <v>2100/071Levies - SDL</v>
      </c>
      <c r="Q51" s="70"/>
      <c r="S51" s="71"/>
      <c r="T51" s="51"/>
      <c r="U51" s="31"/>
    </row>
    <row r="52" spans="1:21" x14ac:dyDescent="0.2">
      <c r="A52" s="238"/>
      <c r="B52" s="54" t="s">
        <v>173</v>
      </c>
      <c r="C52" s="240" t="s">
        <v>174</v>
      </c>
      <c r="D52" s="250"/>
      <c r="E52" s="251"/>
      <c r="F52" s="132"/>
      <c r="G52" s="132"/>
      <c r="H52" s="132"/>
      <c r="I52" s="79"/>
      <c r="J52" s="198">
        <f>SUMIF(Journals!D$14:D$920,TrialBalance!P52,Journals!J$14:J$920)+SUMIF(Journals!E$14:E$920,TrialBalance!P52,Journals!J$14:J$920)</f>
        <v>0</v>
      </c>
      <c r="K52" s="253"/>
      <c r="L52" s="255">
        <f t="shared" si="6"/>
        <v>0</v>
      </c>
      <c r="M52" s="75"/>
      <c r="N52" s="48">
        <f t="shared" si="1"/>
        <v>0</v>
      </c>
      <c r="P52" s="140" t="str">
        <f t="shared" si="10"/>
        <v>2100/072Levies - other</v>
      </c>
      <c r="Q52" s="70"/>
      <c r="S52" s="71"/>
      <c r="T52" s="51"/>
      <c r="U52" s="31"/>
    </row>
    <row r="53" spans="1:21" x14ac:dyDescent="0.2">
      <c r="A53" s="238"/>
      <c r="B53" s="54" t="s">
        <v>175</v>
      </c>
      <c r="C53" s="246" t="s">
        <v>357</v>
      </c>
      <c r="D53" s="251"/>
      <c r="E53" s="251"/>
      <c r="F53" s="132"/>
      <c r="G53" s="132"/>
      <c r="H53" s="132"/>
      <c r="I53" s="79"/>
      <c r="J53" s="198">
        <f>SUMIF(Journals!D$14:D$920,TrialBalance!P53,Journals!J$14:J$920)+SUMIF(Journals!E$14:E$920,TrialBalance!P53,Journals!J$14:J$920)</f>
        <v>0</v>
      </c>
      <c r="K53" s="253"/>
      <c r="L53" s="255">
        <f t="shared" si="6"/>
        <v>0</v>
      </c>
      <c r="M53" s="75"/>
      <c r="N53" s="48">
        <f t="shared" si="1"/>
        <v>0</v>
      </c>
      <c r="P53" s="140" t="str">
        <f t="shared" si="10"/>
        <v>2100/080Trade licenses</v>
      </c>
      <c r="Q53" s="70"/>
      <c r="S53" s="71"/>
      <c r="T53" s="51"/>
      <c r="U53" s="31"/>
    </row>
    <row r="54" spans="1:21" x14ac:dyDescent="0.2">
      <c r="A54" s="238"/>
      <c r="B54" s="54" t="s">
        <v>176</v>
      </c>
      <c r="C54" s="239" t="s">
        <v>177</v>
      </c>
      <c r="D54" s="250"/>
      <c r="E54" s="251"/>
      <c r="F54" s="132"/>
      <c r="G54" s="132"/>
      <c r="H54" s="132"/>
      <c r="I54" s="79"/>
      <c r="J54" s="198">
        <f>SUMIF(Journals!D$14:D$920,TrialBalance!P54,Journals!J$14:J$920)+SUMIF(Journals!E$14:E$920,TrialBalance!P54,Journals!J$14:J$920)</f>
        <v>0</v>
      </c>
      <c r="K54" s="253"/>
      <c r="L54" s="255">
        <f t="shared" si="6"/>
        <v>0</v>
      </c>
      <c r="M54" s="75"/>
      <c r="N54" s="48">
        <f t="shared" si="1"/>
        <v>0</v>
      </c>
      <c r="P54" s="140" t="str">
        <f t="shared" si="10"/>
        <v>2100/090Motor vehicle expenses------------------</v>
      </c>
      <c r="Q54" s="70"/>
      <c r="S54" s="71"/>
      <c r="T54" s="51"/>
      <c r="U54" s="31"/>
    </row>
    <row r="55" spans="1:21" x14ac:dyDescent="0.2">
      <c r="A55" s="238"/>
      <c r="B55" s="54" t="s">
        <v>178</v>
      </c>
      <c r="C55" s="240" t="s">
        <v>179</v>
      </c>
      <c r="D55" s="250"/>
      <c r="E55" s="251"/>
      <c r="F55" s="132"/>
      <c r="G55" s="132"/>
      <c r="H55" s="132"/>
      <c r="I55" s="79"/>
      <c r="J55" s="198">
        <f>SUMIF(Journals!D$14:D$920,TrialBalance!P55,Journals!J$14:J$920)+SUMIF(Journals!E$14:E$920,TrialBalance!P55,Journals!J$14:J$920)</f>
        <v>0</v>
      </c>
      <c r="K55" s="253"/>
      <c r="L55" s="255">
        <f t="shared" si="6"/>
        <v>0</v>
      </c>
      <c r="M55" s="75"/>
      <c r="N55" s="48">
        <f t="shared" si="1"/>
        <v>0</v>
      </c>
      <c r="P55" s="140" t="str">
        <f t="shared" si="10"/>
        <v>2100/091Motor vehicle expenses - Petrol and oil</v>
      </c>
      <c r="Q55" s="70"/>
      <c r="S55" s="71"/>
      <c r="T55" s="51"/>
      <c r="U55" s="31"/>
    </row>
    <row r="56" spans="1:21" x14ac:dyDescent="0.2">
      <c r="A56" s="238"/>
      <c r="B56" s="54" t="s">
        <v>180</v>
      </c>
      <c r="C56" s="240" t="s">
        <v>181</v>
      </c>
      <c r="D56" s="250"/>
      <c r="E56" s="251"/>
      <c r="F56" s="132"/>
      <c r="G56" s="132"/>
      <c r="H56" s="132"/>
      <c r="I56" s="79"/>
      <c r="J56" s="198">
        <f>SUMIF(Journals!D$14:D$920,TrialBalance!P56,Journals!J$14:J$920)+SUMIF(Journals!E$14:E$920,TrialBalance!P56,Journals!J$14:J$920)</f>
        <v>0</v>
      </c>
      <c r="K56" s="253"/>
      <c r="L56" s="255">
        <f t="shared" si="6"/>
        <v>0</v>
      </c>
      <c r="M56" s="75"/>
      <c r="N56" s="48">
        <f t="shared" si="1"/>
        <v>0</v>
      </c>
      <c r="P56" s="140" t="str">
        <f t="shared" si="10"/>
        <v>2100/092Motor vehicle expenses - R&amp;M</v>
      </c>
      <c r="Q56" s="70"/>
      <c r="S56" s="71"/>
      <c r="T56" s="51"/>
      <c r="U56" s="31"/>
    </row>
    <row r="57" spans="1:21" x14ac:dyDescent="0.2">
      <c r="A57" s="238"/>
      <c r="B57" s="54" t="s">
        <v>182</v>
      </c>
      <c r="C57" s="240" t="s">
        <v>183</v>
      </c>
      <c r="D57" s="250"/>
      <c r="E57" s="251"/>
      <c r="F57" s="132"/>
      <c r="G57" s="132"/>
      <c r="H57" s="132"/>
      <c r="I57" s="79"/>
      <c r="J57" s="198">
        <f>SUMIF(Journals!D$14:D$920,TrialBalance!P57,Journals!J$14:J$920)+SUMIF(Journals!E$14:E$920,TrialBalance!P57,Journals!J$14:J$920)</f>
        <v>0</v>
      </c>
      <c r="K57" s="253"/>
      <c r="L57" s="255">
        <f t="shared" si="6"/>
        <v>0</v>
      </c>
      <c r="M57" s="75"/>
      <c r="N57" s="48">
        <f t="shared" si="1"/>
        <v>0</v>
      </c>
      <c r="P57" s="140" t="str">
        <f t="shared" si="10"/>
        <v>2100/093Motor vehicle expenses - Insurance</v>
      </c>
      <c r="Q57" s="70"/>
      <c r="S57" s="71"/>
      <c r="T57" s="51"/>
      <c r="U57" s="31"/>
    </row>
    <row r="58" spans="1:21" x14ac:dyDescent="0.2">
      <c r="A58" s="238"/>
      <c r="B58" s="54" t="s">
        <v>184</v>
      </c>
      <c r="C58" s="241" t="s">
        <v>759</v>
      </c>
      <c r="D58" s="250"/>
      <c r="E58" s="251"/>
      <c r="F58" s="132"/>
      <c r="G58" s="132"/>
      <c r="H58" s="132"/>
      <c r="I58" s="79"/>
      <c r="J58" s="198">
        <f>SUMIF(Journals!D$14:D$920,TrialBalance!P58,Journals!J$14:J$920)+SUMIF(Journals!E$14:E$920,TrialBalance!P58,Journals!J$14:J$920)</f>
        <v>0</v>
      </c>
      <c r="K58" s="253"/>
      <c r="L58" s="255">
        <f t="shared" si="6"/>
        <v>0</v>
      </c>
      <c r="M58" s="75"/>
      <c r="N58" s="48">
        <f t="shared" si="1"/>
        <v>0</v>
      </c>
      <c r="P58" s="140" t="str">
        <f t="shared" si="10"/>
        <v>2100/094Motor vehicle expenses - Licenses</v>
      </c>
      <c r="Q58" s="70"/>
      <c r="S58" s="71"/>
      <c r="T58" s="51"/>
      <c r="U58" s="31"/>
    </row>
    <row r="59" spans="1:21" x14ac:dyDescent="0.2">
      <c r="A59" s="238"/>
      <c r="B59" s="54" t="s">
        <v>185</v>
      </c>
      <c r="C59" s="242" t="s">
        <v>760</v>
      </c>
      <c r="D59" s="250"/>
      <c r="E59" s="251"/>
      <c r="F59" s="132"/>
      <c r="G59" s="132"/>
      <c r="H59" s="132"/>
      <c r="I59" s="79"/>
      <c r="J59" s="198">
        <f>SUMIF(Journals!D$14:D$920,TrialBalance!P59,Journals!J$14:J$920)+SUMIF(Journals!E$14:E$920,TrialBalance!P59,Journals!J$14:J$920)</f>
        <v>0</v>
      </c>
      <c r="K59" s="253"/>
      <c r="L59" s="255">
        <f t="shared" si="6"/>
        <v>0</v>
      </c>
      <c r="M59" s="75"/>
      <c r="N59" s="48">
        <f t="shared" si="1"/>
        <v>0</v>
      </c>
      <c r="P59" s="140" t="str">
        <f t="shared" si="10"/>
        <v>2100/095Motor vehicle expenses - General</v>
      </c>
      <c r="Q59" s="70"/>
      <c r="S59" s="71"/>
      <c r="T59" s="51"/>
      <c r="U59" s="31"/>
    </row>
    <row r="60" spans="1:21" x14ac:dyDescent="0.2">
      <c r="A60" s="238"/>
      <c r="B60" s="54" t="s">
        <v>186</v>
      </c>
      <c r="C60" s="239" t="s">
        <v>613</v>
      </c>
      <c r="D60" s="250"/>
      <c r="E60" s="251"/>
      <c r="F60" s="132"/>
      <c r="G60" s="132"/>
      <c r="H60" s="132"/>
      <c r="I60" s="79"/>
      <c r="J60" s="198">
        <f>SUMIF(Journals!D$14:D$920,TrialBalance!P60,Journals!J$14:J$920)+SUMIF(Journals!E$14:E$920,TrialBalance!P60,Journals!J$14:J$920)</f>
        <v>0</v>
      </c>
      <c r="K60" s="253"/>
      <c r="L60" s="255">
        <f t="shared" si="6"/>
        <v>0</v>
      </c>
      <c r="M60" s="75"/>
      <c r="N60" s="48">
        <f t="shared" si="1"/>
        <v>0</v>
      </c>
      <c r="P60" s="140" t="str">
        <f t="shared" si="10"/>
        <v>2100/100Rent paid-------------------------------------</v>
      </c>
      <c r="Q60" s="70"/>
      <c r="S60" s="71"/>
      <c r="T60" s="51"/>
      <c r="U60" s="31"/>
    </row>
    <row r="61" spans="1:21" x14ac:dyDescent="0.2">
      <c r="A61" s="238"/>
      <c r="B61" s="54" t="s">
        <v>188</v>
      </c>
      <c r="C61" s="243" t="s">
        <v>840</v>
      </c>
      <c r="D61" s="250"/>
      <c r="E61" s="251"/>
      <c r="F61" s="132"/>
      <c r="G61" s="132"/>
      <c r="H61" s="132"/>
      <c r="I61" s="79"/>
      <c r="J61" s="198">
        <f>SUMIF(Journals!D$14:D$920,TrialBalance!P61,Journals!J$14:J$920)+SUMIF(Journals!E$14:E$920,TrialBalance!P61,Journals!J$14:J$920)</f>
        <v>0</v>
      </c>
      <c r="K61" s="253"/>
      <c r="L61" s="255">
        <f t="shared" si="6"/>
        <v>0</v>
      </c>
      <c r="M61" s="75"/>
      <c r="N61" s="48">
        <f t="shared" si="1"/>
        <v>0</v>
      </c>
      <c r="P61" s="140" t="str">
        <f t="shared" si="10"/>
        <v>2100/101Premises</v>
      </c>
      <c r="Q61" s="70"/>
      <c r="S61" s="71"/>
      <c r="T61" s="51"/>
      <c r="U61" s="31"/>
    </row>
    <row r="62" spans="1:21" x14ac:dyDescent="0.2">
      <c r="A62" s="238"/>
      <c r="B62" s="54" t="s">
        <v>189</v>
      </c>
      <c r="C62" s="243"/>
      <c r="D62" s="250"/>
      <c r="E62" s="251"/>
      <c r="F62" s="132"/>
      <c r="G62" s="132"/>
      <c r="H62" s="132"/>
      <c r="I62" s="79"/>
      <c r="J62" s="198">
        <f>SUMIF(Journals!D$14:D$920,TrialBalance!P62,Journals!J$14:J$920)+SUMIF(Journals!E$14:E$920,TrialBalance!P62,Journals!J$14:J$920)</f>
        <v>0</v>
      </c>
      <c r="K62" s="253"/>
      <c r="L62" s="255">
        <f t="shared" si="6"/>
        <v>0</v>
      </c>
      <c r="M62" s="75"/>
      <c r="N62" s="48">
        <f t="shared" si="1"/>
        <v>0</v>
      </c>
      <c r="P62" s="140" t="str">
        <f t="shared" si="10"/>
        <v>2100/102</v>
      </c>
      <c r="Q62" s="70"/>
      <c r="S62" s="71"/>
      <c r="T62" s="51"/>
      <c r="U62" s="31"/>
    </row>
    <row r="63" spans="1:21" x14ac:dyDescent="0.2">
      <c r="A63" s="238"/>
      <c r="B63" s="54" t="s">
        <v>190</v>
      </c>
      <c r="C63" s="247"/>
      <c r="D63" s="250"/>
      <c r="E63" s="251"/>
      <c r="F63" s="132"/>
      <c r="G63" s="132"/>
      <c r="H63" s="132"/>
      <c r="I63" s="79"/>
      <c r="J63" s="198">
        <f>SUMIF(Journals!D$14:D$920,TrialBalance!P63,Journals!J$14:J$920)+SUMIF(Journals!E$14:E$920,TrialBalance!P63,Journals!J$14:J$920)</f>
        <v>0</v>
      </c>
      <c r="K63" s="253"/>
      <c r="L63" s="255">
        <f t="shared" si="6"/>
        <v>0</v>
      </c>
      <c r="M63" s="75"/>
      <c r="N63" s="48">
        <f t="shared" si="1"/>
        <v>0</v>
      </c>
      <c r="P63" s="140" t="str">
        <f t="shared" si="10"/>
        <v>2100/103</v>
      </c>
      <c r="Q63" s="70"/>
      <c r="S63" s="71"/>
      <c r="T63" s="51"/>
      <c r="U63" s="31"/>
    </row>
    <row r="64" spans="1:21" x14ac:dyDescent="0.2">
      <c r="A64" s="238"/>
      <c r="B64" s="54" t="s">
        <v>191</v>
      </c>
      <c r="C64" s="240" t="s">
        <v>62</v>
      </c>
      <c r="D64" s="250"/>
      <c r="E64" s="251"/>
      <c r="F64" s="132"/>
      <c r="G64" s="132"/>
      <c r="H64" s="132"/>
      <c r="I64" s="79"/>
      <c r="J64" s="198">
        <f>SUMIF(Journals!D$14:D$920,TrialBalance!P64,Journals!J$14:J$920)+SUMIF(Journals!E$14:E$920,TrialBalance!P64,Journals!J$14:J$920)</f>
        <v>0</v>
      </c>
      <c r="K64" s="253"/>
      <c r="L64" s="255">
        <f t="shared" si="6"/>
        <v>0</v>
      </c>
      <c r="M64" s="75"/>
      <c r="N64" s="48">
        <f t="shared" si="1"/>
        <v>0</v>
      </c>
      <c r="P64" s="140" t="str">
        <f t="shared" si="10"/>
        <v>2100/110Repairs and maintenance</v>
      </c>
      <c r="Q64" s="70"/>
      <c r="S64" s="71"/>
      <c r="T64" s="51"/>
      <c r="U64" s="31"/>
    </row>
    <row r="65" spans="1:21" x14ac:dyDescent="0.2">
      <c r="A65" s="238"/>
      <c r="B65" s="54" t="s">
        <v>63</v>
      </c>
      <c r="C65" s="240" t="s">
        <v>64</v>
      </c>
      <c r="D65" s="250"/>
      <c r="E65" s="251"/>
      <c r="F65" s="132"/>
      <c r="G65" s="132"/>
      <c r="H65" s="132"/>
      <c r="I65" s="79"/>
      <c r="J65" s="198">
        <f>SUMIF(Journals!D$14:D$920,TrialBalance!P65,Journals!J$14:J$920)+SUMIF(Journals!E$14:E$920,TrialBalance!P65,Journals!J$14:J$920)</f>
        <v>0</v>
      </c>
      <c r="K65" s="253"/>
      <c r="L65" s="255">
        <f t="shared" si="6"/>
        <v>0</v>
      </c>
      <c r="M65" s="75"/>
      <c r="N65" s="48">
        <f t="shared" si="1"/>
        <v>0</v>
      </c>
      <c r="P65" s="140" t="str">
        <f t="shared" si="10"/>
        <v>2100/120Salaries</v>
      </c>
      <c r="Q65" s="70"/>
      <c r="S65" s="71"/>
      <c r="T65" s="51"/>
      <c r="U65" s="31"/>
    </row>
    <row r="66" spans="1:21" x14ac:dyDescent="0.2">
      <c r="A66" s="238"/>
      <c r="B66" s="54" t="s">
        <v>65</v>
      </c>
      <c r="C66" s="240" t="s">
        <v>66</v>
      </c>
      <c r="D66" s="250"/>
      <c r="E66" s="251"/>
      <c r="F66" s="132"/>
      <c r="G66" s="132"/>
      <c r="H66" s="132"/>
      <c r="I66" s="79"/>
      <c r="J66" s="198">
        <f>SUMIF(Journals!D$14:D$920,TrialBalance!P66,Journals!J$14:J$920)+SUMIF(Journals!E$14:E$920,TrialBalance!P66,Journals!J$14:J$920)</f>
        <v>0</v>
      </c>
      <c r="K66" s="253"/>
      <c r="L66" s="255">
        <f t="shared" si="6"/>
        <v>0</v>
      </c>
      <c r="M66" s="75"/>
      <c r="N66" s="48">
        <f t="shared" si="1"/>
        <v>0</v>
      </c>
      <c r="P66" s="140" t="str">
        <f t="shared" si="10"/>
        <v>2100/121UIF - Employer</v>
      </c>
      <c r="Q66" s="70"/>
      <c r="S66" s="71"/>
      <c r="T66" s="51"/>
      <c r="U66" s="31"/>
    </row>
    <row r="67" spans="1:21" x14ac:dyDescent="0.2">
      <c r="A67" s="238"/>
      <c r="B67" s="54" t="s">
        <v>67</v>
      </c>
      <c r="C67" s="240" t="s">
        <v>68</v>
      </c>
      <c r="D67" s="250"/>
      <c r="E67" s="251"/>
      <c r="F67" s="132"/>
      <c r="G67" s="132"/>
      <c r="H67" s="132"/>
      <c r="I67" s="79"/>
      <c r="J67" s="198">
        <f>SUMIF(Journals!D$14:D$920,TrialBalance!P67,Journals!J$14:J$920)+SUMIF(Journals!E$14:E$920,TrialBalance!P67,Journals!J$14:J$920)</f>
        <v>0</v>
      </c>
      <c r="K67" s="253"/>
      <c r="L67" s="255">
        <f t="shared" si="6"/>
        <v>0</v>
      </c>
      <c r="M67" s="75"/>
      <c r="N67" s="48">
        <f t="shared" si="1"/>
        <v>0</v>
      </c>
      <c r="P67" s="140" t="str">
        <f t="shared" si="10"/>
        <v>2100/122Casual wages</v>
      </c>
      <c r="Q67" s="70"/>
      <c r="S67" s="71"/>
      <c r="T67" s="51"/>
      <c r="U67" s="31"/>
    </row>
    <row r="68" spans="1:21" x14ac:dyDescent="0.2">
      <c r="A68" s="238"/>
      <c r="B68" s="54" t="s">
        <v>69</v>
      </c>
      <c r="C68" s="240" t="s">
        <v>70</v>
      </c>
      <c r="D68" s="250"/>
      <c r="E68" s="251"/>
      <c r="F68" s="132"/>
      <c r="G68" s="132"/>
      <c r="H68" s="132"/>
      <c r="I68" s="79"/>
      <c r="J68" s="198">
        <f>SUMIF(Journals!D$14:D$920,TrialBalance!P68,Journals!J$14:J$920)+SUMIF(Journals!E$14:E$920,TrialBalance!P68,Journals!J$14:J$920)</f>
        <v>0</v>
      </c>
      <c r="K68" s="253"/>
      <c r="L68" s="255">
        <f t="shared" si="6"/>
        <v>0</v>
      </c>
      <c r="M68" s="75"/>
      <c r="N68" s="48">
        <f t="shared" si="1"/>
        <v>0</v>
      </c>
      <c r="P68" s="140" t="str">
        <f t="shared" si="10"/>
        <v>2100/130Telephone</v>
      </c>
      <c r="Q68" s="70"/>
      <c r="S68" s="71"/>
      <c r="T68" s="51"/>
      <c r="U68" s="31"/>
    </row>
    <row r="69" spans="1:21" x14ac:dyDescent="0.2">
      <c r="A69" s="238"/>
      <c r="B69" s="54" t="s">
        <v>71</v>
      </c>
      <c r="C69" s="240" t="s">
        <v>482</v>
      </c>
      <c r="D69" s="250"/>
      <c r="E69" s="251"/>
      <c r="F69" s="132"/>
      <c r="G69" s="132"/>
      <c r="H69" s="132"/>
      <c r="I69" s="79"/>
      <c r="J69" s="198">
        <f>SUMIF(Journals!D$14:D$920,TrialBalance!P69,Journals!J$14:J$920)+SUMIF(Journals!E$14:E$920,TrialBalance!P69,Journals!J$14:J$920)</f>
        <v>0</v>
      </c>
      <c r="K69" s="253"/>
      <c r="L69" s="255">
        <f t="shared" si="6"/>
        <v>0</v>
      </c>
      <c r="M69" s="75"/>
      <c r="N69" s="48">
        <f t="shared" si="1"/>
        <v>0</v>
      </c>
      <c r="P69" s="140" t="str">
        <f t="shared" si="10"/>
        <v>2100/135Postage and courier</v>
      </c>
      <c r="Q69" s="70"/>
      <c r="S69" s="71"/>
      <c r="T69" s="51"/>
      <c r="U69" s="31"/>
    </row>
    <row r="70" spans="1:21" x14ac:dyDescent="0.2">
      <c r="A70" s="238"/>
      <c r="B70" s="54" t="s">
        <v>72</v>
      </c>
      <c r="C70" s="240" t="s">
        <v>254</v>
      </c>
      <c r="D70" s="250"/>
      <c r="E70" s="251"/>
      <c r="F70" s="132"/>
      <c r="G70" s="132"/>
      <c r="H70" s="132"/>
      <c r="I70" s="79"/>
      <c r="J70" s="198">
        <f>SUMIF(Journals!D$14:D$920,TrialBalance!P70,Journals!J$14:J$920)+SUMIF(Journals!E$14:E$920,TrialBalance!P70,Journals!J$14:J$920)</f>
        <v>0</v>
      </c>
      <c r="K70" s="253"/>
      <c r="L70" s="255">
        <f t="shared" si="6"/>
        <v>0</v>
      </c>
      <c r="M70" s="75"/>
      <c r="N70" s="48">
        <f t="shared" si="1"/>
        <v>0</v>
      </c>
      <c r="P70" s="140" t="str">
        <f t="shared" si="10"/>
        <v>2100/140Training</v>
      </c>
      <c r="Q70" s="70"/>
      <c r="S70" s="71"/>
      <c r="T70" s="51"/>
      <c r="U70" s="31"/>
    </row>
    <row r="71" spans="1:21" x14ac:dyDescent="0.2">
      <c r="A71" s="238"/>
      <c r="B71" s="54" t="s">
        <v>73</v>
      </c>
      <c r="C71" s="241" t="s">
        <v>808</v>
      </c>
      <c r="D71" s="251"/>
      <c r="E71" s="251"/>
      <c r="F71" s="132"/>
      <c r="G71" s="132"/>
      <c r="H71" s="132"/>
      <c r="I71" s="79"/>
      <c r="J71" s="198">
        <f>SUMIF(Journals!D$14:D$920,TrialBalance!P71,Journals!J$14:J$920)+SUMIF(Journals!E$14:E$920,TrialBalance!P71,Journals!J$14:J$920)</f>
        <v>0</v>
      </c>
      <c r="K71" s="253"/>
      <c r="L71" s="255">
        <f t="shared" si="6"/>
        <v>0</v>
      </c>
      <c r="M71" s="75"/>
      <c r="N71" s="48">
        <f t="shared" si="1"/>
        <v>0</v>
      </c>
      <c r="P71" s="140" t="str">
        <f t="shared" si="10"/>
        <v>2100/150Traveling and accommodation</v>
      </c>
      <c r="Q71" s="70"/>
      <c r="S71" s="71"/>
      <c r="T71" s="51"/>
      <c r="U71" s="31"/>
    </row>
    <row r="72" spans="1:21" x14ac:dyDescent="0.2">
      <c r="A72" s="238"/>
      <c r="B72" s="90" t="s">
        <v>621</v>
      </c>
      <c r="C72" s="243"/>
      <c r="D72" s="251"/>
      <c r="E72" s="251"/>
      <c r="F72" s="132"/>
      <c r="G72" s="132"/>
      <c r="H72" s="132"/>
      <c r="I72" s="79"/>
      <c r="J72" s="198">
        <f>SUMIF(Journals!D$14:D$920,TrialBalance!P72,Journals!J$14:J$920)+SUMIF(Journals!E$14:E$920,TrialBalance!P72,Journals!J$14:J$920)</f>
        <v>0</v>
      </c>
      <c r="K72" s="253"/>
      <c r="L72" s="255">
        <f t="shared" si="6"/>
        <v>0</v>
      </c>
      <c r="M72" s="75"/>
      <c r="N72" s="48">
        <f t="shared" si="1"/>
        <v>0</v>
      </c>
      <c r="P72" s="140" t="str">
        <f t="shared" si="10"/>
        <v>2150/001</v>
      </c>
      <c r="Q72" s="70"/>
      <c r="S72" s="71"/>
      <c r="T72" s="51"/>
      <c r="U72" s="31"/>
    </row>
    <row r="73" spans="1:21" x14ac:dyDescent="0.2">
      <c r="A73" s="238"/>
      <c r="B73" s="90" t="s">
        <v>622</v>
      </c>
      <c r="C73" s="243"/>
      <c r="D73" s="251"/>
      <c r="E73" s="251"/>
      <c r="F73" s="132"/>
      <c r="G73" s="132"/>
      <c r="H73" s="132"/>
      <c r="I73" s="79"/>
      <c r="J73" s="198">
        <f>SUMIF(Journals!D$14:D$920,TrialBalance!P73,Journals!J$14:J$920)+SUMIF(Journals!E$14:E$920,TrialBalance!P73,Journals!J$14:J$920)</f>
        <v>0</v>
      </c>
      <c r="K73" s="253"/>
      <c r="L73" s="255">
        <f t="shared" si="6"/>
        <v>0</v>
      </c>
      <c r="M73" s="75"/>
      <c r="N73" s="48">
        <f t="shared" si="1"/>
        <v>0</v>
      </c>
      <c r="P73" s="140" t="str">
        <f t="shared" si="10"/>
        <v>2150/002</v>
      </c>
      <c r="Q73" s="70"/>
      <c r="S73" s="71"/>
      <c r="T73" s="51"/>
      <c r="U73" s="31"/>
    </row>
    <row r="74" spans="1:21" x14ac:dyDescent="0.2">
      <c r="A74" s="238"/>
      <c r="B74" s="90" t="s">
        <v>623</v>
      </c>
      <c r="C74" s="243"/>
      <c r="D74" s="251"/>
      <c r="E74" s="251"/>
      <c r="F74" s="132"/>
      <c r="G74" s="132"/>
      <c r="H74" s="132"/>
      <c r="I74" s="79"/>
      <c r="J74" s="198">
        <f>SUMIF(Journals!D$14:D$920,TrialBalance!P74,Journals!J$14:J$920)+SUMIF(Journals!E$14:E$920,TrialBalance!P74,Journals!J$14:J$920)</f>
        <v>0</v>
      </c>
      <c r="K74" s="253"/>
      <c r="L74" s="255">
        <f t="shared" si="6"/>
        <v>0</v>
      </c>
      <c r="M74" s="75"/>
      <c r="N74" s="48">
        <f t="shared" ref="N74:N138" si="11">ROUND(SUM(A74),0)</f>
        <v>0</v>
      </c>
      <c r="P74" s="140" t="str">
        <f t="shared" ref="P74:P107" si="12">CONCATENATE(B74,C74)</f>
        <v>2150/003</v>
      </c>
      <c r="Q74" s="70"/>
      <c r="S74" s="71"/>
      <c r="T74" s="51"/>
      <c r="U74" s="31"/>
    </row>
    <row r="75" spans="1:21" x14ac:dyDescent="0.2">
      <c r="A75" s="238"/>
      <c r="B75" s="90" t="s">
        <v>624</v>
      </c>
      <c r="C75" s="243"/>
      <c r="D75" s="251"/>
      <c r="E75" s="251"/>
      <c r="F75" s="132"/>
      <c r="G75" s="132"/>
      <c r="H75" s="132"/>
      <c r="I75" s="79"/>
      <c r="J75" s="198">
        <f>SUMIF(Journals!D$14:D$920,TrialBalance!P75,Journals!J$14:J$920)+SUMIF(Journals!E$14:E$920,TrialBalance!P75,Journals!J$14:J$920)</f>
        <v>0</v>
      </c>
      <c r="K75" s="253"/>
      <c r="L75" s="255">
        <f t="shared" si="6"/>
        <v>0</v>
      </c>
      <c r="M75" s="75"/>
      <c r="N75" s="48">
        <f t="shared" si="11"/>
        <v>0</v>
      </c>
      <c r="P75" s="140" t="str">
        <f t="shared" si="12"/>
        <v>2150/004</v>
      </c>
      <c r="Q75" s="70"/>
      <c r="S75" s="71"/>
      <c r="T75" s="51"/>
      <c r="U75" s="31"/>
    </row>
    <row r="76" spans="1:21" x14ac:dyDescent="0.2">
      <c r="A76" s="238"/>
      <c r="B76" s="90" t="s">
        <v>625</v>
      </c>
      <c r="C76" s="243"/>
      <c r="D76" s="251"/>
      <c r="E76" s="251"/>
      <c r="F76" s="132"/>
      <c r="G76" s="132"/>
      <c r="H76" s="132"/>
      <c r="I76" s="79"/>
      <c r="J76" s="198">
        <f>SUMIF(Journals!D$14:D$920,TrialBalance!P76,Journals!J$14:J$920)+SUMIF(Journals!E$14:E$920,TrialBalance!P76,Journals!J$14:J$920)</f>
        <v>0</v>
      </c>
      <c r="K76" s="253"/>
      <c r="L76" s="255">
        <f t="shared" ref="L76:L135" si="13">ROUND(D76-E76+F76+G76+H76+J76+I76,0)</f>
        <v>0</v>
      </c>
      <c r="M76" s="75"/>
      <c r="N76" s="48">
        <f t="shared" si="11"/>
        <v>0</v>
      </c>
      <c r="P76" s="140" t="str">
        <f t="shared" si="12"/>
        <v>2150/005</v>
      </c>
      <c r="Q76" s="70"/>
      <c r="S76" s="71"/>
      <c r="T76" s="51"/>
      <c r="U76" s="31"/>
    </row>
    <row r="77" spans="1:21" x14ac:dyDescent="0.2">
      <c r="A77" s="238"/>
      <c r="B77" s="90" t="s">
        <v>626</v>
      </c>
      <c r="C77" s="243"/>
      <c r="D77" s="251"/>
      <c r="E77" s="251"/>
      <c r="F77" s="132"/>
      <c r="G77" s="132"/>
      <c r="H77" s="132"/>
      <c r="I77" s="79"/>
      <c r="J77" s="198">
        <f>SUMIF(Journals!D$14:D$920,TrialBalance!P77,Journals!J$14:J$920)+SUMIF(Journals!E$14:E$920,TrialBalance!P77,Journals!J$14:J$920)</f>
        <v>0</v>
      </c>
      <c r="K77" s="253"/>
      <c r="L77" s="255">
        <f t="shared" si="13"/>
        <v>0</v>
      </c>
      <c r="M77" s="75"/>
      <c r="N77" s="48">
        <f t="shared" si="11"/>
        <v>0</v>
      </c>
      <c r="P77" s="140" t="str">
        <f t="shared" si="12"/>
        <v>2150/006</v>
      </c>
      <c r="Q77" s="70"/>
      <c r="S77" s="71"/>
      <c r="T77" s="51"/>
      <c r="U77" s="31"/>
    </row>
    <row r="78" spans="1:21" x14ac:dyDescent="0.2">
      <c r="A78" s="238"/>
      <c r="B78" s="90" t="s">
        <v>627</v>
      </c>
      <c r="C78" s="243"/>
      <c r="D78" s="251"/>
      <c r="E78" s="251"/>
      <c r="F78" s="132"/>
      <c r="G78" s="132"/>
      <c r="H78" s="132"/>
      <c r="I78" s="79"/>
      <c r="J78" s="198">
        <f>SUMIF(Journals!D$14:D$920,TrialBalance!P78,Journals!J$14:J$920)+SUMIF(Journals!E$14:E$920,TrialBalance!P78,Journals!J$14:J$920)</f>
        <v>0</v>
      </c>
      <c r="K78" s="253"/>
      <c r="L78" s="255">
        <f t="shared" si="13"/>
        <v>0</v>
      </c>
      <c r="M78" s="75"/>
      <c r="N78" s="48">
        <f t="shared" si="11"/>
        <v>0</v>
      </c>
      <c r="P78" s="140" t="str">
        <f t="shared" si="12"/>
        <v>2150/007</v>
      </c>
      <c r="Q78" s="70"/>
      <c r="S78" s="71"/>
      <c r="T78" s="51"/>
      <c r="U78" s="31"/>
    </row>
    <row r="79" spans="1:21" x14ac:dyDescent="0.2">
      <c r="A79" s="238"/>
      <c r="B79" s="90" t="s">
        <v>628</v>
      </c>
      <c r="C79" s="243"/>
      <c r="D79" s="251"/>
      <c r="E79" s="251"/>
      <c r="F79" s="132"/>
      <c r="G79" s="132"/>
      <c r="H79" s="132"/>
      <c r="I79" s="79"/>
      <c r="J79" s="198">
        <f>SUMIF(Journals!D$14:D$920,TrialBalance!P79,Journals!J$14:J$920)+SUMIF(Journals!E$14:E$920,TrialBalance!P79,Journals!J$14:J$920)</f>
        <v>0</v>
      </c>
      <c r="K79" s="253"/>
      <c r="L79" s="255">
        <f t="shared" si="13"/>
        <v>0</v>
      </c>
      <c r="M79" s="75"/>
      <c r="N79" s="48">
        <f t="shared" si="11"/>
        <v>0</v>
      </c>
      <c r="P79" s="140" t="str">
        <f t="shared" si="12"/>
        <v>2150/008</v>
      </c>
      <c r="Q79" s="70"/>
      <c r="S79" s="71"/>
      <c r="T79" s="51"/>
      <c r="U79" s="31"/>
    </row>
    <row r="80" spans="1:21" x14ac:dyDescent="0.2">
      <c r="A80" s="238"/>
      <c r="B80" s="90" t="s">
        <v>629</v>
      </c>
      <c r="C80" s="243"/>
      <c r="D80" s="251"/>
      <c r="E80" s="251"/>
      <c r="F80" s="132"/>
      <c r="G80" s="132"/>
      <c r="H80" s="132"/>
      <c r="I80" s="79"/>
      <c r="J80" s="198">
        <f>SUMIF(Journals!D$14:D$920,TrialBalance!P80,Journals!J$14:J$920)+SUMIF(Journals!E$14:E$920,TrialBalance!P80,Journals!J$14:J$920)</f>
        <v>0</v>
      </c>
      <c r="K80" s="253"/>
      <c r="L80" s="255">
        <f t="shared" si="13"/>
        <v>0</v>
      </c>
      <c r="M80" s="75"/>
      <c r="N80" s="48">
        <f t="shared" si="11"/>
        <v>0</v>
      </c>
      <c r="P80" s="140" t="str">
        <f t="shared" si="12"/>
        <v>2150/009</v>
      </c>
      <c r="Q80" s="70"/>
      <c r="S80" s="71"/>
      <c r="T80" s="51"/>
      <c r="U80" s="31"/>
    </row>
    <row r="81" spans="1:21" x14ac:dyDescent="0.2">
      <c r="A81" s="238"/>
      <c r="B81" s="90" t="s">
        <v>630</v>
      </c>
      <c r="C81" s="243"/>
      <c r="D81" s="251"/>
      <c r="E81" s="251"/>
      <c r="F81" s="132"/>
      <c r="G81" s="132"/>
      <c r="H81" s="132"/>
      <c r="I81" s="79"/>
      <c r="J81" s="198">
        <f>SUMIF(Journals!D$14:D$920,TrialBalance!P81,Journals!J$14:J$920)+SUMIF(Journals!E$14:E$920,TrialBalance!P81,Journals!J$14:J$920)</f>
        <v>0</v>
      </c>
      <c r="K81" s="253"/>
      <c r="L81" s="255">
        <f t="shared" si="13"/>
        <v>0</v>
      </c>
      <c r="M81" s="75"/>
      <c r="N81" s="48">
        <f t="shared" si="11"/>
        <v>0</v>
      </c>
      <c r="P81" s="140" t="str">
        <f t="shared" si="12"/>
        <v>2150/010</v>
      </c>
      <c r="Q81" s="70"/>
      <c r="S81" s="71"/>
      <c r="T81" s="51"/>
      <c r="U81" s="31"/>
    </row>
    <row r="82" spans="1:21" x14ac:dyDescent="0.2">
      <c r="A82" s="238"/>
      <c r="B82" s="54" t="s">
        <v>20</v>
      </c>
      <c r="C82" s="239" t="s">
        <v>114</v>
      </c>
      <c r="D82" s="250"/>
      <c r="E82" s="251"/>
      <c r="F82" s="132"/>
      <c r="G82" s="132"/>
      <c r="H82" s="132"/>
      <c r="I82" s="79"/>
      <c r="J82" s="198">
        <f>SUMIF(Journals!D$14:D$920,TrialBalance!P82,Journals!J$14:J$920)+SUMIF(Journals!E$14:E$920,TrialBalance!P82,Journals!J$14:J$920)</f>
        <v>0</v>
      </c>
      <c r="K82" s="253"/>
      <c r="L82" s="255">
        <f t="shared" si="13"/>
        <v>0</v>
      </c>
      <c r="M82" s="75"/>
      <c r="N82" s="48">
        <f t="shared" si="11"/>
        <v>0</v>
      </c>
      <c r="P82" s="140" t="str">
        <f t="shared" si="12"/>
        <v>2500/000OTHER INCOME</v>
      </c>
      <c r="Q82" s="70"/>
      <c r="S82" s="71"/>
      <c r="T82" s="51"/>
      <c r="U82" s="31"/>
    </row>
    <row r="83" spans="1:21" x14ac:dyDescent="0.2">
      <c r="A83" s="238"/>
      <c r="B83" s="54" t="s">
        <v>358</v>
      </c>
      <c r="C83" s="241" t="s">
        <v>761</v>
      </c>
      <c r="D83" s="251"/>
      <c r="E83" s="251"/>
      <c r="F83" s="132"/>
      <c r="G83" s="132"/>
      <c r="H83" s="132"/>
      <c r="I83" s="79"/>
      <c r="J83" s="198">
        <f>SUMIF(Journals!D$14:D$920,TrialBalance!P83,Journals!J$14:J$920)+SUMIF(Journals!E$14:E$920,TrialBalance!P83,Journals!J$14:J$920)</f>
        <v>0</v>
      </c>
      <c r="K83" s="253"/>
      <c r="L83" s="255">
        <f t="shared" si="13"/>
        <v>0</v>
      </c>
      <c r="M83" s="75"/>
      <c r="N83" s="48">
        <f t="shared" si="11"/>
        <v>0</v>
      </c>
      <c r="P83" s="140" t="str">
        <f t="shared" si="12"/>
        <v>2710/000Rent received (not main income)</v>
      </c>
      <c r="Q83" s="70"/>
      <c r="S83" s="71"/>
      <c r="T83" s="51"/>
      <c r="U83" s="31"/>
    </row>
    <row r="84" spans="1:21" x14ac:dyDescent="0.2">
      <c r="A84" s="238"/>
      <c r="B84" s="54" t="s">
        <v>74</v>
      </c>
      <c r="C84" s="239" t="s">
        <v>762</v>
      </c>
      <c r="D84" s="250"/>
      <c r="E84" s="251"/>
      <c r="F84" s="132"/>
      <c r="G84" s="132"/>
      <c r="H84" s="132"/>
      <c r="I84" s="79"/>
      <c r="J84" s="198">
        <f>SUMIF(Journals!D$14:D$920,TrialBalance!P84,Journals!J$14:J$920)+SUMIF(Journals!E$14:E$920,TrialBalance!P84,Journals!J$14:J$920)</f>
        <v>0</v>
      </c>
      <c r="K84" s="253"/>
      <c r="L84" s="255">
        <f t="shared" si="13"/>
        <v>0</v>
      </c>
      <c r="M84" s="75"/>
      <c r="N84" s="48">
        <f t="shared" si="11"/>
        <v>0</v>
      </c>
      <c r="P84" s="140" t="str">
        <f t="shared" si="12"/>
        <v>2750/000Interest received--------------------------</v>
      </c>
      <c r="Q84" s="70"/>
      <c r="S84" s="71"/>
      <c r="T84" s="51"/>
      <c r="U84" s="31"/>
    </row>
    <row r="85" spans="1:21" x14ac:dyDescent="0.2">
      <c r="A85" s="238"/>
      <c r="B85" s="54" t="s">
        <v>75</v>
      </c>
      <c r="C85" s="243"/>
      <c r="D85" s="251"/>
      <c r="E85" s="251"/>
      <c r="F85" s="132"/>
      <c r="G85" s="132"/>
      <c r="H85" s="132"/>
      <c r="I85" s="79"/>
      <c r="J85" s="198">
        <f>SUMIF(Journals!D$14:D$920,TrialBalance!P85,Journals!J$14:J$920)+SUMIF(Journals!E$14:E$920,TrialBalance!P85,Journals!J$14:J$920)</f>
        <v>0</v>
      </c>
      <c r="K85" s="253"/>
      <c r="L85" s="255">
        <f t="shared" si="13"/>
        <v>0</v>
      </c>
      <c r="M85" s="75"/>
      <c r="N85" s="48">
        <f t="shared" si="11"/>
        <v>0</v>
      </c>
      <c r="P85" s="140" t="str">
        <f t="shared" si="12"/>
        <v>2750/001</v>
      </c>
      <c r="Q85" s="70"/>
      <c r="S85" s="71"/>
      <c r="T85" s="51"/>
      <c r="U85" s="31"/>
    </row>
    <row r="86" spans="1:21" x14ac:dyDescent="0.2">
      <c r="A86" s="238"/>
      <c r="B86" s="54" t="s">
        <v>76</v>
      </c>
      <c r="C86" s="243"/>
      <c r="D86" s="251"/>
      <c r="E86" s="251"/>
      <c r="F86" s="132"/>
      <c r="G86" s="132"/>
      <c r="H86" s="132"/>
      <c r="I86" s="79"/>
      <c r="J86" s="198">
        <f>SUMIF(Journals!D$14:D$920,TrialBalance!P86,Journals!J$14:J$920)+SUMIF(Journals!E$14:E$920,TrialBalance!P86,Journals!J$14:J$920)</f>
        <v>0</v>
      </c>
      <c r="K86" s="253"/>
      <c r="L86" s="255">
        <f t="shared" si="13"/>
        <v>0</v>
      </c>
      <c r="M86" s="75"/>
      <c r="N86" s="48">
        <f t="shared" si="11"/>
        <v>0</v>
      </c>
      <c r="P86" s="140" t="str">
        <f t="shared" si="12"/>
        <v>2750/002</v>
      </c>
      <c r="Q86" s="70"/>
      <c r="S86" s="71"/>
      <c r="T86" s="51"/>
      <c r="U86" s="31"/>
    </row>
    <row r="87" spans="1:21" x14ac:dyDescent="0.2">
      <c r="A87" s="238"/>
      <c r="B87" s="54" t="s">
        <v>77</v>
      </c>
      <c r="C87" s="243"/>
      <c r="D87" s="250"/>
      <c r="E87" s="251"/>
      <c r="F87" s="132"/>
      <c r="G87" s="132"/>
      <c r="H87" s="132"/>
      <c r="I87" s="79"/>
      <c r="J87" s="198">
        <f>SUMIF(Journals!D$14:D$920,TrialBalance!P87,Journals!J$14:J$920)+SUMIF(Journals!E$14:E$920,TrialBalance!P87,Journals!J$14:J$920)</f>
        <v>0</v>
      </c>
      <c r="K87" s="253"/>
      <c r="L87" s="255">
        <f t="shared" si="13"/>
        <v>0</v>
      </c>
      <c r="M87" s="75"/>
      <c r="N87" s="48">
        <f t="shared" si="11"/>
        <v>0</v>
      </c>
      <c r="P87" s="140" t="str">
        <f t="shared" si="12"/>
        <v>2750/003</v>
      </c>
      <c r="Q87" s="70"/>
      <c r="S87" s="71"/>
      <c r="T87" s="51"/>
      <c r="U87" s="31"/>
    </row>
    <row r="88" spans="1:21" x14ac:dyDescent="0.2">
      <c r="A88" s="238"/>
      <c r="B88" s="54" t="s">
        <v>78</v>
      </c>
      <c r="C88" s="243"/>
      <c r="D88" s="250"/>
      <c r="E88" s="251"/>
      <c r="F88" s="132"/>
      <c r="G88" s="132"/>
      <c r="H88" s="132"/>
      <c r="I88" s="79"/>
      <c r="J88" s="198">
        <f>SUMIF(Journals!D$14:D$920,TrialBalance!P88,Journals!J$14:J$920)+SUMIF(Journals!E$14:E$920,TrialBalance!P88,Journals!J$14:J$920)</f>
        <v>0</v>
      </c>
      <c r="K88" s="253"/>
      <c r="L88" s="255">
        <f t="shared" si="13"/>
        <v>0</v>
      </c>
      <c r="M88" s="75"/>
      <c r="N88" s="48">
        <f t="shared" si="11"/>
        <v>0</v>
      </c>
      <c r="P88" s="140" t="str">
        <f t="shared" si="12"/>
        <v>2750/004</v>
      </c>
      <c r="Q88" s="70"/>
      <c r="S88" s="71"/>
      <c r="T88" s="51"/>
      <c r="U88" s="31"/>
    </row>
    <row r="89" spans="1:21" x14ac:dyDescent="0.2">
      <c r="A89" s="238"/>
      <c r="B89" s="54" t="s">
        <v>192</v>
      </c>
      <c r="C89" s="239" t="s">
        <v>614</v>
      </c>
      <c r="D89" s="250"/>
      <c r="E89" s="251"/>
      <c r="F89" s="132"/>
      <c r="G89" s="132"/>
      <c r="H89" s="132"/>
      <c r="I89" s="79"/>
      <c r="J89" s="198">
        <f>SUMIF(Journals!D$14:D$920,TrialBalance!P89,Journals!J$14:J$920)+SUMIF(Journals!E$14:E$920,TrialBalance!P89,Journals!J$14:J$920)</f>
        <v>0</v>
      </c>
      <c r="K89" s="253"/>
      <c r="L89" s="255">
        <f t="shared" si="13"/>
        <v>0</v>
      </c>
      <c r="M89" s="75"/>
      <c r="N89" s="48">
        <f t="shared" si="11"/>
        <v>0</v>
      </c>
      <c r="P89" s="140" t="str">
        <f t="shared" si="12"/>
        <v>2800/000Dividends received------------------------</v>
      </c>
      <c r="Q89" s="70"/>
      <c r="S89" s="71"/>
      <c r="T89" s="51"/>
      <c r="U89" s="31"/>
    </row>
    <row r="90" spans="1:21" x14ac:dyDescent="0.2">
      <c r="A90" s="238"/>
      <c r="B90" s="54" t="s">
        <v>300</v>
      </c>
      <c r="C90" s="242" t="s">
        <v>708</v>
      </c>
      <c r="D90" s="250"/>
      <c r="E90" s="251"/>
      <c r="F90" s="132"/>
      <c r="G90" s="132"/>
      <c r="H90" s="132"/>
      <c r="I90" s="79"/>
      <c r="J90" s="198">
        <f>SUMIF(Journals!D$14:D$920,TrialBalance!P90,Journals!J$14:J$920)+SUMIF(Journals!E$14:E$920,TrialBalance!P90,Journals!J$14:J$920)</f>
        <v>0</v>
      </c>
      <c r="K90" s="253"/>
      <c r="L90" s="255">
        <f t="shared" si="13"/>
        <v>0</v>
      </c>
      <c r="M90" s="75"/>
      <c r="N90" s="48">
        <f t="shared" si="11"/>
        <v>0</v>
      </c>
      <c r="P90" s="140" t="str">
        <f t="shared" si="12"/>
        <v>2800/001Div.'s received - SA sources</v>
      </c>
      <c r="Q90" s="70"/>
      <c r="S90" s="71"/>
      <c r="T90" s="51"/>
      <c r="U90" s="31"/>
    </row>
    <row r="91" spans="1:21" x14ac:dyDescent="0.2">
      <c r="A91" s="238"/>
      <c r="B91" s="54" t="s">
        <v>202</v>
      </c>
      <c r="C91" s="242" t="s">
        <v>1141</v>
      </c>
      <c r="D91" s="250"/>
      <c r="E91" s="251"/>
      <c r="F91" s="132"/>
      <c r="G91" s="132"/>
      <c r="H91" s="132"/>
      <c r="I91" s="79"/>
      <c r="J91" s="198">
        <f>SUMIF(Journals!D$14:D$920,TrialBalance!P91,Journals!J$14:J$920)+SUMIF(Journals!E$14:E$920,TrialBalance!P91,Journals!J$14:J$920)</f>
        <v>0</v>
      </c>
      <c r="K91" s="253"/>
      <c r="L91" s="255">
        <f t="shared" ref="L91" si="14">ROUND(D91-E91+F91+G91+H91+J91+I91,0)</f>
        <v>0</v>
      </c>
      <c r="M91" s="75"/>
      <c r="N91" s="48">
        <f t="shared" ref="N91" si="15">ROUND(SUM(A91),0)</f>
        <v>0</v>
      </c>
      <c r="P91" s="140" t="str">
        <f t="shared" ref="P91" si="16">CONCATENATE(B91,C91)</f>
        <v>2800/002Div.'s received - Associates</v>
      </c>
      <c r="Q91" s="70"/>
      <c r="S91" s="71"/>
      <c r="T91" s="51"/>
      <c r="U91" s="31"/>
    </row>
    <row r="92" spans="1:21" x14ac:dyDescent="0.2">
      <c r="A92" s="238"/>
      <c r="B92" s="90" t="s">
        <v>1140</v>
      </c>
      <c r="C92" s="242" t="s">
        <v>709</v>
      </c>
      <c r="D92" s="250"/>
      <c r="E92" s="251"/>
      <c r="F92" s="132"/>
      <c r="G92" s="132"/>
      <c r="H92" s="132"/>
      <c r="I92" s="79"/>
      <c r="J92" s="198">
        <f>SUMIF(Journals!D$14:D$920,TrialBalance!P92,Journals!J$14:J$920)+SUMIF(Journals!E$14:E$920,TrialBalance!P92,Journals!J$14:J$920)</f>
        <v>0</v>
      </c>
      <c r="K92" s="253"/>
      <c r="L92" s="255">
        <f t="shared" si="13"/>
        <v>0</v>
      </c>
      <c r="M92" s="75"/>
      <c r="N92" s="48">
        <f t="shared" si="11"/>
        <v>0</v>
      </c>
      <c r="P92" s="140" t="str">
        <f t="shared" si="12"/>
        <v>2800/003Div.'s received - Foreign div.'s</v>
      </c>
      <c r="Q92" s="70"/>
      <c r="S92" s="71"/>
      <c r="T92" s="51"/>
      <c r="U92" s="31"/>
    </row>
    <row r="93" spans="1:21" x14ac:dyDescent="0.2">
      <c r="A93" s="238"/>
      <c r="B93" s="54" t="s">
        <v>203</v>
      </c>
      <c r="C93" s="242" t="s">
        <v>667</v>
      </c>
      <c r="D93" s="250"/>
      <c r="E93" s="251"/>
      <c r="F93" s="132"/>
      <c r="G93" s="132"/>
      <c r="H93" s="132"/>
      <c r="I93" s="79"/>
      <c r="J93" s="198">
        <f>SUMIF(Journals!D$14:D$920,TrialBalance!P93,Journals!J$14:J$920)+SUMIF(Journals!E$14:E$920,TrialBalance!P93,Journals!J$14:J$920)</f>
        <v>0</v>
      </c>
      <c r="K93" s="253"/>
      <c r="L93" s="255">
        <f t="shared" si="13"/>
        <v>0</v>
      </c>
      <c r="M93" s="75"/>
      <c r="N93" s="48">
        <f t="shared" si="11"/>
        <v>0</v>
      </c>
      <c r="P93" s="140" t="str">
        <f t="shared" si="12"/>
        <v>2810/000(Profit)/Loss on sale of fixed assets</v>
      </c>
      <c r="Q93" s="70"/>
      <c r="S93" s="71"/>
      <c r="T93" s="51"/>
      <c r="U93" s="31"/>
    </row>
    <row r="94" spans="1:21" x14ac:dyDescent="0.2">
      <c r="A94" s="238"/>
      <c r="B94" s="54" t="s">
        <v>204</v>
      </c>
      <c r="C94" s="240" t="s">
        <v>205</v>
      </c>
      <c r="D94" s="250"/>
      <c r="E94" s="251"/>
      <c r="F94" s="132"/>
      <c r="G94" s="132"/>
      <c r="H94" s="132"/>
      <c r="I94" s="79"/>
      <c r="J94" s="198">
        <f>SUMIF(Journals!D$14:D$920,TrialBalance!P94,Journals!J$14:J$920)+SUMIF(Journals!E$14:E$920,TrialBalance!P94,Journals!J$14:J$920)</f>
        <v>0</v>
      </c>
      <c r="K94" s="253"/>
      <c r="L94" s="255">
        <f t="shared" si="13"/>
        <v>0</v>
      </c>
      <c r="M94" s="75"/>
      <c r="N94" s="48">
        <f t="shared" si="11"/>
        <v>0</v>
      </c>
      <c r="P94" s="140" t="str">
        <f t="shared" si="12"/>
        <v>2820/000Bad debts recovered</v>
      </c>
      <c r="Q94" s="70"/>
      <c r="S94" s="71"/>
      <c r="T94" s="51"/>
      <c r="U94" s="31"/>
    </row>
    <row r="95" spans="1:21" x14ac:dyDescent="0.2">
      <c r="A95" s="238"/>
      <c r="B95" s="54" t="s">
        <v>206</v>
      </c>
      <c r="C95" s="240" t="s">
        <v>207</v>
      </c>
      <c r="D95" s="250"/>
      <c r="E95" s="251"/>
      <c r="F95" s="132"/>
      <c r="G95" s="132"/>
      <c r="H95" s="132"/>
      <c r="I95" s="79"/>
      <c r="J95" s="198">
        <f>SUMIF(Journals!D$14:D$920,TrialBalance!P95,Journals!J$14:J$920)+SUMIF(Journals!E$14:E$920,TrialBalance!P95,Journals!J$14:J$920)</f>
        <v>0</v>
      </c>
      <c r="K95" s="253"/>
      <c r="L95" s="255">
        <f t="shared" si="13"/>
        <v>0</v>
      </c>
      <c r="M95" s="75"/>
      <c r="N95" s="48">
        <f t="shared" si="11"/>
        <v>0</v>
      </c>
      <c r="P95" s="140" t="str">
        <f t="shared" si="12"/>
        <v>2830/000Other income</v>
      </c>
      <c r="Q95" s="70"/>
      <c r="S95" s="51"/>
      <c r="T95" s="51"/>
      <c r="U95" s="31"/>
    </row>
    <row r="96" spans="1:21" x14ac:dyDescent="0.2">
      <c r="A96" s="238"/>
      <c r="B96" s="90" t="s">
        <v>1075</v>
      </c>
      <c r="C96" s="242" t="s">
        <v>1076</v>
      </c>
      <c r="D96" s="250"/>
      <c r="E96" s="251"/>
      <c r="F96" s="132"/>
      <c r="G96" s="132"/>
      <c r="H96" s="132"/>
      <c r="I96" s="79"/>
      <c r="J96" s="198">
        <f>SUMIF(Journals!D$14:D$920,TrialBalance!P96,Journals!J$14:J$920)+SUMIF(Journals!E$14:E$920,TrialBalance!P96,Journals!J$14:J$920)</f>
        <v>0</v>
      </c>
      <c r="K96" s="253"/>
      <c r="L96" s="255">
        <f t="shared" ref="L96" si="17">ROUND(D96-E96+F96+G96+H96+J96+I96,0)</f>
        <v>0</v>
      </c>
      <c r="M96" s="75"/>
      <c r="N96" s="48">
        <f t="shared" ref="N96" si="18">ROUND(SUM(A96),0)</f>
        <v>0</v>
      </c>
      <c r="P96" s="140" t="str">
        <f t="shared" ref="P96" si="19">CONCATENATE(B96,C96)</f>
        <v>2840/000Revaluation of investment property</v>
      </c>
      <c r="Q96" s="70"/>
      <c r="S96" s="51"/>
      <c r="T96" s="51"/>
      <c r="U96" s="31"/>
    </row>
    <row r="97" spans="1:21" x14ac:dyDescent="0.2">
      <c r="A97" s="238"/>
      <c r="B97" s="54" t="s">
        <v>208</v>
      </c>
      <c r="C97" s="239" t="s">
        <v>903</v>
      </c>
      <c r="D97" s="250"/>
      <c r="E97" s="251"/>
      <c r="F97" s="132"/>
      <c r="G97" s="132"/>
      <c r="H97" s="132"/>
      <c r="I97" s="79"/>
      <c r="J97" s="198">
        <f>SUMIF(Journals!D$14:D$920,TrialBalance!P97,Journals!J$14:J$920)+SUMIF(Journals!E$14:E$920,TrialBalance!P97,Journals!J$14:J$920)</f>
        <v>0</v>
      </c>
      <c r="K97" s="253"/>
      <c r="L97" s="255">
        <f t="shared" si="13"/>
        <v>0</v>
      </c>
      <c r="M97" s="75"/>
      <c r="N97" s="48">
        <f t="shared" si="11"/>
        <v>0</v>
      </c>
      <c r="P97" s="140" t="str">
        <f t="shared" si="12"/>
        <v>3000/000ADMINISTRATIVE EXPENSES</v>
      </c>
      <c r="Q97" s="70"/>
      <c r="S97" s="71"/>
      <c r="T97" s="51"/>
      <c r="U97" s="31"/>
    </row>
    <row r="98" spans="1:21" x14ac:dyDescent="0.2">
      <c r="A98" s="238"/>
      <c r="B98" s="54" t="s">
        <v>209</v>
      </c>
      <c r="C98" s="240" t="s">
        <v>210</v>
      </c>
      <c r="D98" s="250"/>
      <c r="E98" s="251"/>
      <c r="F98" s="132"/>
      <c r="G98" s="132"/>
      <c r="H98" s="132"/>
      <c r="I98" s="79"/>
      <c r="J98" s="198">
        <f>SUMIF(Journals!D$14:D$920,TrialBalance!P98,Journals!J$14:J$920)+SUMIF(Journals!E$14:E$920,TrialBalance!P98,Journals!J$14:J$920)</f>
        <v>0</v>
      </c>
      <c r="K98" s="253"/>
      <c r="L98" s="255">
        <f t="shared" si="13"/>
        <v>0</v>
      </c>
      <c r="M98" s="75"/>
      <c r="N98" s="48">
        <f t="shared" si="11"/>
        <v>0</v>
      </c>
      <c r="P98" s="140" t="str">
        <f t="shared" si="12"/>
        <v>3000/011Audit fees for current year</v>
      </c>
      <c r="Q98" s="70"/>
      <c r="S98" s="51"/>
      <c r="T98" s="51"/>
      <c r="U98" s="31"/>
    </row>
    <row r="99" spans="1:21" x14ac:dyDescent="0.2">
      <c r="A99" s="238"/>
      <c r="B99" s="54" t="s">
        <v>211</v>
      </c>
      <c r="C99" s="246" t="s">
        <v>356</v>
      </c>
      <c r="D99" s="251"/>
      <c r="E99" s="251"/>
      <c r="F99" s="132"/>
      <c r="G99" s="132"/>
      <c r="H99" s="132"/>
      <c r="I99" s="79"/>
      <c r="J99" s="198">
        <f>SUMIF(Journals!D$14:D$920,TrialBalance!P99,Journals!J$14:J$920)+SUMIF(Journals!E$14:E$920,TrialBalance!P99,Journals!J$14:J$920)</f>
        <v>0</v>
      </c>
      <c r="K99" s="253"/>
      <c r="L99" s="255">
        <f t="shared" si="13"/>
        <v>0</v>
      </c>
      <c r="M99" s="75"/>
      <c r="N99" s="48">
        <f t="shared" si="11"/>
        <v>0</v>
      </c>
      <c r="P99" s="140" t="str">
        <f t="shared" si="12"/>
        <v>3000/012Under provision previous year</v>
      </c>
      <c r="Q99" s="70"/>
      <c r="S99" s="71"/>
      <c r="T99" s="51"/>
      <c r="U99" s="31"/>
    </row>
    <row r="100" spans="1:21" x14ac:dyDescent="0.2">
      <c r="A100" s="238"/>
      <c r="B100" s="54" t="s">
        <v>212</v>
      </c>
      <c r="C100" s="240" t="s">
        <v>213</v>
      </c>
      <c r="D100" s="250"/>
      <c r="E100" s="251"/>
      <c r="F100" s="132"/>
      <c r="G100" s="132"/>
      <c r="H100" s="132"/>
      <c r="I100" s="79"/>
      <c r="J100" s="198">
        <f>SUMIF(Journals!D$14:D$920,TrialBalance!P100,Journals!J$14:J$920)+SUMIF(Journals!E$14:E$920,TrialBalance!P100,Journals!J$14:J$920)</f>
        <v>0</v>
      </c>
      <c r="K100" s="253"/>
      <c r="L100" s="255">
        <f t="shared" si="13"/>
        <v>0</v>
      </c>
      <c r="M100" s="75"/>
      <c r="N100" s="48">
        <f t="shared" si="11"/>
        <v>0</v>
      </c>
      <c r="P100" s="140" t="str">
        <f t="shared" si="12"/>
        <v>3000/013Overprovision previous year</v>
      </c>
      <c r="Q100" s="70"/>
      <c r="S100" s="71"/>
      <c r="T100" s="51"/>
      <c r="U100" s="31"/>
    </row>
    <row r="101" spans="1:21" x14ac:dyDescent="0.2">
      <c r="A101" s="238"/>
      <c r="B101" s="54" t="s">
        <v>214</v>
      </c>
      <c r="C101" s="240" t="s">
        <v>215</v>
      </c>
      <c r="D101" s="250"/>
      <c r="E101" s="251"/>
      <c r="F101" s="132"/>
      <c r="G101" s="132"/>
      <c r="H101" s="132"/>
      <c r="I101" s="79"/>
      <c r="J101" s="198">
        <f>SUMIF(Journals!D$14:D$920,TrialBalance!P101,Journals!J$14:J$920)+SUMIF(Journals!E$14:E$920,TrialBalance!P101,Journals!J$14:J$920)</f>
        <v>0</v>
      </c>
      <c r="K101" s="253"/>
      <c r="L101" s="255">
        <f t="shared" si="13"/>
        <v>0</v>
      </c>
      <c r="M101" s="75"/>
      <c r="N101" s="48">
        <f t="shared" si="11"/>
        <v>0</v>
      </c>
      <c r="P101" s="140" t="str">
        <f t="shared" si="12"/>
        <v>3000/014Accounting fees</v>
      </c>
      <c r="Q101" s="70"/>
      <c r="S101" s="71"/>
      <c r="T101" s="51"/>
      <c r="U101" s="31"/>
    </row>
    <row r="102" spans="1:21" x14ac:dyDescent="0.2">
      <c r="A102" s="238"/>
      <c r="B102" s="54" t="s">
        <v>216</v>
      </c>
      <c r="C102" s="240" t="s">
        <v>217</v>
      </c>
      <c r="D102" s="250"/>
      <c r="E102" s="251"/>
      <c r="F102" s="132"/>
      <c r="G102" s="132"/>
      <c r="H102" s="132"/>
      <c r="I102" s="79"/>
      <c r="J102" s="198">
        <f>SUMIF(Journals!D$14:D$920,TrialBalance!P102,Journals!J$14:J$920)+SUMIF(Journals!E$14:E$920,TrialBalance!P102,Journals!J$14:J$920)</f>
        <v>0</v>
      </c>
      <c r="K102" s="253"/>
      <c r="L102" s="255">
        <f>ROUND(D102-E102+F102+G102+H102+J102+I102,0)</f>
        <v>0</v>
      </c>
      <c r="M102" s="75"/>
      <c r="N102" s="48">
        <f t="shared" si="11"/>
        <v>0</v>
      </c>
      <c r="P102" s="140" t="str">
        <f t="shared" si="12"/>
        <v>3000/020Bank charges</v>
      </c>
      <c r="Q102" s="70"/>
      <c r="S102" s="71"/>
      <c r="T102" s="51"/>
      <c r="U102" s="31"/>
    </row>
    <row r="103" spans="1:21" x14ac:dyDescent="0.2">
      <c r="A103" s="238"/>
      <c r="B103" s="54" t="s">
        <v>218</v>
      </c>
      <c r="C103" s="240" t="s">
        <v>219</v>
      </c>
      <c r="D103" s="250"/>
      <c r="E103" s="251"/>
      <c r="F103" s="132"/>
      <c r="G103" s="132"/>
      <c r="H103" s="132"/>
      <c r="I103" s="79"/>
      <c r="J103" s="198">
        <f>SUMIF(Journals!D$14:D$920,TrialBalance!P103,Journals!J$14:J$920)+SUMIF(Journals!E$14:E$920,TrialBalance!P103,Journals!J$14:J$920)</f>
        <v>0</v>
      </c>
      <c r="K103" s="253"/>
      <c r="L103" s="255">
        <f t="shared" si="13"/>
        <v>0</v>
      </c>
      <c r="M103" s="75"/>
      <c r="N103" s="48">
        <f t="shared" si="11"/>
        <v>0</v>
      </c>
      <c r="P103" s="140" t="str">
        <f t="shared" si="12"/>
        <v>3000/030Bad debts</v>
      </c>
      <c r="Q103" s="70"/>
      <c r="S103" s="71"/>
      <c r="T103" s="51"/>
      <c r="U103" s="31"/>
    </row>
    <row r="104" spans="1:21" x14ac:dyDescent="0.2">
      <c r="A104" s="238"/>
      <c r="B104" s="54" t="s">
        <v>220</v>
      </c>
      <c r="C104" s="240" t="s">
        <v>258</v>
      </c>
      <c r="D104" s="250"/>
      <c r="E104" s="251"/>
      <c r="F104" s="132"/>
      <c r="G104" s="132"/>
      <c r="H104" s="132"/>
      <c r="I104" s="79"/>
      <c r="J104" s="198">
        <f>SUMIF(Journals!D$14:D$920,TrialBalance!P104,Journals!J$14:J$920)+SUMIF(Journals!E$14:E$920,TrialBalance!P104,Journals!J$14:J$920)</f>
        <v>0</v>
      </c>
      <c r="K104" s="253"/>
      <c r="L104" s="255">
        <f t="shared" si="13"/>
        <v>0</v>
      </c>
      <c r="M104" s="75"/>
      <c r="N104" s="48">
        <f t="shared" si="11"/>
        <v>0</v>
      </c>
      <c r="P104" s="140" t="str">
        <f t="shared" si="12"/>
        <v>3000/040Cleaning</v>
      </c>
      <c r="Q104" s="70"/>
      <c r="S104" s="71"/>
      <c r="T104" s="51"/>
      <c r="U104" s="31"/>
    </row>
    <row r="105" spans="1:21" x14ac:dyDescent="0.2">
      <c r="A105" s="238"/>
      <c r="B105" s="54" t="s">
        <v>221</v>
      </c>
      <c r="C105" s="240" t="s">
        <v>222</v>
      </c>
      <c r="D105" s="250"/>
      <c r="E105" s="251"/>
      <c r="F105" s="132"/>
      <c r="G105" s="132"/>
      <c r="H105" s="132"/>
      <c r="I105" s="79"/>
      <c r="J105" s="198">
        <f>SUMIF(Journals!D$14:D$920,TrialBalance!P105,Journals!J$14:J$920)+SUMIF(Journals!E$14:E$920,TrialBalance!P105,Journals!J$14:J$920)</f>
        <v>0</v>
      </c>
      <c r="K105" s="253"/>
      <c r="L105" s="255">
        <f t="shared" si="13"/>
        <v>0</v>
      </c>
      <c r="M105" s="75"/>
      <c r="N105" s="48">
        <f t="shared" si="11"/>
        <v>0</v>
      </c>
      <c r="P105" s="140" t="str">
        <f t="shared" si="12"/>
        <v>3000/050Computer expenses</v>
      </c>
      <c r="Q105" s="70"/>
      <c r="S105" s="71"/>
      <c r="T105" s="51"/>
      <c r="U105" s="31"/>
    </row>
    <row r="106" spans="1:21" x14ac:dyDescent="0.2">
      <c r="A106" s="238"/>
      <c r="B106" s="90" t="s">
        <v>689</v>
      </c>
      <c r="C106" s="242" t="s">
        <v>727</v>
      </c>
      <c r="D106" s="250"/>
      <c r="E106" s="251"/>
      <c r="F106" s="132"/>
      <c r="G106" s="132"/>
      <c r="H106" s="132"/>
      <c r="I106" s="79"/>
      <c r="J106" s="198">
        <f>SUMIF(Journals!D$14:D$920,TrialBalance!P106,Journals!J$14:J$920)+SUMIF(Journals!E$14:E$920,TrialBalance!P106,Journals!J$14:J$920)</f>
        <v>0</v>
      </c>
      <c r="K106" s="253"/>
      <c r="L106" s="255">
        <f t="shared" ref="L106" si="20">ROUND(D106-E106+F106+G106+H106+J106+I106,0)</f>
        <v>0</v>
      </c>
      <c r="M106" s="75"/>
      <c r="N106" s="48">
        <f t="shared" si="11"/>
        <v>0</v>
      </c>
      <c r="P106" s="140" t="str">
        <f t="shared" si="12"/>
        <v>3000/055Consulting and professional fees</v>
      </c>
      <c r="Q106" s="70"/>
      <c r="S106" s="71"/>
      <c r="T106" s="51"/>
      <c r="U106" s="31"/>
    </row>
    <row r="107" spans="1:21" x14ac:dyDescent="0.2">
      <c r="A107" s="238"/>
      <c r="B107" s="54" t="s">
        <v>223</v>
      </c>
      <c r="C107" s="239" t="s">
        <v>612</v>
      </c>
      <c r="D107" s="250"/>
      <c r="E107" s="251"/>
      <c r="F107" s="132"/>
      <c r="G107" s="132"/>
      <c r="H107" s="132"/>
      <c r="I107" s="79"/>
      <c r="J107" s="198">
        <f>SUMIF(Journals!D$14:D$920,TrialBalance!P107,Journals!J$14:J$920)+SUMIF(Journals!E$14:E$920,TrialBalance!P107,Journals!J$14:J$920)</f>
        <v>0</v>
      </c>
      <c r="K107" s="253"/>
      <c r="L107" s="255">
        <f t="shared" si="13"/>
        <v>0</v>
      </c>
      <c r="M107" s="75"/>
      <c r="N107" s="48">
        <f t="shared" si="11"/>
        <v>0</v>
      </c>
      <c r="P107" s="140" t="str">
        <f t="shared" si="12"/>
        <v>3000/060Depreciation---------------------------------</v>
      </c>
      <c r="Q107" s="70"/>
      <c r="S107" s="71"/>
      <c r="T107" s="51"/>
      <c r="U107" s="31"/>
    </row>
    <row r="108" spans="1:21" x14ac:dyDescent="0.2">
      <c r="A108" s="238"/>
      <c r="B108" s="90" t="s">
        <v>224</v>
      </c>
      <c r="C108" s="241" t="s">
        <v>53</v>
      </c>
      <c r="D108" s="251"/>
      <c r="E108" s="251"/>
      <c r="F108" s="132"/>
      <c r="G108" s="132"/>
      <c r="H108" s="132"/>
      <c r="I108" s="79"/>
      <c r="J108" s="198">
        <f>SUMIF(Journals!D$14:D$920,TrialBalance!P108,Journals!J$14:J$920)+SUMIF(Journals!E$14:E$920,TrialBalance!P108,Journals!J$14:J$920)</f>
        <v>0</v>
      </c>
      <c r="K108" s="253"/>
      <c r="L108" s="255">
        <f t="shared" si="13"/>
        <v>0</v>
      </c>
      <c r="M108" s="75"/>
      <c r="N108" s="48">
        <f t="shared" si="11"/>
        <v>0</v>
      </c>
      <c r="P108" s="140" t="str">
        <f t="shared" ref="P108:P138" si="21">CONCATENATE(B108,C108)</f>
        <v>3000/061Depr - Electronic equipment</v>
      </c>
      <c r="Q108" s="70"/>
      <c r="S108" s="71"/>
      <c r="T108" s="51"/>
      <c r="U108" s="31"/>
    </row>
    <row r="109" spans="1:21" x14ac:dyDescent="0.2">
      <c r="A109" s="238"/>
      <c r="B109" s="90" t="s">
        <v>360</v>
      </c>
      <c r="C109" s="242" t="s">
        <v>766</v>
      </c>
      <c r="D109" s="250"/>
      <c r="E109" s="251"/>
      <c r="F109" s="132"/>
      <c r="G109" s="132"/>
      <c r="H109" s="132"/>
      <c r="I109" s="79"/>
      <c r="J109" s="198">
        <f>SUMIF(Journals!D$14:D$920,TrialBalance!P109,Journals!J$14:J$920)+SUMIF(Journals!E$14:E$920,TrialBalance!P109,Journals!J$14:J$920)</f>
        <v>0</v>
      </c>
      <c r="K109" s="253"/>
      <c r="L109" s="255">
        <f t="shared" si="13"/>
        <v>0</v>
      </c>
      <c r="M109" s="75"/>
      <c r="N109" s="48">
        <f t="shared" si="11"/>
        <v>0</v>
      </c>
      <c r="P109" s="140" t="str">
        <f t="shared" si="21"/>
        <v>3000/063Depr - Furniture and fittings</v>
      </c>
      <c r="Q109" s="70"/>
      <c r="S109" s="71"/>
      <c r="T109" s="51"/>
      <c r="U109" s="31"/>
    </row>
    <row r="110" spans="1:21" x14ac:dyDescent="0.2">
      <c r="A110" s="238"/>
      <c r="B110" s="54" t="s">
        <v>361</v>
      </c>
      <c r="C110" s="239" t="s">
        <v>615</v>
      </c>
      <c r="D110" s="250"/>
      <c r="E110" s="251"/>
      <c r="F110" s="132"/>
      <c r="G110" s="132"/>
      <c r="H110" s="132"/>
      <c r="I110" s="79"/>
      <c r="J110" s="198">
        <f>SUMIF(Journals!D$14:D$920,TrialBalance!P110,Journals!J$14:J$920)+SUMIF(Journals!E$14:E$920,TrialBalance!P110,Journals!J$14:J$920)</f>
        <v>0</v>
      </c>
      <c r="K110" s="253"/>
      <c r="L110" s="255">
        <f t="shared" si="13"/>
        <v>0</v>
      </c>
      <c r="M110" s="75"/>
      <c r="N110" s="48">
        <f t="shared" si="11"/>
        <v>0</v>
      </c>
      <c r="P110" s="140" t="str">
        <f t="shared" si="21"/>
        <v>3000/070Directors' remuneration-----------------</v>
      </c>
      <c r="Q110" s="70"/>
      <c r="S110" s="71"/>
      <c r="T110" s="51"/>
      <c r="U110" s="31"/>
    </row>
    <row r="111" spans="1:21" x14ac:dyDescent="0.2">
      <c r="A111" s="238"/>
      <c r="B111" s="54" t="s">
        <v>362</v>
      </c>
      <c r="C111" s="243" t="str">
        <f>Criteria!E38</f>
        <v>A Director</v>
      </c>
      <c r="D111" s="251"/>
      <c r="E111" s="251"/>
      <c r="F111" s="132"/>
      <c r="G111" s="132"/>
      <c r="H111" s="132"/>
      <c r="I111" s="79"/>
      <c r="J111" s="198">
        <f>SUMIF(Journals!D$14:D$920,TrialBalance!P111,Journals!J$14:J$920)+SUMIF(Journals!E$14:E$920,TrialBalance!P111,Journals!J$14:J$920)</f>
        <v>0</v>
      </c>
      <c r="K111" s="253"/>
      <c r="L111" s="255">
        <f t="shared" si="13"/>
        <v>0</v>
      </c>
      <c r="M111" s="75"/>
      <c r="N111" s="48">
        <f t="shared" si="11"/>
        <v>0</v>
      </c>
      <c r="P111" s="140" t="str">
        <f t="shared" si="21"/>
        <v>3000/071A Director</v>
      </c>
      <c r="Q111" s="70"/>
      <c r="S111" s="71"/>
      <c r="T111" s="51"/>
      <c r="U111" s="31"/>
    </row>
    <row r="112" spans="1:21" x14ac:dyDescent="0.2">
      <c r="A112" s="238"/>
      <c r="B112" s="54" t="s">
        <v>363</v>
      </c>
      <c r="C112" s="243">
        <f>Criteria!E39</f>
        <v>0</v>
      </c>
      <c r="D112" s="251"/>
      <c r="E112" s="251"/>
      <c r="F112" s="132"/>
      <c r="G112" s="132"/>
      <c r="H112" s="132"/>
      <c r="I112" s="79"/>
      <c r="J112" s="198">
        <f>SUMIF(Journals!D$14:D$920,TrialBalance!P112,Journals!J$14:J$920)+SUMIF(Journals!E$14:E$920,TrialBalance!P112,Journals!J$14:J$920)</f>
        <v>0</v>
      </c>
      <c r="K112" s="253"/>
      <c r="L112" s="255">
        <f t="shared" si="13"/>
        <v>0</v>
      </c>
      <c r="M112" s="75"/>
      <c r="N112" s="48">
        <f t="shared" si="11"/>
        <v>0</v>
      </c>
      <c r="P112" s="140" t="str">
        <f t="shared" si="21"/>
        <v>3000/0720</v>
      </c>
      <c r="Q112" s="70"/>
      <c r="S112" s="71"/>
      <c r="T112" s="51"/>
      <c r="U112" s="31"/>
    </row>
    <row r="113" spans="1:21" x14ac:dyDescent="0.2">
      <c r="A113" s="238"/>
      <c r="B113" s="54" t="s">
        <v>364</v>
      </c>
      <c r="C113" s="243">
        <f>Criteria!E40</f>
        <v>0</v>
      </c>
      <c r="D113" s="251"/>
      <c r="E113" s="251"/>
      <c r="F113" s="132"/>
      <c r="G113" s="132"/>
      <c r="H113" s="132"/>
      <c r="I113" s="79"/>
      <c r="J113" s="198">
        <f>SUMIF(Journals!D$14:D$920,TrialBalance!P113,Journals!J$14:J$920)+SUMIF(Journals!E$14:E$920,TrialBalance!P113,Journals!J$14:J$920)</f>
        <v>0</v>
      </c>
      <c r="K113" s="253"/>
      <c r="L113" s="255">
        <f t="shared" si="13"/>
        <v>0</v>
      </c>
      <c r="M113" s="75"/>
      <c r="N113" s="48">
        <f t="shared" si="11"/>
        <v>0</v>
      </c>
      <c r="P113" s="140" t="str">
        <f t="shared" si="21"/>
        <v>3000/0730</v>
      </c>
      <c r="Q113" s="70"/>
      <c r="S113" s="71"/>
      <c r="T113" s="51"/>
      <c r="U113" s="31"/>
    </row>
    <row r="114" spans="1:21" x14ac:dyDescent="0.2">
      <c r="A114" s="238"/>
      <c r="B114" s="54" t="s">
        <v>365</v>
      </c>
      <c r="C114" s="243">
        <f>Criteria!E41</f>
        <v>0</v>
      </c>
      <c r="D114" s="251"/>
      <c r="E114" s="251"/>
      <c r="F114" s="132"/>
      <c r="G114" s="132"/>
      <c r="H114" s="132"/>
      <c r="I114" s="79"/>
      <c r="J114" s="198">
        <f>SUMIF(Journals!D$14:D$920,TrialBalance!P114,Journals!J$14:J$920)+SUMIF(Journals!E$14:E$920,TrialBalance!P114,Journals!J$14:J$920)</f>
        <v>0</v>
      </c>
      <c r="K114" s="253"/>
      <c r="L114" s="255">
        <f t="shared" si="13"/>
        <v>0</v>
      </c>
      <c r="M114" s="75"/>
      <c r="N114" s="48">
        <f t="shared" si="11"/>
        <v>0</v>
      </c>
      <c r="P114" s="140" t="str">
        <f t="shared" si="21"/>
        <v>3000/0740</v>
      </c>
      <c r="Q114" s="70"/>
      <c r="S114" s="71"/>
      <c r="T114" s="51"/>
      <c r="U114" s="31"/>
    </row>
    <row r="115" spans="1:21" x14ac:dyDescent="0.2">
      <c r="A115" s="238"/>
      <c r="B115" s="54" t="s">
        <v>366</v>
      </c>
      <c r="C115" s="243">
        <f>Criteria!E42</f>
        <v>0</v>
      </c>
      <c r="D115" s="251"/>
      <c r="E115" s="251"/>
      <c r="F115" s="132"/>
      <c r="G115" s="132"/>
      <c r="H115" s="132"/>
      <c r="I115" s="79"/>
      <c r="J115" s="198">
        <f>SUMIF(Journals!D$14:D$920,TrialBalance!P115,Journals!J$14:J$920)+SUMIF(Journals!E$14:E$920,TrialBalance!P115,Journals!J$14:J$920)</f>
        <v>0</v>
      </c>
      <c r="K115" s="253"/>
      <c r="L115" s="255">
        <f t="shared" si="13"/>
        <v>0</v>
      </c>
      <c r="M115" s="75"/>
      <c r="N115" s="48">
        <f t="shared" si="11"/>
        <v>0</v>
      </c>
      <c r="P115" s="140" t="str">
        <f t="shared" si="21"/>
        <v>3000/0750</v>
      </c>
      <c r="Q115" s="70"/>
      <c r="S115" s="71"/>
      <c r="T115" s="51"/>
      <c r="U115" s="31"/>
    </row>
    <row r="116" spans="1:21" x14ac:dyDescent="0.2">
      <c r="A116" s="238"/>
      <c r="B116" s="54" t="s">
        <v>367</v>
      </c>
      <c r="C116" s="240" t="s">
        <v>259</v>
      </c>
      <c r="D116" s="250"/>
      <c r="E116" s="251"/>
      <c r="F116" s="132"/>
      <c r="G116" s="132"/>
      <c r="H116" s="132"/>
      <c r="I116" s="79"/>
      <c r="J116" s="198">
        <f>SUMIF(Journals!D$14:D$920,TrialBalance!P116,Journals!J$14:J$920)+SUMIF(Journals!E$14:E$920,TrialBalance!P116,Journals!J$14:J$920)</f>
        <v>0</v>
      </c>
      <c r="K116" s="253"/>
      <c r="L116" s="255">
        <f t="shared" si="13"/>
        <v>0</v>
      </c>
      <c r="M116" s="75"/>
      <c r="N116" s="48">
        <f t="shared" si="11"/>
        <v>0</v>
      </c>
      <c r="P116" s="140" t="str">
        <f t="shared" si="21"/>
        <v>3000/080Donations</v>
      </c>
      <c r="Q116" s="70"/>
      <c r="S116" s="71"/>
      <c r="T116" s="51"/>
      <c r="U116" s="31"/>
    </row>
    <row r="117" spans="1:21" x14ac:dyDescent="0.2">
      <c r="A117" s="238"/>
      <c r="B117" s="54" t="s">
        <v>368</v>
      </c>
      <c r="C117" s="240" t="s">
        <v>369</v>
      </c>
      <c r="D117" s="250"/>
      <c r="E117" s="251"/>
      <c r="F117" s="132"/>
      <c r="G117" s="132"/>
      <c r="H117" s="132"/>
      <c r="I117" s="79"/>
      <c r="J117" s="198">
        <f>SUMIF(Journals!D$14:D$920,TrialBalance!P117,Journals!J$14:J$920)+SUMIF(Journals!E$14:E$920,TrialBalance!P117,Journals!J$14:J$920)</f>
        <v>0</v>
      </c>
      <c r="K117" s="253"/>
      <c r="L117" s="255">
        <f t="shared" si="13"/>
        <v>0</v>
      </c>
      <c r="M117" s="75"/>
      <c r="N117" s="48">
        <f t="shared" si="11"/>
        <v>0</v>
      </c>
      <c r="P117" s="140" t="str">
        <f t="shared" si="21"/>
        <v>3000/090Entertainment expenses</v>
      </c>
      <c r="Q117" s="70"/>
      <c r="S117" s="71"/>
      <c r="T117" s="51"/>
      <c r="U117" s="31"/>
    </row>
    <row r="118" spans="1:21" x14ac:dyDescent="0.2">
      <c r="A118" s="238"/>
      <c r="B118" s="56" t="s">
        <v>61</v>
      </c>
      <c r="C118" s="246" t="s">
        <v>330</v>
      </c>
      <c r="D118" s="251"/>
      <c r="E118" s="251"/>
      <c r="F118" s="132"/>
      <c r="G118" s="132"/>
      <c r="H118" s="132"/>
      <c r="I118" s="79"/>
      <c r="J118" s="198">
        <f>SUMIF(Journals!D$14:D$920,TrialBalance!P118,Journals!J$14:J$920)+SUMIF(Journals!E$14:E$920,TrialBalance!P118,Journals!J$14:J$920)</f>
        <v>0</v>
      </c>
      <c r="K118" s="253"/>
      <c r="L118" s="255">
        <f t="shared" si="13"/>
        <v>0</v>
      </c>
      <c r="M118" s="75"/>
      <c r="N118" s="48">
        <f t="shared" si="11"/>
        <v>0</v>
      </c>
      <c r="P118" s="140" t="str">
        <f t="shared" si="21"/>
        <v>3000/095Fines</v>
      </c>
      <c r="Q118" s="70"/>
      <c r="S118" s="71"/>
      <c r="T118" s="51"/>
      <c r="U118" s="31"/>
    </row>
    <row r="119" spans="1:21" x14ac:dyDescent="0.2">
      <c r="A119" s="238"/>
      <c r="B119" s="54" t="s">
        <v>370</v>
      </c>
      <c r="C119" s="240" t="s">
        <v>371</v>
      </c>
      <c r="D119" s="250"/>
      <c r="E119" s="251"/>
      <c r="F119" s="132"/>
      <c r="G119" s="132"/>
      <c r="H119" s="132"/>
      <c r="I119" s="79"/>
      <c r="J119" s="198">
        <f>SUMIF(Journals!D$14:D$920,TrialBalance!P119,Journals!J$14:J$920)+SUMIF(Journals!E$14:E$920,TrialBalance!P119,Journals!J$14:J$920)</f>
        <v>0</v>
      </c>
      <c r="K119" s="253"/>
      <c r="L119" s="255">
        <f t="shared" si="13"/>
        <v>0</v>
      </c>
      <c r="M119" s="75"/>
      <c r="N119" s="48">
        <f t="shared" si="11"/>
        <v>0</v>
      </c>
      <c r="P119" s="140" t="str">
        <f t="shared" si="21"/>
        <v>3000/100General expenses</v>
      </c>
      <c r="Q119" s="70"/>
      <c r="S119" s="71"/>
      <c r="T119" s="51"/>
      <c r="U119" s="31"/>
    </row>
    <row r="120" spans="1:21" x14ac:dyDescent="0.2">
      <c r="A120" s="238"/>
      <c r="B120" s="54" t="s">
        <v>301</v>
      </c>
      <c r="C120" s="241" t="s">
        <v>763</v>
      </c>
      <c r="D120" s="251"/>
      <c r="E120" s="251"/>
      <c r="F120" s="132"/>
      <c r="G120" s="132"/>
      <c r="H120" s="132"/>
      <c r="I120" s="79"/>
      <c r="J120" s="198">
        <f>SUMIF(Journals!D$14:D$920,TrialBalance!P120,Journals!J$14:J$920)+SUMIF(Journals!E$14:E$920,TrialBalance!P120,Journals!J$14:J$920)</f>
        <v>0</v>
      </c>
      <c r="K120" s="253"/>
      <c r="L120" s="255">
        <f t="shared" si="13"/>
        <v>0</v>
      </c>
      <c r="M120" s="75"/>
      <c r="N120" s="48">
        <f t="shared" si="11"/>
        <v>0</v>
      </c>
      <c r="P120" s="140" t="str">
        <f t="shared" si="21"/>
        <v>3000/110Legal expenses - tax deductible</v>
      </c>
      <c r="Q120" s="70"/>
      <c r="S120" s="71"/>
      <c r="T120" s="51"/>
      <c r="U120" s="31"/>
    </row>
    <row r="121" spans="1:21" x14ac:dyDescent="0.2">
      <c r="A121" s="238"/>
      <c r="B121" s="54" t="s">
        <v>448</v>
      </c>
      <c r="C121" s="241" t="s">
        <v>764</v>
      </c>
      <c r="D121" s="251"/>
      <c r="E121" s="251"/>
      <c r="F121" s="132"/>
      <c r="G121" s="132"/>
      <c r="H121" s="132"/>
      <c r="I121" s="79"/>
      <c r="J121" s="198">
        <f>SUMIF(Journals!D$14:D$920,TrialBalance!P121,Journals!J$14:J$920)+SUMIF(Journals!E$14:E$920,TrialBalance!P121,Journals!J$14:J$920)</f>
        <v>0</v>
      </c>
      <c r="K121" s="253"/>
      <c r="L121" s="255">
        <f t="shared" si="13"/>
        <v>0</v>
      </c>
      <c r="M121" s="75"/>
      <c r="N121" s="48">
        <f t="shared" si="11"/>
        <v>0</v>
      </c>
      <c r="P121" s="140" t="str">
        <f t="shared" si="21"/>
        <v>3000/111Legal expenses - non deductible</v>
      </c>
      <c r="Q121" s="70"/>
      <c r="S121" s="71"/>
      <c r="T121" s="51"/>
      <c r="U121" s="31"/>
    </row>
    <row r="122" spans="1:21" x14ac:dyDescent="0.2">
      <c r="A122" s="238"/>
      <c r="B122" s="54" t="s">
        <v>302</v>
      </c>
      <c r="C122" s="240" t="s">
        <v>303</v>
      </c>
      <c r="D122" s="250"/>
      <c r="E122" s="251"/>
      <c r="F122" s="132"/>
      <c r="G122" s="132"/>
      <c r="H122" s="132"/>
      <c r="I122" s="79"/>
      <c r="J122" s="198">
        <f>SUMIF(Journals!D$14:D$920,TrialBalance!P122,Journals!J$14:J$920)+SUMIF(Journals!E$14:E$920,TrialBalance!P122,Journals!J$14:J$920)</f>
        <v>0</v>
      </c>
      <c r="K122" s="253"/>
      <c r="L122" s="255">
        <f t="shared" si="13"/>
        <v>0</v>
      </c>
      <c r="M122" s="75"/>
      <c r="N122" s="48">
        <f t="shared" si="11"/>
        <v>0</v>
      </c>
      <c r="P122" s="140" t="str">
        <f t="shared" si="21"/>
        <v>3000/120Printing and stationary</v>
      </c>
      <c r="Q122" s="70"/>
      <c r="S122" s="71"/>
      <c r="T122" s="51"/>
      <c r="U122" s="31"/>
    </row>
    <row r="123" spans="1:21" x14ac:dyDescent="0.2">
      <c r="A123" s="238"/>
      <c r="B123" s="54" t="s">
        <v>304</v>
      </c>
      <c r="C123" s="240" t="s">
        <v>260</v>
      </c>
      <c r="D123" s="250"/>
      <c r="E123" s="251"/>
      <c r="F123" s="132"/>
      <c r="G123" s="132"/>
      <c r="H123" s="132"/>
      <c r="I123" s="79"/>
      <c r="J123" s="198">
        <f>SUMIF(Journals!D$14:D$920,TrialBalance!P123,Journals!J$14:J$920)+SUMIF(Journals!E$14:E$920,TrialBalance!P123,Journals!J$14:J$920)</f>
        <v>0</v>
      </c>
      <c r="K123" s="253"/>
      <c r="L123" s="255">
        <f t="shared" si="13"/>
        <v>0</v>
      </c>
      <c r="M123" s="75"/>
      <c r="N123" s="48">
        <f t="shared" si="11"/>
        <v>0</v>
      </c>
      <c r="P123" s="140" t="str">
        <f t="shared" si="21"/>
        <v>3000/130Refreshments</v>
      </c>
      <c r="Q123" s="70"/>
      <c r="S123" s="71"/>
      <c r="T123" s="51"/>
      <c r="U123" s="31"/>
    </row>
    <row r="124" spans="1:21" x14ac:dyDescent="0.2">
      <c r="A124" s="238"/>
      <c r="B124" s="54" t="s">
        <v>305</v>
      </c>
      <c r="C124" s="240" t="s">
        <v>64</v>
      </c>
      <c r="D124" s="250"/>
      <c r="E124" s="251"/>
      <c r="F124" s="132"/>
      <c r="G124" s="132"/>
      <c r="H124" s="132"/>
      <c r="I124" s="79"/>
      <c r="J124" s="198">
        <f>SUMIF(Journals!D$14:D$920,TrialBalance!P124,Journals!J$14:J$920)+SUMIF(Journals!E$14:E$920,TrialBalance!P124,Journals!J$14:J$920)</f>
        <v>0</v>
      </c>
      <c r="K124" s="253"/>
      <c r="L124" s="255">
        <f t="shared" si="13"/>
        <v>0</v>
      </c>
      <c r="M124" s="75"/>
      <c r="N124" s="48">
        <f t="shared" si="11"/>
        <v>0</v>
      </c>
      <c r="P124" s="140" t="str">
        <f t="shared" si="21"/>
        <v>3000/140Salaries</v>
      </c>
      <c r="Q124" s="70"/>
      <c r="S124" s="71"/>
      <c r="T124" s="51"/>
      <c r="U124" s="31"/>
    </row>
    <row r="125" spans="1:21" x14ac:dyDescent="0.2">
      <c r="A125" s="238"/>
      <c r="B125" s="90" t="s">
        <v>306</v>
      </c>
      <c r="C125" s="240" t="s">
        <v>68</v>
      </c>
      <c r="D125" s="250"/>
      <c r="E125" s="251"/>
      <c r="F125" s="132"/>
      <c r="G125" s="132"/>
      <c r="H125" s="132"/>
      <c r="I125" s="79"/>
      <c r="J125" s="198">
        <f>SUMIF(Journals!D$14:D$920,TrialBalance!P125,Journals!J$14:J$920)+SUMIF(Journals!E$14:E$920,TrialBalance!P125,Journals!J$14:J$920)</f>
        <v>0</v>
      </c>
      <c r="K125" s="253"/>
      <c r="L125" s="255">
        <f t="shared" si="13"/>
        <v>0</v>
      </c>
      <c r="M125" s="75"/>
      <c r="N125" s="48">
        <f t="shared" si="11"/>
        <v>0</v>
      </c>
      <c r="P125" s="140" t="str">
        <f t="shared" si="21"/>
        <v>3000/141Casual wages</v>
      </c>
      <c r="Q125" s="70"/>
      <c r="S125" s="71"/>
      <c r="T125" s="51"/>
      <c r="U125" s="31"/>
    </row>
    <row r="126" spans="1:21" x14ac:dyDescent="0.2">
      <c r="A126" s="238"/>
      <c r="B126" s="54" t="s">
        <v>307</v>
      </c>
      <c r="C126" s="240" t="s">
        <v>261</v>
      </c>
      <c r="D126" s="250"/>
      <c r="E126" s="251"/>
      <c r="F126" s="132"/>
      <c r="G126" s="132"/>
      <c r="H126" s="132"/>
      <c r="I126" s="79"/>
      <c r="J126" s="198">
        <f>SUMIF(Journals!D$14:D$920,TrialBalance!P126,Journals!J$14:J$920)+SUMIF(Journals!E$14:E$920,TrialBalance!P126,Journals!J$14:J$920)</f>
        <v>0</v>
      </c>
      <c r="K126" s="253"/>
      <c r="L126" s="255">
        <f t="shared" si="13"/>
        <v>0</v>
      </c>
      <c r="M126" s="75"/>
      <c r="N126" s="48">
        <f t="shared" si="11"/>
        <v>0</v>
      </c>
      <c r="P126" s="140" t="str">
        <f t="shared" si="21"/>
        <v>3000/150Security</v>
      </c>
      <c r="Q126" s="70"/>
      <c r="S126" s="71"/>
      <c r="T126" s="51"/>
      <c r="U126" s="31"/>
    </row>
    <row r="127" spans="1:21" x14ac:dyDescent="0.2">
      <c r="A127" s="238"/>
      <c r="B127" s="54" t="s">
        <v>308</v>
      </c>
      <c r="C127" s="242" t="s">
        <v>729</v>
      </c>
      <c r="D127" s="250"/>
      <c r="E127" s="251"/>
      <c r="F127" s="132"/>
      <c r="G127" s="132"/>
      <c r="H127" s="132"/>
      <c r="I127" s="79"/>
      <c r="J127" s="198">
        <f>SUMIF(Journals!D$14:D$920,TrialBalance!P127,Journals!J$14:J$920)+SUMIF(Journals!E$14:E$920,TrialBalance!P127,Journals!J$14:J$920)</f>
        <v>0</v>
      </c>
      <c r="K127" s="253"/>
      <c r="L127" s="255">
        <f t="shared" si="13"/>
        <v>0</v>
      </c>
      <c r="M127" s="75"/>
      <c r="N127" s="48">
        <f t="shared" si="11"/>
        <v>0</v>
      </c>
      <c r="P127" s="140" t="str">
        <f t="shared" si="21"/>
        <v>3000/160Subscriptions and membership fees</v>
      </c>
      <c r="Q127" s="70"/>
      <c r="S127" s="71"/>
      <c r="T127" s="51"/>
      <c r="U127" s="31"/>
    </row>
    <row r="128" spans="1:21" x14ac:dyDescent="0.2">
      <c r="A128" s="238"/>
      <c r="B128" s="54" t="s">
        <v>333</v>
      </c>
      <c r="C128" s="242" t="s">
        <v>765</v>
      </c>
      <c r="D128" s="250"/>
      <c r="E128" s="251"/>
      <c r="F128" s="132"/>
      <c r="G128" s="132"/>
      <c r="H128" s="132"/>
      <c r="I128" s="79"/>
      <c r="J128" s="198">
        <f>SUMIF(Journals!D$14:D$920,TrialBalance!P128,Journals!J$14:J$920)+SUMIF(Journals!E$14:E$920,TrialBalance!P128,Journals!J$14:J$920)</f>
        <v>0</v>
      </c>
      <c r="K128" s="253"/>
      <c r="L128" s="255">
        <f t="shared" si="13"/>
        <v>0</v>
      </c>
      <c r="M128" s="75"/>
      <c r="N128" s="48">
        <f t="shared" si="11"/>
        <v>0</v>
      </c>
      <c r="P128" s="140" t="str">
        <f t="shared" si="21"/>
        <v>3000/170Penalties and interest - SARS</v>
      </c>
      <c r="Q128" s="70"/>
      <c r="S128" s="71"/>
      <c r="T128" s="51"/>
      <c r="U128" s="31"/>
    </row>
    <row r="129" spans="1:21" x14ac:dyDescent="0.2">
      <c r="A129" s="238"/>
      <c r="B129" s="54" t="s">
        <v>279</v>
      </c>
      <c r="C129" s="243"/>
      <c r="D129" s="251"/>
      <c r="E129" s="251"/>
      <c r="F129" s="132"/>
      <c r="G129" s="132"/>
      <c r="H129" s="132"/>
      <c r="I129" s="79"/>
      <c r="J129" s="198">
        <f>SUMIF(Journals!D$14:D$920,TrialBalance!P129,Journals!J$14:J$920)+SUMIF(Journals!E$14:E$920,TrialBalance!P129,Journals!J$14:J$920)</f>
        <v>0</v>
      </c>
      <c r="K129" s="253"/>
      <c r="L129" s="255">
        <f t="shared" si="13"/>
        <v>0</v>
      </c>
      <c r="M129" s="75"/>
      <c r="N129" s="48">
        <f t="shared" si="11"/>
        <v>0</v>
      </c>
      <c r="P129" s="140" t="str">
        <f t="shared" si="21"/>
        <v>3000/180</v>
      </c>
      <c r="Q129" s="70"/>
      <c r="S129" s="71"/>
      <c r="T129" s="51"/>
      <c r="U129" s="31"/>
    </row>
    <row r="130" spans="1:21" x14ac:dyDescent="0.2">
      <c r="A130" s="238"/>
      <c r="B130" s="54" t="s">
        <v>280</v>
      </c>
      <c r="C130" s="243"/>
      <c r="D130" s="251"/>
      <c r="E130" s="251"/>
      <c r="F130" s="132"/>
      <c r="G130" s="132"/>
      <c r="H130" s="132"/>
      <c r="I130" s="79"/>
      <c r="J130" s="198">
        <f>SUMIF(Journals!D$14:D$920,TrialBalance!P130,Journals!J$14:J$920)+SUMIF(Journals!E$14:E$920,TrialBalance!P130,Journals!J$14:J$920)</f>
        <v>0</v>
      </c>
      <c r="K130" s="253"/>
      <c r="L130" s="255">
        <f t="shared" si="13"/>
        <v>0</v>
      </c>
      <c r="M130" s="75"/>
      <c r="N130" s="48">
        <f t="shared" si="11"/>
        <v>0</v>
      </c>
      <c r="P130" s="140" t="str">
        <f t="shared" si="21"/>
        <v>3000/190</v>
      </c>
      <c r="Q130" s="70"/>
      <c r="S130" s="71"/>
      <c r="T130" s="51"/>
      <c r="U130" s="31"/>
    </row>
    <row r="131" spans="1:21" x14ac:dyDescent="0.2">
      <c r="A131" s="238"/>
      <c r="B131" s="54" t="s">
        <v>281</v>
      </c>
      <c r="C131" s="243"/>
      <c r="D131" s="251"/>
      <c r="E131" s="251"/>
      <c r="F131" s="132"/>
      <c r="G131" s="132"/>
      <c r="H131" s="132"/>
      <c r="I131" s="79"/>
      <c r="J131" s="198">
        <f>SUMIF(Journals!D$14:D$920,TrialBalance!P131,Journals!J$14:J$920)+SUMIF(Journals!E$14:E$920,TrialBalance!P131,Journals!J$14:J$920)</f>
        <v>0</v>
      </c>
      <c r="K131" s="253"/>
      <c r="L131" s="255">
        <f t="shared" si="13"/>
        <v>0</v>
      </c>
      <c r="M131" s="75"/>
      <c r="N131" s="48">
        <f t="shared" si="11"/>
        <v>0</v>
      </c>
      <c r="P131" s="140" t="str">
        <f t="shared" si="21"/>
        <v>3000/200</v>
      </c>
      <c r="Q131" s="70"/>
      <c r="S131" s="71"/>
      <c r="T131" s="51"/>
      <c r="U131" s="31"/>
    </row>
    <row r="132" spans="1:21" x14ac:dyDescent="0.2">
      <c r="A132" s="238"/>
      <c r="B132" s="54" t="s">
        <v>282</v>
      </c>
      <c r="C132" s="243"/>
      <c r="D132" s="251"/>
      <c r="E132" s="251"/>
      <c r="F132" s="132"/>
      <c r="G132" s="132"/>
      <c r="H132" s="132"/>
      <c r="I132" s="79"/>
      <c r="J132" s="198">
        <f>SUMIF(Journals!D$14:D$920,TrialBalance!P132,Journals!J$14:J$920)+SUMIF(Journals!E$14:E$920,TrialBalance!P132,Journals!J$14:J$920)</f>
        <v>0</v>
      </c>
      <c r="K132" s="253"/>
      <c r="L132" s="255">
        <f t="shared" si="13"/>
        <v>0</v>
      </c>
      <c r="M132" s="75"/>
      <c r="N132" s="48">
        <f t="shared" si="11"/>
        <v>0</v>
      </c>
      <c r="P132" s="140" t="str">
        <f t="shared" si="21"/>
        <v>3000/210</v>
      </c>
      <c r="Q132" s="70"/>
      <c r="S132" s="71"/>
      <c r="T132" s="51"/>
      <c r="U132" s="31"/>
    </row>
    <row r="133" spans="1:21" x14ac:dyDescent="0.2">
      <c r="A133" s="238"/>
      <c r="B133" s="54" t="s">
        <v>283</v>
      </c>
      <c r="C133" s="243"/>
      <c r="D133" s="251"/>
      <c r="E133" s="251"/>
      <c r="F133" s="132"/>
      <c r="G133" s="132"/>
      <c r="H133" s="132"/>
      <c r="I133" s="79"/>
      <c r="J133" s="198">
        <f>SUMIF(Journals!D$14:D$920,TrialBalance!P133,Journals!J$14:J$920)+SUMIF(Journals!E$14:E$920,TrialBalance!P133,Journals!J$14:J$920)</f>
        <v>0</v>
      </c>
      <c r="K133" s="253"/>
      <c r="L133" s="255">
        <f t="shared" si="13"/>
        <v>0</v>
      </c>
      <c r="M133" s="75"/>
      <c r="N133" s="48">
        <f t="shared" si="11"/>
        <v>0</v>
      </c>
      <c r="P133" s="140" t="str">
        <f t="shared" si="21"/>
        <v>3000/220</v>
      </c>
      <c r="Q133" s="70"/>
      <c r="S133" s="71"/>
      <c r="T133" s="51"/>
      <c r="U133" s="31"/>
    </row>
    <row r="134" spans="1:21" x14ac:dyDescent="0.2">
      <c r="A134" s="238"/>
      <c r="B134" s="90" t="s">
        <v>537</v>
      </c>
      <c r="C134" s="243"/>
      <c r="D134" s="251"/>
      <c r="E134" s="251"/>
      <c r="F134" s="132"/>
      <c r="G134" s="132"/>
      <c r="H134" s="132"/>
      <c r="I134" s="79"/>
      <c r="J134" s="198">
        <f>SUMIF(Journals!D$14:D$920,TrialBalance!P134,Journals!J$14:J$920)+SUMIF(Journals!E$14:E$920,TrialBalance!P134,Journals!J$14:J$920)</f>
        <v>0</v>
      </c>
      <c r="K134" s="253"/>
      <c r="L134" s="255">
        <f t="shared" si="13"/>
        <v>0</v>
      </c>
      <c r="M134" s="75"/>
      <c r="N134" s="48">
        <f t="shared" si="11"/>
        <v>0</v>
      </c>
      <c r="P134" s="140" t="str">
        <f t="shared" si="21"/>
        <v>3000/230</v>
      </c>
      <c r="Q134" s="70"/>
      <c r="S134" s="71"/>
      <c r="T134" s="51"/>
      <c r="U134" s="31"/>
    </row>
    <row r="135" spans="1:21" x14ac:dyDescent="0.2">
      <c r="A135" s="238"/>
      <c r="B135" s="90" t="s">
        <v>538</v>
      </c>
      <c r="C135" s="243"/>
      <c r="D135" s="251"/>
      <c r="E135" s="251"/>
      <c r="F135" s="132"/>
      <c r="G135" s="132"/>
      <c r="H135" s="132"/>
      <c r="I135" s="79"/>
      <c r="J135" s="198">
        <f>SUMIF(Journals!D$14:D$920,TrialBalance!P135,Journals!J$14:J$920)+SUMIF(Journals!E$14:E$920,TrialBalance!P135,Journals!J$14:J$920)</f>
        <v>0</v>
      </c>
      <c r="K135" s="253"/>
      <c r="L135" s="255">
        <f t="shared" si="13"/>
        <v>0</v>
      </c>
      <c r="M135" s="75"/>
      <c r="N135" s="48">
        <f t="shared" si="11"/>
        <v>0</v>
      </c>
      <c r="P135" s="140" t="str">
        <f t="shared" si="21"/>
        <v>3000/240</v>
      </c>
      <c r="Q135" s="70"/>
      <c r="S135" s="71"/>
      <c r="T135" s="51"/>
      <c r="U135" s="31"/>
    </row>
    <row r="136" spans="1:21" x14ac:dyDescent="0.2">
      <c r="A136" s="238"/>
      <c r="B136" s="90" t="s">
        <v>539</v>
      </c>
      <c r="C136" s="243"/>
      <c r="D136" s="251"/>
      <c r="E136" s="251"/>
      <c r="F136" s="132"/>
      <c r="G136" s="132"/>
      <c r="H136" s="132"/>
      <c r="I136" s="79"/>
      <c r="J136" s="198">
        <f>SUMIF(Journals!D$14:D$920,TrialBalance!P136,Journals!J$14:J$920)+SUMIF(Journals!E$14:E$920,TrialBalance!P136,Journals!J$14:J$920)</f>
        <v>0</v>
      </c>
      <c r="K136" s="253"/>
      <c r="L136" s="255">
        <f t="shared" ref="L136:L205" si="22">ROUND(D136-E136+F136+G136+H136+J136+I136,0)</f>
        <v>0</v>
      </c>
      <c r="M136" s="75"/>
      <c r="N136" s="48">
        <f t="shared" si="11"/>
        <v>0</v>
      </c>
      <c r="P136" s="140" t="str">
        <f t="shared" si="21"/>
        <v>3000/250</v>
      </c>
      <c r="Q136" s="70"/>
      <c r="S136" s="71"/>
      <c r="T136" s="51"/>
      <c r="U136" s="31"/>
    </row>
    <row r="137" spans="1:21" x14ac:dyDescent="0.2">
      <c r="A137" s="238"/>
      <c r="B137" s="90" t="s">
        <v>540</v>
      </c>
      <c r="C137" s="243"/>
      <c r="D137" s="251"/>
      <c r="E137" s="251"/>
      <c r="F137" s="132"/>
      <c r="G137" s="132"/>
      <c r="H137" s="132"/>
      <c r="I137" s="79"/>
      <c r="J137" s="198">
        <f>SUMIF(Journals!D$14:D$920,TrialBalance!P137,Journals!J$14:J$920)+SUMIF(Journals!E$14:E$920,TrialBalance!P137,Journals!J$14:J$920)</f>
        <v>0</v>
      </c>
      <c r="K137" s="253"/>
      <c r="L137" s="255">
        <f t="shared" si="22"/>
        <v>0</v>
      </c>
      <c r="M137" s="75"/>
      <c r="N137" s="48">
        <f t="shared" si="11"/>
        <v>0</v>
      </c>
      <c r="P137" s="140" t="str">
        <f t="shared" si="21"/>
        <v>3000/260</v>
      </c>
      <c r="Q137" s="70"/>
      <c r="S137" s="71"/>
      <c r="T137" s="51"/>
      <c r="U137" s="31"/>
    </row>
    <row r="138" spans="1:21" x14ac:dyDescent="0.2">
      <c r="A138" s="238"/>
      <c r="B138" s="90" t="s">
        <v>541</v>
      </c>
      <c r="C138" s="241" t="s">
        <v>1018</v>
      </c>
      <c r="D138" s="251"/>
      <c r="E138" s="251"/>
      <c r="F138" s="132"/>
      <c r="G138" s="132"/>
      <c r="H138" s="132"/>
      <c r="I138" s="79"/>
      <c r="J138" s="198">
        <f>SUMIF(Journals!D$14:D$920,TrialBalance!P138,Journals!J$14:J$920)+SUMIF(Journals!E$14:E$920,TrialBalance!P138,Journals!J$14:J$920)</f>
        <v>0</v>
      </c>
      <c r="K138" s="253"/>
      <c r="L138" s="255">
        <f t="shared" si="22"/>
        <v>0</v>
      </c>
      <c r="M138" s="75"/>
      <c r="N138" s="48">
        <f t="shared" si="11"/>
        <v>0</v>
      </c>
      <c r="P138" s="140" t="str">
        <f t="shared" si="21"/>
        <v>3000/270Amortisation of prepaid lease agreement</v>
      </c>
      <c r="Q138" s="70"/>
      <c r="S138" s="71"/>
      <c r="T138" s="51"/>
      <c r="U138" s="31"/>
    </row>
    <row r="139" spans="1:21" x14ac:dyDescent="0.2">
      <c r="A139" s="238"/>
      <c r="B139" s="90" t="s">
        <v>1019</v>
      </c>
      <c r="C139" s="242" t="s">
        <v>1020</v>
      </c>
      <c r="D139" s="251"/>
      <c r="E139" s="251"/>
      <c r="F139" s="132"/>
      <c r="G139" s="132"/>
      <c r="H139" s="132"/>
      <c r="I139" s="79"/>
      <c r="J139" s="198">
        <f>SUMIF(Journals!D$14:D$920,TrialBalance!P139,Journals!J$14:J$920)+SUMIF(Journals!E$14:E$920,TrialBalance!P139,Journals!J$14:J$920)</f>
        <v>0</v>
      </c>
      <c r="K139" s="253"/>
      <c r="L139" s="255">
        <f>ROUND(D139-E139+F139+G139+H139+J139+I139,0)</f>
        <v>0</v>
      </c>
      <c r="M139" s="75"/>
      <c r="N139" s="48">
        <f t="shared" ref="N139" si="23">ROUND(SUM(A139),0)</f>
        <v>0</v>
      </c>
      <c r="P139" s="140" t="str">
        <f t="shared" ref="P139" si="24">CONCATENATE(B139,C139)</f>
        <v>3000/280Amortisation of goodwill</v>
      </c>
      <c r="Q139" s="70"/>
      <c r="S139" s="71"/>
      <c r="T139" s="51"/>
      <c r="U139" s="31"/>
    </row>
    <row r="140" spans="1:21" x14ac:dyDescent="0.2">
      <c r="A140" s="238"/>
      <c r="B140" s="54" t="s">
        <v>309</v>
      </c>
      <c r="C140" s="239" t="s">
        <v>115</v>
      </c>
      <c r="D140" s="250"/>
      <c r="E140" s="251"/>
      <c r="F140" s="132"/>
      <c r="G140" s="132"/>
      <c r="H140" s="132"/>
      <c r="I140" s="79"/>
      <c r="J140" s="198">
        <f>SUMIF(Journals!D$14:D$920,TrialBalance!P140,Journals!J$14:J$920)+SUMIF(Journals!E$14:E$920,TrialBalance!P140,Journals!J$14:J$920)</f>
        <v>0</v>
      </c>
      <c r="K140" s="253"/>
      <c r="L140" s="255">
        <f t="shared" si="22"/>
        <v>0</v>
      </c>
      <c r="M140" s="75"/>
      <c r="N140" s="48">
        <f t="shared" ref="N140:N205" si="25">ROUND(SUM(A140),0)</f>
        <v>0</v>
      </c>
      <c r="P140" s="140" t="str">
        <f t="shared" ref="P140:P164" si="26">CONCATENATE(B140,C140)</f>
        <v>4700/000FINANCE COSTS</v>
      </c>
      <c r="Q140" s="70"/>
      <c r="S140" s="71"/>
      <c r="T140" s="51"/>
      <c r="U140" s="31"/>
    </row>
    <row r="141" spans="1:21" x14ac:dyDescent="0.2">
      <c r="A141" s="238"/>
      <c r="B141" s="54" t="s">
        <v>310</v>
      </c>
      <c r="C141" s="239" t="s">
        <v>616</v>
      </c>
      <c r="D141" s="250"/>
      <c r="E141" s="251"/>
      <c r="F141" s="132"/>
      <c r="G141" s="132"/>
      <c r="H141" s="132"/>
      <c r="I141" s="79"/>
      <c r="J141" s="198">
        <f>SUMIF(Journals!D$14:D$920,TrialBalance!P141,Journals!J$14:J$920)+SUMIF(Journals!E$14:E$920,TrialBalance!P141,Journals!J$14:J$920)</f>
        <v>0</v>
      </c>
      <c r="K141" s="253"/>
      <c r="L141" s="255">
        <f t="shared" si="22"/>
        <v>0</v>
      </c>
      <c r="M141" s="75"/>
      <c r="N141" s="48">
        <f t="shared" si="25"/>
        <v>0</v>
      </c>
      <c r="P141" s="140" t="str">
        <f t="shared" si="26"/>
        <v>4700/010Interest paid--------------------------------</v>
      </c>
      <c r="Q141" s="70"/>
      <c r="S141" s="71"/>
      <c r="T141" s="51"/>
      <c r="U141" s="31"/>
    </row>
    <row r="142" spans="1:21" x14ac:dyDescent="0.2">
      <c r="A142" s="238"/>
      <c r="B142" s="54" t="s">
        <v>312</v>
      </c>
      <c r="C142" s="243"/>
      <c r="D142" s="250"/>
      <c r="E142" s="251"/>
      <c r="F142" s="132"/>
      <c r="G142" s="132"/>
      <c r="H142" s="132"/>
      <c r="I142" s="79"/>
      <c r="J142" s="198">
        <f>SUMIF(Journals!D$14:D$920,TrialBalance!P142,Journals!J$14:J$920)+SUMIF(Journals!E$14:E$920,TrialBalance!P142,Journals!J$14:J$920)</f>
        <v>0</v>
      </c>
      <c r="K142" s="253"/>
      <c r="L142" s="255">
        <f t="shared" si="22"/>
        <v>0</v>
      </c>
      <c r="M142" s="75"/>
      <c r="N142" s="48">
        <f t="shared" si="25"/>
        <v>0</v>
      </c>
      <c r="P142" s="140" t="str">
        <f t="shared" si="26"/>
        <v>4700/011</v>
      </c>
      <c r="Q142" s="70"/>
      <c r="S142" s="71"/>
      <c r="T142" s="51"/>
      <c r="U142" s="31"/>
    </row>
    <row r="143" spans="1:21" x14ac:dyDescent="0.2">
      <c r="A143" s="238"/>
      <c r="B143" s="54" t="s">
        <v>313</v>
      </c>
      <c r="C143" s="243"/>
      <c r="D143" s="251"/>
      <c r="E143" s="251"/>
      <c r="F143" s="132"/>
      <c r="G143" s="132"/>
      <c r="H143" s="132"/>
      <c r="I143" s="79"/>
      <c r="J143" s="198">
        <f>SUMIF(Journals!D$14:D$920,TrialBalance!P143,Journals!J$14:J$920)+SUMIF(Journals!E$14:E$920,TrialBalance!P143,Journals!J$14:J$920)</f>
        <v>0</v>
      </c>
      <c r="K143" s="253"/>
      <c r="L143" s="255">
        <f t="shared" si="22"/>
        <v>0</v>
      </c>
      <c r="M143" s="75"/>
      <c r="N143" s="48">
        <f t="shared" si="25"/>
        <v>0</v>
      </c>
      <c r="P143" s="140" t="str">
        <f t="shared" si="26"/>
        <v>4700/012</v>
      </c>
      <c r="Q143" s="70"/>
      <c r="S143" s="71"/>
      <c r="T143" s="51"/>
      <c r="U143" s="31"/>
    </row>
    <row r="144" spans="1:21" x14ac:dyDescent="0.2">
      <c r="A144" s="238"/>
      <c r="B144" s="54" t="s">
        <v>314</v>
      </c>
      <c r="C144" s="243"/>
      <c r="D144" s="251"/>
      <c r="E144" s="251"/>
      <c r="F144" s="132"/>
      <c r="G144" s="132"/>
      <c r="H144" s="132"/>
      <c r="I144" s="79"/>
      <c r="J144" s="198">
        <f>SUMIF(Journals!D$14:D$920,TrialBalance!P144,Journals!J$14:J$920)+SUMIF(Journals!E$14:E$920,TrialBalance!P144,Journals!J$14:J$920)</f>
        <v>0</v>
      </c>
      <c r="K144" s="253"/>
      <c r="L144" s="255">
        <f t="shared" si="22"/>
        <v>0</v>
      </c>
      <c r="M144" s="75"/>
      <c r="N144" s="48">
        <f t="shared" si="25"/>
        <v>0</v>
      </c>
      <c r="P144" s="140" t="str">
        <f t="shared" si="26"/>
        <v>4700/013</v>
      </c>
      <c r="Q144" s="70"/>
      <c r="S144" s="71"/>
      <c r="T144" s="51"/>
      <c r="U144" s="31"/>
    </row>
    <row r="145" spans="1:21" x14ac:dyDescent="0.2">
      <c r="A145" s="238"/>
      <c r="B145" s="54" t="s">
        <v>315</v>
      </c>
      <c r="C145" s="243"/>
      <c r="D145" s="251"/>
      <c r="E145" s="251"/>
      <c r="F145" s="132"/>
      <c r="G145" s="132"/>
      <c r="H145" s="132"/>
      <c r="I145" s="79"/>
      <c r="J145" s="198">
        <f>SUMIF(Journals!D$14:D$920,TrialBalance!P145,Journals!J$14:J$920)+SUMIF(Journals!E$14:E$920,TrialBalance!P145,Journals!J$14:J$920)</f>
        <v>0</v>
      </c>
      <c r="K145" s="253"/>
      <c r="L145" s="255">
        <f t="shared" ref="L145:L147" si="27">ROUND(D145-E145+F145+G145+H145+J145+I145,0)</f>
        <v>0</v>
      </c>
      <c r="M145" s="75"/>
      <c r="N145" s="48">
        <f t="shared" si="25"/>
        <v>0</v>
      </c>
      <c r="P145" s="140" t="str">
        <f t="shared" si="26"/>
        <v>4700/014</v>
      </c>
      <c r="Q145" s="70"/>
      <c r="S145" s="71"/>
      <c r="T145" s="51"/>
      <c r="U145" s="31"/>
    </row>
    <row r="146" spans="1:21" x14ac:dyDescent="0.2">
      <c r="A146" s="238"/>
      <c r="B146" s="54" t="s">
        <v>514</v>
      </c>
      <c r="C146" s="243"/>
      <c r="D146" s="251"/>
      <c r="E146" s="251"/>
      <c r="F146" s="132"/>
      <c r="G146" s="132"/>
      <c r="H146" s="132"/>
      <c r="I146" s="79"/>
      <c r="J146" s="198">
        <f>SUMIF(Journals!D$14:D$920,TrialBalance!P146,Journals!J$14:J$920)+SUMIF(Journals!E$14:E$920,TrialBalance!P146,Journals!J$14:J$920)</f>
        <v>0</v>
      </c>
      <c r="K146" s="253"/>
      <c r="L146" s="255">
        <f t="shared" si="27"/>
        <v>0</v>
      </c>
      <c r="M146" s="75"/>
      <c r="N146" s="48">
        <f t="shared" si="25"/>
        <v>0</v>
      </c>
      <c r="P146" s="140" t="str">
        <f t="shared" si="26"/>
        <v>4700/015</v>
      </c>
      <c r="Q146" s="70"/>
      <c r="S146" s="71"/>
      <c r="T146" s="51"/>
      <c r="U146" s="31"/>
    </row>
    <row r="147" spans="1:21" x14ac:dyDescent="0.2">
      <c r="A147" s="238"/>
      <c r="B147" s="54" t="s">
        <v>522</v>
      </c>
      <c r="C147" s="243"/>
      <c r="D147" s="251"/>
      <c r="E147" s="251"/>
      <c r="F147" s="132"/>
      <c r="G147" s="132"/>
      <c r="H147" s="132"/>
      <c r="I147" s="79"/>
      <c r="J147" s="198">
        <f>SUMIF(Journals!D$14:D$920,TrialBalance!P147,Journals!J$14:J$920)+SUMIF(Journals!E$14:E$920,TrialBalance!P147,Journals!J$14:J$920)</f>
        <v>0</v>
      </c>
      <c r="K147" s="253"/>
      <c r="L147" s="255">
        <f t="shared" si="27"/>
        <v>0</v>
      </c>
      <c r="M147" s="75"/>
      <c r="N147" s="48">
        <f t="shared" si="25"/>
        <v>0</v>
      </c>
      <c r="P147" s="140" t="str">
        <f t="shared" si="26"/>
        <v>4700/016</v>
      </c>
      <c r="Q147" s="70"/>
      <c r="S147" s="71"/>
      <c r="T147" s="51"/>
      <c r="U147" s="31"/>
    </row>
    <row r="148" spans="1:21" x14ac:dyDescent="0.2">
      <c r="A148" s="238"/>
      <c r="B148" s="90" t="s">
        <v>578</v>
      </c>
      <c r="C148" s="243"/>
      <c r="D148" s="251"/>
      <c r="E148" s="251"/>
      <c r="F148" s="132"/>
      <c r="G148" s="132"/>
      <c r="H148" s="132"/>
      <c r="I148" s="79"/>
      <c r="J148" s="198">
        <f>SUMIF(Journals!D$14:D$920,TrialBalance!P148,Journals!J$14:J$920)+SUMIF(Journals!E$14:E$920,TrialBalance!P148,Journals!J$14:J$920)</f>
        <v>0</v>
      </c>
      <c r="K148" s="253"/>
      <c r="L148" s="255">
        <f t="shared" si="22"/>
        <v>0</v>
      </c>
      <c r="M148" s="75"/>
      <c r="N148" s="48">
        <f t="shared" si="25"/>
        <v>0</v>
      </c>
      <c r="P148" s="140" t="str">
        <f t="shared" si="26"/>
        <v>4700/017</v>
      </c>
      <c r="Q148" s="70"/>
      <c r="S148" s="71"/>
      <c r="T148" s="51"/>
      <c r="U148" s="31"/>
    </row>
    <row r="149" spans="1:21" x14ac:dyDescent="0.2">
      <c r="A149" s="238"/>
      <c r="B149" s="90" t="s">
        <v>658</v>
      </c>
      <c r="C149" s="243"/>
      <c r="D149" s="251"/>
      <c r="E149" s="251"/>
      <c r="F149" s="132"/>
      <c r="G149" s="132"/>
      <c r="H149" s="132"/>
      <c r="I149" s="79"/>
      <c r="J149" s="198">
        <f>SUMIF(Journals!D$14:D$920,TrialBalance!P149,Journals!J$14:J$920)+SUMIF(Journals!E$14:E$920,TrialBalance!P149,Journals!J$14:J$920)</f>
        <v>0</v>
      </c>
      <c r="K149" s="253"/>
      <c r="L149" s="255">
        <f t="shared" si="22"/>
        <v>0</v>
      </c>
      <c r="M149" s="75"/>
      <c r="N149" s="48">
        <f t="shared" si="25"/>
        <v>0</v>
      </c>
      <c r="P149" s="140" t="str">
        <f t="shared" si="26"/>
        <v>4700/018</v>
      </c>
      <c r="Q149" s="70"/>
      <c r="S149" s="71"/>
      <c r="T149" s="51"/>
      <c r="U149" s="31"/>
    </row>
    <row r="150" spans="1:21" x14ac:dyDescent="0.2">
      <c r="A150" s="238"/>
      <c r="B150" s="90" t="s">
        <v>659</v>
      </c>
      <c r="C150" s="243"/>
      <c r="D150" s="251"/>
      <c r="E150" s="251"/>
      <c r="F150" s="132"/>
      <c r="G150" s="132"/>
      <c r="H150" s="132"/>
      <c r="I150" s="79"/>
      <c r="J150" s="198">
        <f>SUMIF(Journals!D$14:D$920,TrialBalance!P150,Journals!J$14:J$920)+SUMIF(Journals!E$14:E$920,TrialBalance!P150,Journals!J$14:J$920)</f>
        <v>0</v>
      </c>
      <c r="K150" s="253"/>
      <c r="L150" s="255">
        <f t="shared" si="22"/>
        <v>0</v>
      </c>
      <c r="M150" s="75"/>
      <c r="N150" s="48">
        <f t="shared" si="25"/>
        <v>0</v>
      </c>
      <c r="P150" s="140" t="str">
        <f t="shared" si="26"/>
        <v>4700/019</v>
      </c>
      <c r="Q150" s="70"/>
      <c r="S150" s="71"/>
      <c r="T150" s="51"/>
      <c r="U150" s="31"/>
    </row>
    <row r="151" spans="1:21" x14ac:dyDescent="0.2">
      <c r="A151" s="238"/>
      <c r="B151" s="90" t="s">
        <v>316</v>
      </c>
      <c r="C151" s="243"/>
      <c r="D151" s="250"/>
      <c r="E151" s="251"/>
      <c r="F151" s="132"/>
      <c r="G151" s="132"/>
      <c r="H151" s="132"/>
      <c r="I151" s="79"/>
      <c r="J151" s="198">
        <f>SUMIF(Journals!D$14:D$920,TrialBalance!P151,Journals!J$14:J$920)+SUMIF(Journals!E$14:E$920,TrialBalance!P151,Journals!J$14:J$920)</f>
        <v>0</v>
      </c>
      <c r="K151" s="253"/>
      <c r="L151" s="255">
        <f t="shared" si="22"/>
        <v>0</v>
      </c>
      <c r="M151" s="75"/>
      <c r="N151" s="48">
        <f t="shared" si="25"/>
        <v>0</v>
      </c>
      <c r="P151" s="140" t="str">
        <f t="shared" si="26"/>
        <v>4700/020</v>
      </c>
      <c r="Q151" s="70"/>
      <c r="S151" s="71"/>
      <c r="T151" s="51"/>
      <c r="U151" s="31"/>
    </row>
    <row r="152" spans="1:21" x14ac:dyDescent="0.2">
      <c r="A152" s="238"/>
      <c r="B152" s="90" t="s">
        <v>660</v>
      </c>
      <c r="C152" s="240" t="str">
        <f>IF(Criteria!H13=0,"Interest on finance leases",IF(Criteria!H14=0,"Interest on finance leases",CONCATENATE("Interest on finance leases - ",Criteria!H13)))</f>
        <v>Interest on finance leases - Investments in financial instruments</v>
      </c>
      <c r="D152" s="250"/>
      <c r="E152" s="251"/>
      <c r="F152" s="132"/>
      <c r="G152" s="132"/>
      <c r="H152" s="132"/>
      <c r="I152" s="79"/>
      <c r="J152" s="198">
        <f>SUMIF(Journals!D$14:D$920,TrialBalance!P152,Journals!J$14:J$920)+SUMIF(Journals!E$14:E$920,TrialBalance!P152,Journals!J$14:J$920)</f>
        <v>0</v>
      </c>
      <c r="K152" s="253"/>
      <c r="L152" s="255">
        <f t="shared" si="22"/>
        <v>0</v>
      </c>
      <c r="M152" s="75"/>
      <c r="N152" s="48">
        <f t="shared" si="25"/>
        <v>0</v>
      </c>
      <c r="P152" s="140" t="str">
        <f t="shared" si="26"/>
        <v>4700/021Interest on finance leases - Investments in financial instruments</v>
      </c>
      <c r="Q152" s="70"/>
      <c r="S152" s="71"/>
      <c r="T152" s="51"/>
      <c r="U152" s="31"/>
    </row>
    <row r="153" spans="1:21" x14ac:dyDescent="0.2">
      <c r="A153" s="238"/>
      <c r="B153" s="54" t="s">
        <v>449</v>
      </c>
      <c r="C153" s="239" t="s">
        <v>351</v>
      </c>
      <c r="D153" s="251"/>
      <c r="E153" s="251"/>
      <c r="F153" s="132"/>
      <c r="G153" s="132"/>
      <c r="H153" s="132"/>
      <c r="I153" s="79"/>
      <c r="J153" s="198">
        <f>SUMIF(Journals!D$14:D$920,TrialBalance!P153,Journals!J$14:J$920)+SUMIF(Journals!E$14:E$920,TrialBalance!P153,Journals!J$14:J$920)</f>
        <v>0</v>
      </c>
      <c r="K153" s="253"/>
      <c r="L153" s="255">
        <f t="shared" si="22"/>
        <v>0</v>
      </c>
      <c r="M153" s="75"/>
      <c r="N153" s="48">
        <f t="shared" si="25"/>
        <v>0</v>
      </c>
      <c r="P153" s="140" t="str">
        <f t="shared" si="26"/>
        <v>4750/000OTHER</v>
      </c>
      <c r="Q153" s="70"/>
      <c r="S153" s="71"/>
      <c r="T153" s="51"/>
      <c r="U153" s="31"/>
    </row>
    <row r="154" spans="1:21" x14ac:dyDescent="0.2">
      <c r="A154" s="238"/>
      <c r="B154" s="54" t="s">
        <v>450</v>
      </c>
      <c r="C154" s="241" t="s">
        <v>1062</v>
      </c>
      <c r="D154" s="250"/>
      <c r="E154" s="251"/>
      <c r="F154" s="132"/>
      <c r="G154" s="132"/>
      <c r="H154" s="132"/>
      <c r="I154" s="79"/>
      <c r="J154" s="198">
        <f>SUMIF(Journals!D$14:D$920,TrialBalance!P154,Journals!J$14:J$920)+SUMIF(Journals!E$14:E$920,TrialBalance!P154,Journals!J$14:J$920)</f>
        <v>0</v>
      </c>
      <c r="K154" s="253"/>
      <c r="L154" s="255">
        <f t="shared" si="22"/>
        <v>0</v>
      </c>
      <c r="M154" s="75"/>
      <c r="N154" s="48">
        <f t="shared" si="25"/>
        <v>0</v>
      </c>
      <c r="P154" s="140" t="str">
        <f t="shared" si="26"/>
        <v>4750/010Impairment losses</v>
      </c>
      <c r="Q154" s="70"/>
      <c r="S154" s="71"/>
      <c r="T154" s="51"/>
      <c r="U154" s="31"/>
    </row>
    <row r="155" spans="1:21" x14ac:dyDescent="0.2">
      <c r="A155" s="238"/>
      <c r="B155" s="90" t="s">
        <v>1080</v>
      </c>
      <c r="C155" s="241" t="s">
        <v>1081</v>
      </c>
      <c r="D155" s="250"/>
      <c r="E155" s="251"/>
      <c r="F155" s="132"/>
      <c r="G155" s="132"/>
      <c r="H155" s="132"/>
      <c r="I155" s="79"/>
      <c r="J155" s="198">
        <f>SUMIF(Journals!D$14:D$920,TrialBalance!P155,Journals!J$14:J$920)+SUMIF(Journals!E$14:E$920,TrialBalance!P155,Journals!J$14:J$920)</f>
        <v>0</v>
      </c>
      <c r="K155" s="253"/>
      <c r="L155" s="255">
        <f t="shared" ref="L155" si="28">ROUND(D155-E155+F155+G155+H155+J155+I155,0)</f>
        <v>0</v>
      </c>
      <c r="M155" s="75"/>
      <c r="N155" s="48">
        <f t="shared" ref="N155" si="29">ROUND(SUM(A155),0)</f>
        <v>0</v>
      </c>
      <c r="P155" s="140" t="str">
        <f t="shared" ref="P155" si="30">CONCATENATE(B155,C155)</f>
        <v>4750/020Reversal - revaluation of investment property</v>
      </c>
      <c r="Q155" s="70"/>
      <c r="S155" s="71"/>
      <c r="T155" s="51"/>
      <c r="U155" s="31"/>
    </row>
    <row r="156" spans="1:21" x14ac:dyDescent="0.2">
      <c r="A156" s="238"/>
      <c r="B156" s="54" t="s">
        <v>317</v>
      </c>
      <c r="C156" s="239" t="s">
        <v>318</v>
      </c>
      <c r="D156" s="250"/>
      <c r="E156" s="251"/>
      <c r="F156" s="132"/>
      <c r="G156" s="132"/>
      <c r="H156" s="132"/>
      <c r="I156" s="79"/>
      <c r="J156" s="198">
        <f>SUMIF(Journals!D$14:D$920,TrialBalance!P156,Journals!J$14:J$920)+SUMIF(Journals!E$14:E$920,TrialBalance!P156,Journals!J$14:J$920)</f>
        <v>0</v>
      </c>
      <c r="K156" s="253"/>
      <c r="L156" s="255">
        <f t="shared" si="22"/>
        <v>0</v>
      </c>
      <c r="M156" s="75"/>
      <c r="N156" s="48">
        <f t="shared" si="25"/>
        <v>0</v>
      </c>
      <c r="P156" s="140" t="str">
        <f t="shared" si="26"/>
        <v>4800/000NORMAL TAXATION</v>
      </c>
      <c r="Q156" s="70"/>
      <c r="S156" s="71"/>
      <c r="T156" s="51"/>
      <c r="U156" s="31"/>
    </row>
    <row r="157" spans="1:21" x14ac:dyDescent="0.2">
      <c r="A157" s="238"/>
      <c r="B157" s="54" t="s">
        <v>319</v>
      </c>
      <c r="C157" s="240" t="s">
        <v>320</v>
      </c>
      <c r="D157" s="250"/>
      <c r="E157" s="251"/>
      <c r="F157" s="132">
        <f>TrialBalanceA!I157</f>
        <v>0</v>
      </c>
      <c r="G157" s="132">
        <f>TrialBalanceB!I157</f>
        <v>0</v>
      </c>
      <c r="H157" s="132">
        <f>TrialBalanceC!I157</f>
        <v>0</v>
      </c>
      <c r="I157" s="79"/>
      <c r="J157" s="198">
        <f>SUMIF(Journals!D$14:D$920,TrialBalance!P157,Journals!J$14:J$920)+SUMIF(Journals!E$14:E$920,TrialBalance!P157,Journals!J$14:J$920)</f>
        <v>0</v>
      </c>
      <c r="K157" s="253"/>
      <c r="L157" s="255">
        <f t="shared" si="22"/>
        <v>0</v>
      </c>
      <c r="M157" s="75"/>
      <c r="N157" s="48">
        <f t="shared" si="25"/>
        <v>0</v>
      </c>
      <c r="P157" s="140" t="str">
        <f t="shared" si="26"/>
        <v>4800/001Tax provided this year</v>
      </c>
      <c r="Q157" s="70"/>
      <c r="S157" s="71"/>
      <c r="T157" s="51"/>
      <c r="U157" s="31"/>
    </row>
    <row r="158" spans="1:21" x14ac:dyDescent="0.2">
      <c r="A158" s="238"/>
      <c r="B158" s="54" t="s">
        <v>321</v>
      </c>
      <c r="C158" s="240" t="s">
        <v>322</v>
      </c>
      <c r="D158" s="250"/>
      <c r="E158" s="251"/>
      <c r="F158" s="132">
        <f>TrialBalanceA!I158</f>
        <v>0</v>
      </c>
      <c r="G158" s="132">
        <f>TrialBalanceB!I158</f>
        <v>0</v>
      </c>
      <c r="H158" s="132">
        <f>TrialBalanceC!I158</f>
        <v>0</v>
      </c>
      <c r="I158" s="79"/>
      <c r="J158" s="198">
        <f>SUMIF(Journals!D$14:D$920,TrialBalance!P158,Journals!J$14:J$920)+SUMIF(Journals!E$14:E$920,TrialBalance!P158,Journals!J$14:J$920)</f>
        <v>0</v>
      </c>
      <c r="K158" s="253"/>
      <c r="L158" s="255">
        <f t="shared" si="22"/>
        <v>0</v>
      </c>
      <c r="M158" s="75"/>
      <c r="N158" s="48">
        <f t="shared" si="25"/>
        <v>0</v>
      </c>
      <c r="P158" s="140" t="str">
        <f t="shared" si="26"/>
        <v>4800/002Tax adjustment previous year</v>
      </c>
      <c r="Q158" s="70"/>
      <c r="S158" s="71"/>
      <c r="T158" s="51"/>
      <c r="U158" s="31"/>
    </row>
    <row r="159" spans="1:21" x14ac:dyDescent="0.2">
      <c r="A159" s="238"/>
      <c r="B159" s="54" t="s">
        <v>193</v>
      </c>
      <c r="C159" s="239" t="s">
        <v>194</v>
      </c>
      <c r="D159" s="250"/>
      <c r="E159" s="251"/>
      <c r="F159" s="132"/>
      <c r="G159" s="132"/>
      <c r="H159" s="132"/>
      <c r="I159" s="79"/>
      <c r="J159" s="198">
        <f>SUMIF(Journals!D$14:D$920,TrialBalance!P159,Journals!J$14:J$920)+SUMIF(Journals!E$14:E$920,TrialBalance!P159,Journals!J$14:J$920)</f>
        <v>0</v>
      </c>
      <c r="K159" s="253"/>
      <c r="L159" s="255">
        <f t="shared" si="22"/>
        <v>0</v>
      </c>
      <c r="M159" s="75"/>
      <c r="N159" s="48">
        <f t="shared" si="25"/>
        <v>0</v>
      </c>
      <c r="P159" s="140" t="str">
        <f t="shared" si="26"/>
        <v>4820/000DEFERRED TAX</v>
      </c>
      <c r="Q159" s="70"/>
      <c r="S159" s="71"/>
      <c r="T159" s="51"/>
      <c r="U159" s="31"/>
    </row>
    <row r="160" spans="1:21" x14ac:dyDescent="0.2">
      <c r="A160" s="238"/>
      <c r="B160" s="54" t="s">
        <v>195</v>
      </c>
      <c r="C160" s="240" t="s">
        <v>196</v>
      </c>
      <c r="D160" s="250"/>
      <c r="E160" s="251"/>
      <c r="F160" s="132">
        <f>TrialBalanceA!I160</f>
        <v>0</v>
      </c>
      <c r="G160" s="132">
        <f>TrialBalanceB!I160</f>
        <v>0</v>
      </c>
      <c r="H160" s="132">
        <f>TrialBalanceC!I160</f>
        <v>0</v>
      </c>
      <c r="I160" s="79"/>
      <c r="J160" s="198">
        <f>SUMIF(Journals!D$14:D$920,TrialBalance!P160,Journals!J$14:J$920)+SUMIF(Journals!E$14:E$920,TrialBalance!P160,Journals!J$14:J$920)</f>
        <v>0</v>
      </c>
      <c r="K160" s="253"/>
      <c r="L160" s="255">
        <f t="shared" si="22"/>
        <v>0</v>
      </c>
      <c r="M160" s="75"/>
      <c r="N160" s="48">
        <f t="shared" si="25"/>
        <v>0</v>
      </c>
      <c r="P160" s="140" t="str">
        <f t="shared" si="26"/>
        <v>4820/001Deferred tax this year</v>
      </c>
      <c r="Q160" s="70"/>
      <c r="S160" s="71"/>
      <c r="T160" s="51"/>
      <c r="U160" s="31"/>
    </row>
    <row r="161" spans="1:21" x14ac:dyDescent="0.2">
      <c r="A161" s="238"/>
      <c r="B161" s="90" t="s">
        <v>197</v>
      </c>
      <c r="C161" s="242" t="s">
        <v>1100</v>
      </c>
      <c r="D161" s="250"/>
      <c r="E161" s="251"/>
      <c r="F161" s="132">
        <f>TrialBalanceA!I161</f>
        <v>0</v>
      </c>
      <c r="G161" s="132">
        <f>TrialBalanceB!I161</f>
        <v>0</v>
      </c>
      <c r="H161" s="132">
        <f>TrialBalanceC!I161</f>
        <v>0</v>
      </c>
      <c r="I161" s="79"/>
      <c r="J161" s="198">
        <f>SUMIF(Journals!D$14:D$920,TrialBalance!P161,Journals!J$14:J$920)+SUMIF(Journals!E$14:E$920,TrialBalance!P161,Journals!J$14:J$920)</f>
        <v>0</v>
      </c>
      <c r="K161" s="253"/>
      <c r="L161" s="255">
        <f t="shared" ref="L161" si="31">ROUND(D161-E161+F161+G161+H161+J161+I161,0)</f>
        <v>0</v>
      </c>
      <c r="M161" s="75"/>
      <c r="N161" s="48">
        <f t="shared" ref="N161" si="32">ROUND(SUM(A161),0)</f>
        <v>0</v>
      </c>
      <c r="P161" s="140" t="str">
        <f t="shared" ref="P161" si="33">CONCATENATE(B161,C161)</f>
        <v>4820/002Deferred tax adjustment on income tax rate change</v>
      </c>
      <c r="Q161" s="70"/>
      <c r="S161" s="71"/>
      <c r="T161" s="51"/>
      <c r="U161" s="31"/>
    </row>
    <row r="162" spans="1:21" x14ac:dyDescent="0.2">
      <c r="A162" s="238"/>
      <c r="B162" s="90" t="s">
        <v>1101</v>
      </c>
      <c r="C162" s="240" t="s">
        <v>198</v>
      </c>
      <c r="D162" s="250"/>
      <c r="E162" s="251"/>
      <c r="F162" s="132">
        <f>TrialBalanceA!I162</f>
        <v>0</v>
      </c>
      <c r="G162" s="132">
        <f>TrialBalanceB!I162</f>
        <v>0</v>
      </c>
      <c r="H162" s="132">
        <f>TrialBalanceC!I162</f>
        <v>0</v>
      </c>
      <c r="I162" s="79"/>
      <c r="J162" s="198">
        <f>SUMIF(Journals!D$14:D$920,TrialBalance!P162,Journals!J$14:J$920)+SUMIF(Journals!E$14:E$920,TrialBalance!P162,Journals!J$14:J$920)</f>
        <v>0</v>
      </c>
      <c r="K162" s="253"/>
      <c r="L162" s="255">
        <f t="shared" si="22"/>
        <v>0</v>
      </c>
      <c r="M162" s="75"/>
      <c r="N162" s="48">
        <f t="shared" si="25"/>
        <v>0</v>
      </c>
      <c r="P162" s="140" t="str">
        <f t="shared" si="26"/>
        <v>4820/003Deferred tax adjustment previous year</v>
      </c>
      <c r="Q162" s="70"/>
      <c r="S162" s="71"/>
      <c r="T162" s="51"/>
      <c r="U162" s="31"/>
    </row>
    <row r="163" spans="1:21" x14ac:dyDescent="0.2">
      <c r="A163" s="238"/>
      <c r="B163" s="54" t="s">
        <v>199</v>
      </c>
      <c r="C163" s="242" t="s">
        <v>487</v>
      </c>
      <c r="D163" s="250"/>
      <c r="E163" s="251"/>
      <c r="F163" s="132">
        <f>TrialBalanceA!I163</f>
        <v>0</v>
      </c>
      <c r="G163" s="132">
        <f>TrialBalanceB!I163</f>
        <v>0</v>
      </c>
      <c r="H163" s="132">
        <f>TrialBalanceC!I163</f>
        <v>0</v>
      </c>
      <c r="I163" s="79"/>
      <c r="J163" s="198">
        <f>SUMIF(Journals!D$14:D$920,TrialBalance!P163,Journals!J$14:J$920)+SUMIF(Journals!E$14:E$920,TrialBalance!P163,Journals!J$14:J$920)</f>
        <v>0</v>
      </c>
      <c r="K163" s="253"/>
      <c r="L163" s="255">
        <f t="shared" si="22"/>
        <v>0</v>
      </c>
      <c r="M163" s="75"/>
      <c r="N163" s="48">
        <f t="shared" si="25"/>
        <v>0</v>
      </c>
      <c r="P163" s="140" t="str">
        <f t="shared" si="26"/>
        <v>4850/000Dividends declared</v>
      </c>
      <c r="Q163" s="70"/>
      <c r="S163" s="71"/>
      <c r="T163" s="51"/>
      <c r="U163" s="31"/>
    </row>
    <row r="164" spans="1:21" x14ac:dyDescent="0.2">
      <c r="A164" s="238"/>
      <c r="B164" s="54" t="s">
        <v>200</v>
      </c>
      <c r="C164" s="240" t="s">
        <v>225</v>
      </c>
      <c r="D164" s="250"/>
      <c r="E164" s="251"/>
      <c r="F164" s="132">
        <f>TrialBalanceA!I164</f>
        <v>0</v>
      </c>
      <c r="G164" s="132">
        <f>TrialBalanceB!I164</f>
        <v>0</v>
      </c>
      <c r="H164" s="132">
        <f>TrialBalanceC!I164</f>
        <v>0</v>
      </c>
      <c r="I164" s="79"/>
      <c r="J164" s="198">
        <f>SUMIF(Journals!D$14:D$920,TrialBalance!P164,Journals!J$14:J$920)+SUMIF(Journals!E$14:E$920,TrialBalance!P164,Journals!J$14:J$920)</f>
        <v>0</v>
      </c>
      <c r="K164" s="253"/>
      <c r="L164" s="255">
        <f t="shared" si="22"/>
        <v>0</v>
      </c>
      <c r="M164" s="75"/>
      <c r="N164" s="48">
        <f t="shared" si="25"/>
        <v>0</v>
      </c>
      <c r="P164" s="140" t="str">
        <f t="shared" si="26"/>
        <v>4860/000Dividends paid</v>
      </c>
      <c r="Q164" s="70"/>
      <c r="S164" s="71"/>
      <c r="T164" s="51"/>
      <c r="U164" s="31"/>
    </row>
    <row r="165" spans="1:21" x14ac:dyDescent="0.2">
      <c r="A165" s="238"/>
      <c r="B165" s="54" t="s">
        <v>228</v>
      </c>
      <c r="C165" s="240"/>
      <c r="D165" s="250"/>
      <c r="E165" s="250"/>
      <c r="F165" s="133"/>
      <c r="G165" s="133"/>
      <c r="H165" s="133"/>
      <c r="I165" s="79"/>
      <c r="J165" s="198"/>
      <c r="K165" s="253"/>
      <c r="L165" s="255">
        <f t="shared" si="22"/>
        <v>0</v>
      </c>
      <c r="M165" s="75"/>
      <c r="N165" s="48">
        <f t="shared" si="25"/>
        <v>0</v>
      </c>
      <c r="P165" s="140">
        <v>0</v>
      </c>
      <c r="Q165" s="70"/>
      <c r="S165" s="71"/>
      <c r="T165" s="51"/>
      <c r="U165" s="31"/>
    </row>
    <row r="166" spans="1:21" x14ac:dyDescent="0.2">
      <c r="A166" s="238"/>
      <c r="B166" s="54" t="s">
        <v>228</v>
      </c>
      <c r="C166" s="240" t="s">
        <v>228</v>
      </c>
      <c r="D166" s="250"/>
      <c r="E166" s="251"/>
      <c r="F166" s="132"/>
      <c r="G166" s="132"/>
      <c r="H166" s="132"/>
      <c r="I166" s="80"/>
      <c r="J166" s="198"/>
      <c r="K166" s="253"/>
      <c r="L166" s="255">
        <f t="shared" si="22"/>
        <v>0</v>
      </c>
      <c r="M166" s="75"/>
      <c r="N166" s="48">
        <f t="shared" si="25"/>
        <v>0</v>
      </c>
      <c r="P166" s="140">
        <v>0</v>
      </c>
      <c r="Q166" s="70"/>
      <c r="S166" s="71"/>
      <c r="T166" s="71"/>
      <c r="U166" s="31"/>
    </row>
    <row r="167" spans="1:21" x14ac:dyDescent="0.2">
      <c r="A167" s="238"/>
      <c r="B167" s="54" t="s">
        <v>228</v>
      </c>
      <c r="C167" s="240"/>
      <c r="D167" s="251"/>
      <c r="E167" s="251"/>
      <c r="F167" s="132"/>
      <c r="G167" s="132"/>
      <c r="H167" s="132"/>
      <c r="I167" s="79"/>
      <c r="J167" s="198"/>
      <c r="K167" s="253"/>
      <c r="L167" s="255">
        <f t="shared" si="22"/>
        <v>0</v>
      </c>
      <c r="M167" s="75"/>
      <c r="N167" s="48">
        <f t="shared" si="25"/>
        <v>0</v>
      </c>
      <c r="P167" s="140">
        <v>0</v>
      </c>
      <c r="Q167" s="70"/>
      <c r="S167" s="71"/>
      <c r="T167" s="51"/>
      <c r="U167" s="31"/>
    </row>
    <row r="168" spans="1:21" x14ac:dyDescent="0.2">
      <c r="A168" s="238"/>
      <c r="B168" s="54" t="s">
        <v>504</v>
      </c>
      <c r="C168" s="239" t="s">
        <v>493</v>
      </c>
      <c r="D168" s="251"/>
      <c r="E168" s="251"/>
      <c r="F168" s="132"/>
      <c r="G168" s="132"/>
      <c r="H168" s="132"/>
      <c r="I168" s="79"/>
      <c r="J168" s="198">
        <f>SUMIF(Journals!D$14:D$920,TrialBalance!P168,Journals!J$14:J$920)+SUMIF(Journals!E$14:E$920,TrialBalance!P168,Journals!J$14:J$920)</f>
        <v>0</v>
      </c>
      <c r="K168" s="253"/>
      <c r="L168" s="255">
        <f t="shared" si="22"/>
        <v>0</v>
      </c>
      <c r="M168" s="75"/>
      <c r="N168" s="48">
        <f t="shared" si="25"/>
        <v>0</v>
      </c>
      <c r="P168" s="140" t="str">
        <f t="shared" ref="P168:P199" si="34">CONCATENATE(B168,C168)</f>
        <v>5100/000SHARE CAPITAL</v>
      </c>
      <c r="Q168" s="70"/>
      <c r="S168" s="71"/>
      <c r="T168" s="51"/>
      <c r="U168" s="31"/>
    </row>
    <row r="169" spans="1:21" x14ac:dyDescent="0.2">
      <c r="A169" s="238"/>
      <c r="B169" s="54" t="s">
        <v>505</v>
      </c>
      <c r="C169" s="242" t="s">
        <v>768</v>
      </c>
      <c r="D169" s="251"/>
      <c r="E169" s="251"/>
      <c r="F169" s="132"/>
      <c r="G169" s="132"/>
      <c r="H169" s="132"/>
      <c r="I169" s="79">
        <f>SUM(N169:N170)</f>
        <v>0</v>
      </c>
      <c r="J169" s="198">
        <f>SUMIF(Journals!D$14:D$920,TrialBalance!P169,Journals!J$14:J$920)+SUMIF(Journals!E$14:E$920,TrialBalance!P169,Journals!J$14:J$920)</f>
        <v>0</v>
      </c>
      <c r="K169" s="253"/>
      <c r="L169" s="255">
        <f t="shared" si="22"/>
        <v>0</v>
      </c>
      <c r="M169" s="75"/>
      <c r="N169" s="48">
        <f t="shared" si="25"/>
        <v>0</v>
      </c>
      <c r="P169" s="140" t="str">
        <f t="shared" si="34"/>
        <v>5100/001Share capital - balance b/fwd</v>
      </c>
      <c r="Q169" s="70"/>
      <c r="R169" s="31"/>
      <c r="S169" s="71"/>
      <c r="T169" s="51"/>
      <c r="U169" s="31"/>
    </row>
    <row r="170" spans="1:21" x14ac:dyDescent="0.2">
      <c r="A170" s="238"/>
      <c r="B170" s="54" t="s">
        <v>506</v>
      </c>
      <c r="C170" s="242" t="s">
        <v>769</v>
      </c>
      <c r="D170" s="251"/>
      <c r="E170" s="251"/>
      <c r="F170" s="132">
        <f>TrialBalanceA!I170</f>
        <v>0</v>
      </c>
      <c r="G170" s="132">
        <f>TrialBalanceB!I170</f>
        <v>0</v>
      </c>
      <c r="H170" s="132">
        <f>TrialBalanceC!I170</f>
        <v>0</v>
      </c>
      <c r="I170" s="79"/>
      <c r="J170" s="198">
        <f>SUMIF(Journals!D$14:D$920,TrialBalance!P170,Journals!J$14:J$920)+SUMIF(Journals!E$14:E$920,TrialBalance!P170,Journals!J$14:J$920)</f>
        <v>0</v>
      </c>
      <c r="K170" s="253"/>
      <c r="L170" s="255">
        <f t="shared" si="22"/>
        <v>0</v>
      </c>
      <c r="M170" s="75"/>
      <c r="N170" s="48">
        <f t="shared" si="25"/>
        <v>0</v>
      </c>
      <c r="P170" s="140" t="str">
        <f t="shared" si="34"/>
        <v>5100/002Share capital - additions</v>
      </c>
      <c r="Q170" s="70"/>
      <c r="S170" s="71"/>
      <c r="T170" s="51"/>
      <c r="U170" s="31"/>
    </row>
    <row r="171" spans="1:21" x14ac:dyDescent="0.2">
      <c r="A171" s="238"/>
      <c r="B171" s="86" t="s">
        <v>507</v>
      </c>
      <c r="C171" s="239" t="s">
        <v>498</v>
      </c>
      <c r="D171" s="251"/>
      <c r="E171" s="251"/>
      <c r="F171" s="132"/>
      <c r="G171" s="132"/>
      <c r="H171" s="132"/>
      <c r="I171" s="79"/>
      <c r="J171" s="198">
        <f>SUMIF(Journals!D$14:D$920,TrialBalance!P171,Journals!J$14:J$920)+SUMIF(Journals!E$14:E$920,TrialBalance!P171,Journals!J$14:J$920)</f>
        <v>0</v>
      </c>
      <c r="K171" s="253"/>
      <c r="L171" s="255">
        <f t="shared" si="22"/>
        <v>0</v>
      </c>
      <c r="M171" s="75"/>
      <c r="N171" s="48">
        <f t="shared" si="25"/>
        <v>0</v>
      </c>
      <c r="P171" s="140" t="str">
        <f t="shared" si="34"/>
        <v>5110/000SHARE PREMIUM</v>
      </c>
      <c r="Q171" s="70"/>
      <c r="S171" s="71"/>
      <c r="T171" s="51"/>
      <c r="U171" s="31"/>
    </row>
    <row r="172" spans="1:21" x14ac:dyDescent="0.2">
      <c r="A172" s="238"/>
      <c r="B172" s="86" t="s">
        <v>508</v>
      </c>
      <c r="C172" s="242" t="s">
        <v>770</v>
      </c>
      <c r="D172" s="251"/>
      <c r="E172" s="251"/>
      <c r="F172" s="132"/>
      <c r="G172" s="132"/>
      <c r="H172" s="132"/>
      <c r="I172" s="79">
        <f>SUM(N172:N174)</f>
        <v>0</v>
      </c>
      <c r="J172" s="198">
        <f>SUMIF(Journals!D$14:D$920,TrialBalance!P172,Journals!J$14:J$920)+SUMIF(Journals!E$14:E$920,TrialBalance!P172,Journals!J$14:J$920)</f>
        <v>0</v>
      </c>
      <c r="K172" s="253"/>
      <c r="L172" s="255">
        <f t="shared" si="22"/>
        <v>0</v>
      </c>
      <c r="M172" s="75"/>
      <c r="N172" s="48">
        <f t="shared" si="25"/>
        <v>0</v>
      </c>
      <c r="P172" s="140" t="str">
        <f t="shared" si="34"/>
        <v>5110/001Share premium - balance b/fwd</v>
      </c>
      <c r="Q172" s="70"/>
      <c r="S172" s="71"/>
      <c r="T172" s="51"/>
      <c r="U172" s="31"/>
    </row>
    <row r="173" spans="1:21" x14ac:dyDescent="0.2">
      <c r="A173" s="238"/>
      <c r="B173" s="86" t="s">
        <v>509</v>
      </c>
      <c r="C173" s="242" t="s">
        <v>771</v>
      </c>
      <c r="D173" s="251"/>
      <c r="E173" s="251"/>
      <c r="F173" s="132">
        <f>TrialBalanceA!I173</f>
        <v>0</v>
      </c>
      <c r="G173" s="132">
        <f>TrialBalanceB!I173</f>
        <v>0</v>
      </c>
      <c r="H173" s="132">
        <f>TrialBalanceC!I173</f>
        <v>0</v>
      </c>
      <c r="I173" s="79"/>
      <c r="J173" s="198">
        <f>SUMIF(Journals!D$14:D$920,TrialBalance!P173,Journals!J$14:J$920)+SUMIF(Journals!E$14:E$920,TrialBalance!P173,Journals!J$14:J$920)</f>
        <v>0</v>
      </c>
      <c r="K173" s="253"/>
      <c r="L173" s="255">
        <f t="shared" si="22"/>
        <v>0</v>
      </c>
      <c r="M173" s="75"/>
      <c r="N173" s="48">
        <f t="shared" si="25"/>
        <v>0</v>
      </c>
      <c r="P173" s="140" t="str">
        <f t="shared" si="34"/>
        <v>5110/002Share premium - additions</v>
      </c>
      <c r="Q173" s="70"/>
      <c r="S173" s="71"/>
      <c r="T173" s="51"/>
      <c r="U173" s="31"/>
    </row>
    <row r="174" spans="1:21" x14ac:dyDescent="0.2">
      <c r="A174" s="238"/>
      <c r="B174" s="86" t="s">
        <v>510</v>
      </c>
      <c r="C174" s="248" t="s">
        <v>511</v>
      </c>
      <c r="D174" s="250"/>
      <c r="E174" s="251"/>
      <c r="F174" s="132">
        <f>TrialBalanceA!I174</f>
        <v>0</v>
      </c>
      <c r="G174" s="132">
        <f>TrialBalanceB!I174</f>
        <v>0</v>
      </c>
      <c r="H174" s="132">
        <f>TrialBalanceC!I174</f>
        <v>0</v>
      </c>
      <c r="I174" s="79"/>
      <c r="J174" s="198">
        <f>SUMIF(Journals!D$14:D$920,TrialBalance!P174,Journals!J$14:J$920)+SUMIF(Journals!E$14:E$920,TrialBalance!P174,Journals!J$14:J$920)</f>
        <v>0</v>
      </c>
      <c r="K174" s="253"/>
      <c r="L174" s="255">
        <f t="shared" si="22"/>
        <v>0</v>
      </c>
      <c r="M174" s="75"/>
      <c r="N174" s="48">
        <f t="shared" si="25"/>
        <v>0</v>
      </c>
      <c r="P174" s="140" t="str">
        <f t="shared" si="34"/>
        <v>5110/003Share premium - transfer</v>
      </c>
      <c r="Q174" s="70"/>
      <c r="S174" s="71"/>
      <c r="T174" s="51"/>
      <c r="U174" s="31"/>
    </row>
    <row r="175" spans="1:21" x14ac:dyDescent="0.2">
      <c r="A175" s="238"/>
      <c r="B175" s="54" t="s">
        <v>459</v>
      </c>
      <c r="C175" s="239" t="s">
        <v>923</v>
      </c>
      <c r="D175" s="250"/>
      <c r="E175" s="251"/>
      <c r="F175" s="132"/>
      <c r="G175" s="132"/>
      <c r="H175" s="132"/>
      <c r="I175" s="79"/>
      <c r="J175" s="198">
        <f>SUMIF(Journals!D$14:D$920,TrialBalance!P175,Journals!J$14:J$920)+SUMIF(Journals!E$14:E$920,TrialBalance!P175,Journals!J$14:J$920)</f>
        <v>0</v>
      </c>
      <c r="K175" s="253"/>
      <c r="L175" s="255">
        <f t="shared" si="22"/>
        <v>0</v>
      </c>
      <c r="M175" s="75"/>
      <c r="N175" s="48">
        <f t="shared" si="25"/>
        <v>0</v>
      </c>
      <c r="P175" s="140" t="str">
        <f t="shared" si="34"/>
        <v>5120/000REVALUATION RESERVE</v>
      </c>
      <c r="Q175" s="70"/>
      <c r="S175" s="71"/>
      <c r="T175" s="51"/>
      <c r="U175" s="31"/>
    </row>
    <row r="176" spans="1:21" x14ac:dyDescent="0.2">
      <c r="A176" s="238"/>
      <c r="B176" s="54" t="s">
        <v>460</v>
      </c>
      <c r="C176" s="242" t="s">
        <v>924</v>
      </c>
      <c r="D176" s="250"/>
      <c r="E176" s="251"/>
      <c r="F176" s="132"/>
      <c r="G176" s="132"/>
      <c r="H176" s="132"/>
      <c r="I176" s="79">
        <f>SUM(N176:N178)</f>
        <v>0</v>
      </c>
      <c r="J176" s="198">
        <f>SUMIF(Journals!D$14:D$920,TrialBalance!P176,Journals!J$14:J$920)+SUMIF(Journals!E$14:E$920,TrialBalance!P176,Journals!J$14:J$920)</f>
        <v>0</v>
      </c>
      <c r="K176" s="253"/>
      <c r="L176" s="255">
        <f t="shared" si="22"/>
        <v>0</v>
      </c>
      <c r="M176" s="75"/>
      <c r="N176" s="48">
        <f t="shared" si="25"/>
        <v>0</v>
      </c>
      <c r="P176" s="140" t="str">
        <f t="shared" si="34"/>
        <v>5120/001Revaluation reserve - balance b/fwd</v>
      </c>
      <c r="Q176" s="70"/>
      <c r="S176" s="71"/>
      <c r="T176" s="51"/>
      <c r="U176" s="31"/>
    </row>
    <row r="177" spans="1:21" x14ac:dyDescent="0.2">
      <c r="A177" s="238"/>
      <c r="B177" s="54" t="s">
        <v>461</v>
      </c>
      <c r="C177" s="242" t="s">
        <v>925</v>
      </c>
      <c r="D177" s="250"/>
      <c r="E177" s="251"/>
      <c r="F177" s="132">
        <f>TrialBalanceA!I177</f>
        <v>0</v>
      </c>
      <c r="G177" s="132">
        <f>TrialBalanceB!I177</f>
        <v>0</v>
      </c>
      <c r="H177" s="132">
        <f>TrialBalanceC!I177</f>
        <v>0</v>
      </c>
      <c r="I177" s="79"/>
      <c r="J177" s="198">
        <f>SUMIF(Journals!D$14:D$920,TrialBalance!P177,Journals!J$14:J$920)+SUMIF(Journals!E$14:E$920,TrialBalance!P177,Journals!J$14:J$920)</f>
        <v>0</v>
      </c>
      <c r="K177" s="253"/>
      <c r="L177" s="255">
        <f t="shared" si="22"/>
        <v>0</v>
      </c>
      <c r="M177" s="75"/>
      <c r="N177" s="48">
        <f t="shared" si="25"/>
        <v>0</v>
      </c>
      <c r="P177" s="140" t="str">
        <f t="shared" si="34"/>
        <v>5120/002Revaluation reserve - additions</v>
      </c>
      <c r="Q177" s="70"/>
      <c r="S177" s="71"/>
      <c r="T177" s="51"/>
      <c r="U177" s="31"/>
    </row>
    <row r="178" spans="1:21" x14ac:dyDescent="0.2">
      <c r="A178" s="238"/>
      <c r="B178" s="54" t="s">
        <v>462</v>
      </c>
      <c r="C178" s="242" t="s">
        <v>926</v>
      </c>
      <c r="D178" s="250"/>
      <c r="E178" s="251"/>
      <c r="F178" s="132">
        <f>TrialBalanceA!I178</f>
        <v>0</v>
      </c>
      <c r="G178" s="132">
        <f>TrialBalanceB!I178</f>
        <v>0</v>
      </c>
      <c r="H178" s="132">
        <f>TrialBalanceC!I178</f>
        <v>0</v>
      </c>
      <c r="I178" s="79"/>
      <c r="J178" s="198">
        <f>SUMIF(Journals!D$14:D$920,TrialBalance!P178,Journals!J$14:J$920)+SUMIF(Journals!E$14:E$920,TrialBalance!P178,Journals!J$14:J$920)</f>
        <v>0</v>
      </c>
      <c r="K178" s="253"/>
      <c r="L178" s="255">
        <f t="shared" si="22"/>
        <v>0</v>
      </c>
      <c r="M178" s="75"/>
      <c r="N178" s="48">
        <f t="shared" si="25"/>
        <v>0</v>
      </c>
      <c r="P178" s="140" t="str">
        <f t="shared" si="34"/>
        <v>5120/003Revaluation reserve - transfer</v>
      </c>
      <c r="Q178" s="70"/>
      <c r="S178" s="71"/>
      <c r="T178" s="51"/>
      <c r="U178" s="31"/>
    </row>
    <row r="179" spans="1:21" x14ac:dyDescent="0.2">
      <c r="A179" s="238"/>
      <c r="B179" s="54" t="s">
        <v>84</v>
      </c>
      <c r="C179" s="239" t="s">
        <v>248</v>
      </c>
      <c r="D179" s="250"/>
      <c r="E179" s="251"/>
      <c r="F179" s="132"/>
      <c r="G179" s="132"/>
      <c r="H179" s="132"/>
      <c r="I179" s="79"/>
      <c r="J179" s="198">
        <f>SUMIF(Journals!D$14:D$920,TrialBalance!P179,Journals!J$14:J$920)+SUMIF(Journals!E$14:E$920,TrialBalance!P179,Journals!J$14:J$920)</f>
        <v>0</v>
      </c>
      <c r="K179" s="253"/>
      <c r="L179" s="255">
        <f t="shared" si="22"/>
        <v>0</v>
      </c>
      <c r="M179" s="75"/>
      <c r="N179" s="48">
        <f t="shared" si="25"/>
        <v>0</v>
      </c>
      <c r="P179" s="140" t="str">
        <f t="shared" si="34"/>
        <v>5130/000OTHER RESERVES</v>
      </c>
      <c r="Q179" s="70"/>
      <c r="S179" s="71"/>
      <c r="T179" s="51"/>
      <c r="U179" s="31"/>
    </row>
    <row r="180" spans="1:21" x14ac:dyDescent="0.2">
      <c r="A180" s="238"/>
      <c r="B180" s="54" t="s">
        <v>249</v>
      </c>
      <c r="C180" s="242" t="s">
        <v>772</v>
      </c>
      <c r="D180" s="250"/>
      <c r="E180" s="251"/>
      <c r="F180" s="132"/>
      <c r="G180" s="132"/>
      <c r="H180" s="132"/>
      <c r="I180" s="79">
        <f>SUM(N180:N182)</f>
        <v>0</v>
      </c>
      <c r="J180" s="198">
        <f>SUMIF(Journals!D$14:D$920,TrialBalance!P180,Journals!J$14:J$920)+SUMIF(Journals!E$14:E$920,TrialBalance!P180,Journals!J$14:J$920)</f>
        <v>0</v>
      </c>
      <c r="K180" s="253"/>
      <c r="L180" s="255">
        <f t="shared" si="22"/>
        <v>0</v>
      </c>
      <c r="M180" s="75"/>
      <c r="N180" s="48">
        <f t="shared" si="25"/>
        <v>0</v>
      </c>
      <c r="P180" s="140" t="str">
        <f t="shared" si="34"/>
        <v>5130/001Other reserves - balance b/fwd</v>
      </c>
      <c r="Q180" s="70"/>
      <c r="S180" s="71"/>
      <c r="T180" s="51"/>
      <c r="U180" s="31"/>
    </row>
    <row r="181" spans="1:21" x14ac:dyDescent="0.2">
      <c r="A181" s="238"/>
      <c r="B181" s="54" t="s">
        <v>250</v>
      </c>
      <c r="C181" s="242" t="s">
        <v>773</v>
      </c>
      <c r="D181" s="250"/>
      <c r="E181" s="251"/>
      <c r="F181" s="132">
        <f>TrialBalanceA!I181</f>
        <v>0</v>
      </c>
      <c r="G181" s="132">
        <f>TrialBalanceB!I181</f>
        <v>0</v>
      </c>
      <c r="H181" s="132">
        <f>TrialBalanceC!I181</f>
        <v>0</v>
      </c>
      <c r="I181" s="79"/>
      <c r="J181" s="198">
        <f>SUMIF(Journals!D$14:D$920,TrialBalance!P181,Journals!J$14:J$920)+SUMIF(Journals!E$14:E$920,TrialBalance!P181,Journals!J$14:J$920)</f>
        <v>0</v>
      </c>
      <c r="K181" s="253"/>
      <c r="L181" s="255">
        <f t="shared" si="22"/>
        <v>0</v>
      </c>
      <c r="M181" s="75"/>
      <c r="N181" s="48">
        <f t="shared" si="25"/>
        <v>0</v>
      </c>
      <c r="P181" s="140" t="str">
        <f t="shared" si="34"/>
        <v>5130/002Other reserves - additions</v>
      </c>
      <c r="Q181" s="70"/>
      <c r="S181" s="71"/>
      <c r="T181" s="51"/>
      <c r="U181" s="31"/>
    </row>
    <row r="182" spans="1:21" x14ac:dyDescent="0.2">
      <c r="A182" s="238"/>
      <c r="B182" s="54" t="s">
        <v>331</v>
      </c>
      <c r="C182" s="240" t="s">
        <v>385</v>
      </c>
      <c r="D182" s="250"/>
      <c r="E182" s="251"/>
      <c r="F182" s="132">
        <f>TrialBalanceA!I182</f>
        <v>0</v>
      </c>
      <c r="G182" s="132">
        <f>TrialBalanceB!I182</f>
        <v>0</v>
      </c>
      <c r="H182" s="132">
        <f>TrialBalanceC!I182</f>
        <v>0</v>
      </c>
      <c r="I182" s="79"/>
      <c r="J182" s="198">
        <f>SUMIF(Journals!D$14:D$920,TrialBalance!P182,Journals!J$14:J$920)+SUMIF(Journals!E$14:E$920,TrialBalance!P182,Journals!J$14:J$920)</f>
        <v>0</v>
      </c>
      <c r="K182" s="253"/>
      <c r="L182" s="255">
        <f t="shared" si="22"/>
        <v>0</v>
      </c>
      <c r="M182" s="75"/>
      <c r="N182" s="48">
        <f t="shared" si="25"/>
        <v>0</v>
      </c>
      <c r="P182" s="140" t="str">
        <f t="shared" si="34"/>
        <v>5130/003Other reserves - transfer</v>
      </c>
      <c r="Q182" s="70"/>
      <c r="S182" s="71"/>
      <c r="T182" s="51"/>
      <c r="U182" s="31"/>
    </row>
    <row r="183" spans="1:21" x14ac:dyDescent="0.2">
      <c r="A183" s="238"/>
      <c r="B183" s="54" t="s">
        <v>386</v>
      </c>
      <c r="C183" s="239" t="s">
        <v>774</v>
      </c>
      <c r="D183" s="251"/>
      <c r="E183" s="251"/>
      <c r="F183" s="132"/>
      <c r="G183" s="132"/>
      <c r="H183" s="132"/>
      <c r="I183" s="79">
        <f>N183+SUM(N5:N164)</f>
        <v>0</v>
      </c>
      <c r="J183" s="198">
        <f>SUMIF(Journals!D$14:D$920,TrialBalance!P183,Journals!J$14:J$920)+SUMIF(Journals!E$14:E$920,TrialBalance!P183,Journals!J$14:J$920)</f>
        <v>0</v>
      </c>
      <c r="K183" s="253"/>
      <c r="L183" s="255">
        <f t="shared" si="22"/>
        <v>0</v>
      </c>
      <c r="M183" s="75"/>
      <c r="N183" s="48">
        <f t="shared" si="25"/>
        <v>0</v>
      </c>
      <c r="P183" s="140" t="str">
        <f t="shared" si="34"/>
        <v>5200/000(Retained income) / Accumulated loss</v>
      </c>
      <c r="Q183" s="72"/>
      <c r="R183" s="31"/>
      <c r="S183" s="71"/>
      <c r="T183" s="51"/>
      <c r="U183" s="31"/>
    </row>
    <row r="184" spans="1:21" x14ac:dyDescent="0.2">
      <c r="A184" s="238"/>
      <c r="B184" s="54" t="s">
        <v>129</v>
      </c>
      <c r="C184" s="239" t="s">
        <v>130</v>
      </c>
      <c r="D184" s="251"/>
      <c r="E184" s="251"/>
      <c r="F184" s="132"/>
      <c r="G184" s="132"/>
      <c r="H184" s="132"/>
      <c r="I184" s="79"/>
      <c r="J184" s="198">
        <f>SUMIF(Journals!D$14:D$920,TrialBalance!P184,Journals!J$14:J$920)+SUMIF(Journals!E$14:E$920,TrialBalance!P184,Journals!J$14:J$920)</f>
        <v>0</v>
      </c>
      <c r="K184" s="254" t="s">
        <v>588</v>
      </c>
      <c r="L184" s="255">
        <f t="shared" si="22"/>
        <v>0</v>
      </c>
      <c r="M184" s="75"/>
      <c r="N184" s="48">
        <f t="shared" si="25"/>
        <v>0</v>
      </c>
      <c r="P184" s="140" t="str">
        <f t="shared" si="34"/>
        <v>5500/000LONG TERM  INTEREST LIABILITIES</v>
      </c>
      <c r="Q184" s="70"/>
      <c r="R184" s="31"/>
      <c r="S184" s="71"/>
      <c r="T184" s="51"/>
      <c r="U184" s="31"/>
    </row>
    <row r="185" spans="1:21" x14ac:dyDescent="0.2">
      <c r="A185" s="238"/>
      <c r="B185" s="54" t="s">
        <v>131</v>
      </c>
      <c r="C185" s="243"/>
      <c r="D185" s="251"/>
      <c r="E185" s="251"/>
      <c r="F185" s="132">
        <f>TrialBalanceA!I185-TrialBalanceA!K185</f>
        <v>0</v>
      </c>
      <c r="G185" s="132">
        <f>TrialBalanceB!I185-TrialBalanceB!K185</f>
        <v>0</v>
      </c>
      <c r="H185" s="132">
        <f>TrialBalanceC!I185-TrialBalanceC!K185</f>
        <v>0</v>
      </c>
      <c r="I185" s="79">
        <f>N185</f>
        <v>0</v>
      </c>
      <c r="J185" s="198">
        <f>SUMIF(Journals!D$14:D$920,TrialBalance!P185,Journals!J$14:J$920)+SUMIF(Journals!E$14:E$920,TrialBalance!P185,Journals!J$14:J$920)</f>
        <v>0</v>
      </c>
      <c r="K185" s="254"/>
      <c r="L185" s="255">
        <f t="shared" si="22"/>
        <v>0</v>
      </c>
      <c r="M185" s="75"/>
      <c r="N185" s="48">
        <f t="shared" si="25"/>
        <v>0</v>
      </c>
      <c r="P185" s="140" t="str">
        <f t="shared" si="34"/>
        <v>5500/001</v>
      </c>
      <c r="Q185" s="70"/>
      <c r="R185" s="31"/>
      <c r="S185" s="71"/>
      <c r="T185" s="51"/>
      <c r="U185" s="31"/>
    </row>
    <row r="186" spans="1:21" x14ac:dyDescent="0.2">
      <c r="A186" s="238"/>
      <c r="B186" s="54" t="s">
        <v>132</v>
      </c>
      <c r="C186" s="249"/>
      <c r="D186" s="251"/>
      <c r="E186" s="251"/>
      <c r="F186" s="132">
        <f>TrialBalanceA!I186-TrialBalanceA!K186</f>
        <v>0</v>
      </c>
      <c r="G186" s="132">
        <f>TrialBalanceB!I186-TrialBalanceB!K186</f>
        <v>0</v>
      </c>
      <c r="H186" s="132">
        <f>TrialBalanceC!I186-TrialBalanceC!K186</f>
        <v>0</v>
      </c>
      <c r="I186" s="79">
        <f>N186</f>
        <v>0</v>
      </c>
      <c r="J186" s="198">
        <f>SUMIF(Journals!D$14:D$920,TrialBalance!P186,Journals!J$14:J$920)+SUMIF(Journals!E$14:E$920,TrialBalance!P186,Journals!J$14:J$920)</f>
        <v>0</v>
      </c>
      <c r="K186" s="253"/>
      <c r="L186" s="255">
        <f t="shared" si="22"/>
        <v>0</v>
      </c>
      <c r="M186" s="75"/>
      <c r="N186" s="48">
        <f t="shared" si="25"/>
        <v>0</v>
      </c>
      <c r="P186" s="140" t="str">
        <f t="shared" si="34"/>
        <v>5500/002</v>
      </c>
      <c r="Q186" s="70"/>
      <c r="R186" s="31"/>
      <c r="S186" s="71"/>
      <c r="T186" s="51"/>
      <c r="U186" s="31"/>
    </row>
    <row r="187" spans="1:21" x14ac:dyDescent="0.2">
      <c r="A187" s="238"/>
      <c r="B187" s="54" t="s">
        <v>133</v>
      </c>
      <c r="C187" s="249"/>
      <c r="D187" s="250"/>
      <c r="E187" s="250"/>
      <c r="F187" s="132">
        <f>TrialBalanceA!I187-TrialBalanceA!K187</f>
        <v>0</v>
      </c>
      <c r="G187" s="132">
        <f>TrialBalanceB!I187-TrialBalanceB!K187</f>
        <v>0</v>
      </c>
      <c r="H187" s="132">
        <f>TrialBalanceC!I187-TrialBalanceC!K187</f>
        <v>0</v>
      </c>
      <c r="I187" s="79">
        <f>N187</f>
        <v>0</v>
      </c>
      <c r="J187" s="198">
        <f>SUMIF(Journals!D$14:D$920,TrialBalance!P187,Journals!J$14:J$920)+SUMIF(Journals!E$14:E$920,TrialBalance!P187,Journals!J$14:J$920)</f>
        <v>0</v>
      </c>
      <c r="K187" s="253"/>
      <c r="L187" s="255">
        <f t="shared" si="22"/>
        <v>0</v>
      </c>
      <c r="M187" s="75"/>
      <c r="N187" s="48">
        <f t="shared" si="25"/>
        <v>0</v>
      </c>
      <c r="P187" s="140" t="str">
        <f t="shared" si="34"/>
        <v>5500/003</v>
      </c>
      <c r="Q187" s="70"/>
      <c r="R187" s="31"/>
      <c r="S187" s="71"/>
      <c r="T187" s="51"/>
      <c r="U187" s="31"/>
    </row>
    <row r="188" spans="1:21" x14ac:dyDescent="0.2">
      <c r="A188" s="238"/>
      <c r="B188" s="54" t="s">
        <v>134</v>
      </c>
      <c r="C188" s="249"/>
      <c r="D188" s="250"/>
      <c r="E188" s="250"/>
      <c r="F188" s="132">
        <f>TrialBalanceA!I188-TrialBalanceA!K188</f>
        <v>0</v>
      </c>
      <c r="G188" s="132">
        <f>TrialBalanceB!I188-TrialBalanceB!K188</f>
        <v>0</v>
      </c>
      <c r="H188" s="132">
        <f>TrialBalanceC!I188-TrialBalanceC!K188</f>
        <v>0</v>
      </c>
      <c r="I188" s="79">
        <f>N188</f>
        <v>0</v>
      </c>
      <c r="J188" s="198">
        <f>SUMIF(Journals!D$14:D$920,TrialBalance!P188,Journals!J$14:J$920)+SUMIF(Journals!E$14:E$920,TrialBalance!P188,Journals!J$14:J$920)</f>
        <v>0</v>
      </c>
      <c r="K188" s="253"/>
      <c r="L188" s="255">
        <f t="shared" si="22"/>
        <v>0</v>
      </c>
      <c r="M188" s="75"/>
      <c r="N188" s="48">
        <f t="shared" si="25"/>
        <v>0</v>
      </c>
      <c r="P188" s="140" t="str">
        <f t="shared" si="34"/>
        <v>5500/004</v>
      </c>
      <c r="Q188" s="70"/>
      <c r="R188" s="31"/>
      <c r="S188" s="71"/>
      <c r="T188" s="51"/>
      <c r="U188" s="31"/>
    </row>
    <row r="189" spans="1:21" x14ac:dyDescent="0.2">
      <c r="A189" s="238"/>
      <c r="B189" s="54" t="s">
        <v>135</v>
      </c>
      <c r="C189" s="249"/>
      <c r="D189" s="250"/>
      <c r="E189" s="250"/>
      <c r="F189" s="132">
        <f>TrialBalanceA!I189-TrialBalanceA!K189</f>
        <v>0</v>
      </c>
      <c r="G189" s="132">
        <f>TrialBalanceB!I189-TrialBalanceB!K189</f>
        <v>0</v>
      </c>
      <c r="H189" s="132">
        <f>TrialBalanceC!I189-TrialBalanceC!K189</f>
        <v>0</v>
      </c>
      <c r="I189" s="79">
        <f>N189</f>
        <v>0</v>
      </c>
      <c r="J189" s="198">
        <f>SUMIF(Journals!D$14:D$920,TrialBalance!P189,Journals!J$14:J$920)+SUMIF(Journals!E$14:E$920,TrialBalance!P189,Journals!J$14:J$920)</f>
        <v>0</v>
      </c>
      <c r="K189" s="253"/>
      <c r="L189" s="255">
        <f t="shared" si="22"/>
        <v>0</v>
      </c>
      <c r="M189" s="75"/>
      <c r="N189" s="48">
        <f t="shared" si="25"/>
        <v>0</v>
      </c>
      <c r="P189" s="140" t="str">
        <f t="shared" si="34"/>
        <v>5500/005</v>
      </c>
      <c r="Q189" s="70"/>
      <c r="R189" s="31"/>
      <c r="S189" s="71"/>
      <c r="T189" s="51"/>
      <c r="U189" s="31"/>
    </row>
    <row r="190" spans="1:21" x14ac:dyDescent="0.2">
      <c r="A190" s="238"/>
      <c r="B190" s="90" t="s">
        <v>604</v>
      </c>
      <c r="C190" s="249"/>
      <c r="D190" s="250"/>
      <c r="E190" s="250"/>
      <c r="F190" s="132">
        <f>TrialBalanceA!I190-TrialBalanceA!K190</f>
        <v>0</v>
      </c>
      <c r="G190" s="132">
        <f>TrialBalanceB!I190-TrialBalanceB!K190</f>
        <v>0</v>
      </c>
      <c r="H190" s="132">
        <f>TrialBalanceC!I190-TrialBalanceC!K190</f>
        <v>0</v>
      </c>
      <c r="I190" s="79">
        <f t="shared" ref="I190:I201" si="35">N190</f>
        <v>0</v>
      </c>
      <c r="J190" s="198">
        <f>SUMIF(Journals!D$14:D$920,TrialBalance!P190,Journals!J$14:J$920)+SUMIF(Journals!E$14:E$920,TrialBalance!P190,Journals!J$14:J$920)</f>
        <v>0</v>
      </c>
      <c r="K190" s="253"/>
      <c r="L190" s="255">
        <f t="shared" si="22"/>
        <v>0</v>
      </c>
      <c r="M190" s="75"/>
      <c r="N190" s="48">
        <f t="shared" si="25"/>
        <v>0</v>
      </c>
      <c r="P190" s="140" t="str">
        <f t="shared" si="34"/>
        <v>5500/006</v>
      </c>
      <c r="Q190" s="70"/>
      <c r="R190" s="31"/>
      <c r="S190" s="71"/>
      <c r="T190" s="51"/>
      <c r="U190" s="31"/>
    </row>
    <row r="191" spans="1:21" x14ac:dyDescent="0.2">
      <c r="A191" s="238"/>
      <c r="B191" s="90" t="s">
        <v>605</v>
      </c>
      <c r="C191" s="249"/>
      <c r="D191" s="250"/>
      <c r="E191" s="250"/>
      <c r="F191" s="132">
        <f>TrialBalanceA!I191-TrialBalanceA!K191</f>
        <v>0</v>
      </c>
      <c r="G191" s="132">
        <f>TrialBalanceB!I191-TrialBalanceB!K191</f>
        <v>0</v>
      </c>
      <c r="H191" s="132">
        <f>TrialBalanceC!I191-TrialBalanceC!K191</f>
        <v>0</v>
      </c>
      <c r="I191" s="79">
        <f t="shared" si="35"/>
        <v>0</v>
      </c>
      <c r="J191" s="198">
        <f>SUMIF(Journals!D$14:D$920,TrialBalance!P191,Journals!J$14:J$920)+SUMIF(Journals!E$14:E$920,TrialBalance!P191,Journals!J$14:J$920)</f>
        <v>0</v>
      </c>
      <c r="K191" s="253"/>
      <c r="L191" s="255">
        <f t="shared" si="22"/>
        <v>0</v>
      </c>
      <c r="M191" s="75"/>
      <c r="N191" s="48">
        <f t="shared" si="25"/>
        <v>0</v>
      </c>
      <c r="P191" s="140" t="str">
        <f t="shared" si="34"/>
        <v>5500/007</v>
      </c>
      <c r="Q191" s="70"/>
      <c r="R191" s="31"/>
      <c r="S191" s="71"/>
      <c r="T191" s="51"/>
      <c r="U191" s="31"/>
    </row>
    <row r="192" spans="1:21" x14ac:dyDescent="0.2">
      <c r="A192" s="238"/>
      <c r="B192" s="90" t="s">
        <v>606</v>
      </c>
      <c r="C192" s="249"/>
      <c r="D192" s="250"/>
      <c r="E192" s="250"/>
      <c r="F192" s="132">
        <f>TrialBalanceA!I192-TrialBalanceA!K192</f>
        <v>0</v>
      </c>
      <c r="G192" s="132">
        <f>TrialBalanceB!I192-TrialBalanceB!K192</f>
        <v>0</v>
      </c>
      <c r="H192" s="132">
        <f>TrialBalanceC!I192-TrialBalanceC!K192</f>
        <v>0</v>
      </c>
      <c r="I192" s="79">
        <f t="shared" si="35"/>
        <v>0</v>
      </c>
      <c r="J192" s="198">
        <f>SUMIF(Journals!D$14:D$920,TrialBalance!P192,Journals!J$14:J$920)+SUMIF(Journals!E$14:E$920,TrialBalance!P192,Journals!J$14:J$920)</f>
        <v>0</v>
      </c>
      <c r="K192" s="253"/>
      <c r="L192" s="255">
        <f t="shared" si="22"/>
        <v>0</v>
      </c>
      <c r="M192" s="75"/>
      <c r="N192" s="48">
        <f t="shared" si="25"/>
        <v>0</v>
      </c>
      <c r="P192" s="140" t="str">
        <f t="shared" si="34"/>
        <v>5500/008</v>
      </c>
      <c r="Q192" s="70"/>
      <c r="R192" s="31"/>
      <c r="S192" s="71"/>
      <c r="T192" s="51"/>
      <c r="U192" s="31"/>
    </row>
    <row r="193" spans="1:21" x14ac:dyDescent="0.2">
      <c r="A193" s="238"/>
      <c r="B193" s="90" t="s">
        <v>607</v>
      </c>
      <c r="C193" s="249"/>
      <c r="D193" s="250"/>
      <c r="E193" s="250"/>
      <c r="F193" s="132">
        <f>TrialBalanceA!I193-TrialBalanceA!K193</f>
        <v>0</v>
      </c>
      <c r="G193" s="132">
        <f>TrialBalanceB!I193-TrialBalanceB!K193</f>
        <v>0</v>
      </c>
      <c r="H193" s="132">
        <f>TrialBalanceC!I193-TrialBalanceC!K193</f>
        <v>0</v>
      </c>
      <c r="I193" s="79">
        <f t="shared" si="35"/>
        <v>0</v>
      </c>
      <c r="J193" s="198">
        <f>SUMIF(Journals!D$14:D$920,TrialBalance!P193,Journals!J$14:J$920)+SUMIF(Journals!E$14:E$920,TrialBalance!P193,Journals!J$14:J$920)</f>
        <v>0</v>
      </c>
      <c r="K193" s="253"/>
      <c r="L193" s="255">
        <f t="shared" si="22"/>
        <v>0</v>
      </c>
      <c r="M193" s="75"/>
      <c r="N193" s="48">
        <f t="shared" si="25"/>
        <v>0</v>
      </c>
      <c r="P193" s="140" t="str">
        <f t="shared" si="34"/>
        <v>5500/009</v>
      </c>
      <c r="Q193" s="70"/>
      <c r="R193" s="31"/>
      <c r="S193" s="71"/>
      <c r="T193" s="51"/>
      <c r="U193" s="31"/>
    </row>
    <row r="194" spans="1:21" x14ac:dyDescent="0.2">
      <c r="A194" s="238"/>
      <c r="B194" s="90" t="s">
        <v>608</v>
      </c>
      <c r="C194" s="249"/>
      <c r="D194" s="250"/>
      <c r="E194" s="250"/>
      <c r="F194" s="132">
        <f>TrialBalanceA!I194-TrialBalanceA!K194</f>
        <v>0</v>
      </c>
      <c r="G194" s="132">
        <f>TrialBalanceB!I194-TrialBalanceB!K194</f>
        <v>0</v>
      </c>
      <c r="H194" s="132">
        <f>TrialBalanceC!I194-TrialBalanceC!K194</f>
        <v>0</v>
      </c>
      <c r="I194" s="79">
        <f t="shared" si="35"/>
        <v>0</v>
      </c>
      <c r="J194" s="198">
        <f>SUMIF(Journals!D$14:D$920,TrialBalance!P194,Journals!J$14:J$920)+SUMIF(Journals!E$14:E$920,TrialBalance!P194,Journals!J$14:J$920)</f>
        <v>0</v>
      </c>
      <c r="K194" s="253"/>
      <c r="L194" s="255">
        <f t="shared" si="22"/>
        <v>0</v>
      </c>
      <c r="M194" s="75"/>
      <c r="N194" s="48">
        <f t="shared" si="25"/>
        <v>0</v>
      </c>
      <c r="P194" s="140" t="str">
        <f t="shared" si="34"/>
        <v>5500/010</v>
      </c>
      <c r="Q194" s="70"/>
      <c r="R194" s="31"/>
      <c r="S194" s="71"/>
      <c r="T194" s="51"/>
      <c r="U194" s="31"/>
    </row>
    <row r="195" spans="1:21" x14ac:dyDescent="0.2">
      <c r="A195" s="238"/>
      <c r="B195" s="90" t="s">
        <v>609</v>
      </c>
      <c r="C195" s="249"/>
      <c r="D195" s="250"/>
      <c r="E195" s="250"/>
      <c r="F195" s="132">
        <f>TrialBalanceA!I195-TrialBalanceA!K195</f>
        <v>0</v>
      </c>
      <c r="G195" s="132">
        <f>TrialBalanceB!I195-TrialBalanceB!K195</f>
        <v>0</v>
      </c>
      <c r="H195" s="132">
        <f>TrialBalanceC!I195-TrialBalanceC!K195</f>
        <v>0</v>
      </c>
      <c r="I195" s="79">
        <f t="shared" ref="I195:I199" si="36">N195</f>
        <v>0</v>
      </c>
      <c r="J195" s="198">
        <f>SUMIF(Journals!D$14:D$920,TrialBalance!P195,Journals!J$14:J$920)+SUMIF(Journals!E$14:E$920,TrialBalance!P195,Journals!J$14:J$920)</f>
        <v>0</v>
      </c>
      <c r="K195" s="253"/>
      <c r="L195" s="255">
        <f t="shared" si="22"/>
        <v>0</v>
      </c>
      <c r="M195" s="75"/>
      <c r="N195" s="48">
        <f t="shared" si="25"/>
        <v>0</v>
      </c>
      <c r="P195" s="140" t="str">
        <f t="shared" si="34"/>
        <v>5500/011</v>
      </c>
      <c r="Q195" s="70"/>
      <c r="R195" s="31"/>
      <c r="S195" s="71"/>
      <c r="T195" s="51"/>
      <c r="U195" s="31"/>
    </row>
    <row r="196" spans="1:21" x14ac:dyDescent="0.2">
      <c r="A196" s="238"/>
      <c r="B196" s="90" t="s">
        <v>610</v>
      </c>
      <c r="C196" s="249"/>
      <c r="D196" s="250"/>
      <c r="E196" s="250"/>
      <c r="F196" s="132">
        <f>TrialBalanceA!I196-TrialBalanceA!K196</f>
        <v>0</v>
      </c>
      <c r="G196" s="132">
        <f>TrialBalanceB!I196-TrialBalanceB!K196</f>
        <v>0</v>
      </c>
      <c r="H196" s="132">
        <f>TrialBalanceC!I196-TrialBalanceC!K196</f>
        <v>0</v>
      </c>
      <c r="I196" s="79">
        <f t="shared" ref="I196:I197" si="37">N196</f>
        <v>0</v>
      </c>
      <c r="J196" s="198">
        <f>SUMIF(Journals!D$14:D$920,TrialBalance!P196,Journals!J$14:J$920)+SUMIF(Journals!E$14:E$920,TrialBalance!P196,Journals!J$14:J$920)</f>
        <v>0</v>
      </c>
      <c r="K196" s="253"/>
      <c r="L196" s="255">
        <f t="shared" ref="L196:L197" si="38">ROUND(D196-E196+F196+G196+H196+J196+I196,0)</f>
        <v>0</v>
      </c>
      <c r="M196" s="75"/>
      <c r="N196" s="48">
        <f t="shared" si="25"/>
        <v>0</v>
      </c>
      <c r="P196" s="140" t="str">
        <f t="shared" si="34"/>
        <v>5500/012</v>
      </c>
      <c r="Q196" s="70"/>
      <c r="R196" s="31"/>
      <c r="S196" s="71"/>
      <c r="T196" s="51"/>
      <c r="U196" s="31"/>
    </row>
    <row r="197" spans="1:21" x14ac:dyDescent="0.2">
      <c r="A197" s="238"/>
      <c r="B197" s="90" t="s">
        <v>611</v>
      </c>
      <c r="C197" s="249"/>
      <c r="D197" s="250"/>
      <c r="E197" s="250"/>
      <c r="F197" s="132">
        <f>TrialBalanceA!I197-TrialBalanceA!K197</f>
        <v>0</v>
      </c>
      <c r="G197" s="132">
        <f>TrialBalanceB!I197-TrialBalanceB!K197</f>
        <v>0</v>
      </c>
      <c r="H197" s="132">
        <f>TrialBalanceC!I197-TrialBalanceC!K197</f>
        <v>0</v>
      </c>
      <c r="I197" s="79">
        <f t="shared" si="37"/>
        <v>0</v>
      </c>
      <c r="J197" s="198">
        <f>SUMIF(Journals!D$14:D$920,TrialBalance!P197,Journals!J$14:J$920)+SUMIF(Journals!E$14:E$920,TrialBalance!P197,Journals!J$14:J$920)</f>
        <v>0</v>
      </c>
      <c r="K197" s="253"/>
      <c r="L197" s="255">
        <f t="shared" si="38"/>
        <v>0</v>
      </c>
      <c r="M197" s="75"/>
      <c r="N197" s="48">
        <f t="shared" si="25"/>
        <v>0</v>
      </c>
      <c r="P197" s="140" t="str">
        <f t="shared" si="34"/>
        <v>5500/013</v>
      </c>
      <c r="Q197" s="70"/>
      <c r="R197" s="31"/>
      <c r="S197" s="71"/>
      <c r="T197" s="51"/>
      <c r="U197" s="31"/>
    </row>
    <row r="198" spans="1:21" x14ac:dyDescent="0.2">
      <c r="A198" s="238"/>
      <c r="B198" s="90" t="s">
        <v>661</v>
      </c>
      <c r="C198" s="249"/>
      <c r="D198" s="250"/>
      <c r="E198" s="250"/>
      <c r="F198" s="132">
        <f>TrialBalanceA!I198-TrialBalanceA!K198</f>
        <v>0</v>
      </c>
      <c r="G198" s="132">
        <f>TrialBalanceB!I198-TrialBalanceB!K198</f>
        <v>0</v>
      </c>
      <c r="H198" s="132">
        <f>TrialBalanceC!I198-TrialBalanceC!K198</f>
        <v>0</v>
      </c>
      <c r="I198" s="79">
        <f t="shared" si="36"/>
        <v>0</v>
      </c>
      <c r="J198" s="198">
        <f>SUMIF(Journals!D$14:D$920,TrialBalance!P198,Journals!J$14:J$920)+SUMIF(Journals!E$14:E$920,TrialBalance!P198,Journals!J$14:J$920)</f>
        <v>0</v>
      </c>
      <c r="K198" s="253"/>
      <c r="L198" s="255">
        <f t="shared" si="22"/>
        <v>0</v>
      </c>
      <c r="M198" s="75"/>
      <c r="N198" s="48">
        <f t="shared" si="25"/>
        <v>0</v>
      </c>
      <c r="P198" s="140" t="str">
        <f t="shared" si="34"/>
        <v>5500/014</v>
      </c>
      <c r="Q198" s="70"/>
      <c r="R198" s="31"/>
      <c r="S198" s="71"/>
      <c r="T198" s="51"/>
      <c r="U198" s="31"/>
    </row>
    <row r="199" spans="1:21" x14ac:dyDescent="0.2">
      <c r="A199" s="238"/>
      <c r="B199" s="90" t="s">
        <v>662</v>
      </c>
      <c r="C199" s="249"/>
      <c r="D199" s="250"/>
      <c r="E199" s="250"/>
      <c r="F199" s="132">
        <f>TrialBalanceA!I199-TrialBalanceA!K199</f>
        <v>0</v>
      </c>
      <c r="G199" s="132">
        <f>TrialBalanceB!I199-TrialBalanceB!K199</f>
        <v>0</v>
      </c>
      <c r="H199" s="132">
        <f>TrialBalanceC!I199-TrialBalanceC!K199</f>
        <v>0</v>
      </c>
      <c r="I199" s="79">
        <f t="shared" si="36"/>
        <v>0</v>
      </c>
      <c r="J199" s="198">
        <f>SUMIF(Journals!D$14:D$920,TrialBalance!P199,Journals!J$14:J$920)+SUMIF(Journals!E$14:E$920,TrialBalance!P199,Journals!J$14:J$920)</f>
        <v>0</v>
      </c>
      <c r="K199" s="253"/>
      <c r="L199" s="255">
        <f t="shared" si="22"/>
        <v>0</v>
      </c>
      <c r="M199" s="75"/>
      <c r="N199" s="48">
        <f t="shared" si="25"/>
        <v>0</v>
      </c>
      <c r="P199" s="140" t="str">
        <f t="shared" si="34"/>
        <v>5500/015</v>
      </c>
      <c r="Q199" s="70"/>
      <c r="R199" s="31"/>
      <c r="S199" s="71"/>
      <c r="T199" s="51"/>
      <c r="U199" s="31"/>
    </row>
    <row r="200" spans="1:21" x14ac:dyDescent="0.2">
      <c r="A200" s="238"/>
      <c r="B200" s="54" t="s">
        <v>136</v>
      </c>
      <c r="C200" s="240" t="s">
        <v>255</v>
      </c>
      <c r="D200" s="250"/>
      <c r="E200" s="251"/>
      <c r="F200" s="132"/>
      <c r="G200" s="132"/>
      <c r="H200" s="132"/>
      <c r="I200" s="79">
        <f t="shared" si="35"/>
        <v>0</v>
      </c>
      <c r="J200" s="198">
        <f>SUMIF(Journals!D$14:D$920,TrialBalance!P200,Journals!J$14:J$920)+SUMIF(Journals!E$14:E$920,TrialBalance!P200,Journals!J$14:J$920)</f>
        <v>0</v>
      </c>
      <c r="K200" s="253"/>
      <c r="L200" s="255">
        <f t="shared" si="22"/>
        <v>0</v>
      </c>
      <c r="M200" s="75"/>
      <c r="N200" s="48">
        <f t="shared" si="25"/>
        <v>0</v>
      </c>
      <c r="P200" s="140" t="str">
        <f t="shared" ref="P200:P235" si="39">CONCATENATE(B200,C200)</f>
        <v>5520/000Short term portion of long term loans</v>
      </c>
      <c r="Q200" s="70"/>
      <c r="R200" s="31"/>
      <c r="S200" s="71"/>
      <c r="T200" s="51"/>
      <c r="U200" s="31"/>
    </row>
    <row r="201" spans="1:21" x14ac:dyDescent="0.2">
      <c r="A201" s="238"/>
      <c r="B201" s="54" t="s">
        <v>138</v>
      </c>
      <c r="C201" s="239" t="s">
        <v>139</v>
      </c>
      <c r="D201" s="250"/>
      <c r="E201" s="251"/>
      <c r="F201" s="132"/>
      <c r="G201" s="132"/>
      <c r="H201" s="132"/>
      <c r="I201" s="79">
        <f t="shared" si="35"/>
        <v>0</v>
      </c>
      <c r="J201" s="198">
        <f>SUMIF(Journals!D$14:D$920,TrialBalance!P201,Journals!J$14:J$920)+SUMIF(Journals!E$14:E$920,TrialBalance!P201,Journals!J$14:J$920)</f>
        <v>0</v>
      </c>
      <c r="K201" s="254" t="s">
        <v>588</v>
      </c>
      <c r="L201" s="255">
        <f t="shared" si="22"/>
        <v>0</v>
      </c>
      <c r="M201" s="75"/>
      <c r="N201" s="48">
        <f t="shared" si="25"/>
        <v>0</v>
      </c>
      <c r="P201" s="140" t="str">
        <f t="shared" si="39"/>
        <v>5550/000LONG TERM INTEREST FREE LOANS</v>
      </c>
      <c r="Q201" s="70"/>
      <c r="R201" s="31"/>
      <c r="S201" s="71"/>
      <c r="T201" s="51"/>
      <c r="U201" s="31"/>
    </row>
    <row r="202" spans="1:21" x14ac:dyDescent="0.2">
      <c r="A202" s="238"/>
      <c r="B202" s="54" t="s">
        <v>140</v>
      </c>
      <c r="C202" s="249"/>
      <c r="D202" s="251"/>
      <c r="E202" s="251"/>
      <c r="F202" s="132">
        <f>TrialBalanceA!I202-TrialBalanceA!K202</f>
        <v>0</v>
      </c>
      <c r="G202" s="132">
        <f>TrialBalanceB!I202-TrialBalanceB!K202</f>
        <v>0</v>
      </c>
      <c r="H202" s="132">
        <f>TrialBalanceC!I202-TrialBalanceC!K202</f>
        <v>0</v>
      </c>
      <c r="I202" s="79">
        <f t="shared" ref="I202:I215" si="40">N202</f>
        <v>0</v>
      </c>
      <c r="J202" s="198">
        <f>SUMIF(Journals!D$14:D$920,TrialBalance!P202,Journals!J$14:J$920)+SUMIF(Journals!E$14:E$920,TrialBalance!P202,Journals!J$14:J$920)</f>
        <v>0</v>
      </c>
      <c r="K202" s="254"/>
      <c r="L202" s="255">
        <f t="shared" si="22"/>
        <v>0</v>
      </c>
      <c r="M202" s="75"/>
      <c r="N202" s="48">
        <f t="shared" si="25"/>
        <v>0</v>
      </c>
      <c r="P202" s="140" t="str">
        <f t="shared" si="39"/>
        <v>5550/001</v>
      </c>
      <c r="Q202" s="72"/>
      <c r="R202" s="31"/>
      <c r="S202" s="71"/>
      <c r="T202" s="51"/>
      <c r="U202" s="31"/>
    </row>
    <row r="203" spans="1:21" x14ac:dyDescent="0.2">
      <c r="A203" s="238"/>
      <c r="B203" s="54" t="s">
        <v>141</v>
      </c>
      <c r="C203" s="249"/>
      <c r="D203" s="251"/>
      <c r="E203" s="251"/>
      <c r="F203" s="132">
        <f>TrialBalanceA!I203-TrialBalanceA!K203</f>
        <v>0</v>
      </c>
      <c r="G203" s="132">
        <f>TrialBalanceB!I203-TrialBalanceB!K203</f>
        <v>0</v>
      </c>
      <c r="H203" s="132">
        <f>TrialBalanceC!I203-TrialBalanceC!K203</f>
        <v>0</v>
      </c>
      <c r="I203" s="79">
        <f t="shared" si="40"/>
        <v>0</v>
      </c>
      <c r="J203" s="198">
        <f>SUMIF(Journals!D$14:D$920,TrialBalance!P203,Journals!J$14:J$920)+SUMIF(Journals!E$14:E$920,TrialBalance!P203,Journals!J$14:J$920)</f>
        <v>0</v>
      </c>
      <c r="K203" s="254"/>
      <c r="L203" s="255">
        <f>ROUND(D203-E203+F203+G203+H203+J203+I203,0)</f>
        <v>0</v>
      </c>
      <c r="M203" s="75"/>
      <c r="N203" s="48">
        <f t="shared" si="25"/>
        <v>0</v>
      </c>
      <c r="P203" s="140" t="str">
        <f t="shared" si="39"/>
        <v>5550/002</v>
      </c>
      <c r="Q203" s="72"/>
      <c r="R203" s="31"/>
      <c r="S203" s="71"/>
      <c r="T203" s="51"/>
      <c r="U203" s="31"/>
    </row>
    <row r="204" spans="1:21" x14ac:dyDescent="0.2">
      <c r="A204" s="238"/>
      <c r="B204" s="54" t="s">
        <v>142</v>
      </c>
      <c r="C204" s="249"/>
      <c r="D204" s="250"/>
      <c r="E204" s="251"/>
      <c r="F204" s="132">
        <f>TrialBalanceA!I204-TrialBalanceA!K204</f>
        <v>0</v>
      </c>
      <c r="G204" s="132">
        <f>TrialBalanceB!I204-TrialBalanceB!K204</f>
        <v>0</v>
      </c>
      <c r="H204" s="132">
        <f>TrialBalanceC!I204-TrialBalanceC!K204</f>
        <v>0</v>
      </c>
      <c r="I204" s="79">
        <f t="shared" si="40"/>
        <v>0</v>
      </c>
      <c r="J204" s="198">
        <f>SUMIF(Journals!D$14:D$920,TrialBalance!P204,Journals!J$14:J$920)+SUMIF(Journals!E$14:E$920,TrialBalance!P204,Journals!J$14:J$920)</f>
        <v>0</v>
      </c>
      <c r="K204" s="253"/>
      <c r="L204" s="255">
        <f t="shared" si="22"/>
        <v>0</v>
      </c>
      <c r="M204" s="75"/>
      <c r="N204" s="48">
        <f t="shared" si="25"/>
        <v>0</v>
      </c>
      <c r="P204" s="140" t="str">
        <f t="shared" si="39"/>
        <v>5550/003</v>
      </c>
      <c r="Q204" s="72"/>
      <c r="R204" s="31"/>
      <c r="S204" s="71"/>
      <c r="T204" s="51"/>
      <c r="U204" s="31"/>
    </row>
    <row r="205" spans="1:21" x14ac:dyDescent="0.2">
      <c r="A205" s="238"/>
      <c r="B205" s="54" t="s">
        <v>143</v>
      </c>
      <c r="C205" s="249"/>
      <c r="D205" s="250"/>
      <c r="E205" s="251"/>
      <c r="F205" s="132">
        <f>TrialBalanceA!I205-TrialBalanceA!K205</f>
        <v>0</v>
      </c>
      <c r="G205" s="132">
        <f>TrialBalanceB!I205-TrialBalanceB!K205</f>
        <v>0</v>
      </c>
      <c r="H205" s="132">
        <f>TrialBalanceC!I205-TrialBalanceC!K205</f>
        <v>0</v>
      </c>
      <c r="I205" s="79">
        <f t="shared" si="40"/>
        <v>0</v>
      </c>
      <c r="J205" s="198">
        <f>SUMIF(Journals!D$14:D$920,TrialBalance!P205,Journals!J$14:J$920)+SUMIF(Journals!E$14:E$920,TrialBalance!P205,Journals!J$14:J$920)</f>
        <v>0</v>
      </c>
      <c r="K205" s="253"/>
      <c r="L205" s="255">
        <f t="shared" si="22"/>
        <v>0</v>
      </c>
      <c r="M205" s="75"/>
      <c r="N205" s="48">
        <f t="shared" si="25"/>
        <v>0</v>
      </c>
      <c r="P205" s="140" t="str">
        <f t="shared" si="39"/>
        <v>5550/004</v>
      </c>
      <c r="Q205" s="70"/>
      <c r="R205" s="31"/>
      <c r="S205" s="71"/>
      <c r="T205" s="51"/>
      <c r="U205" s="31"/>
    </row>
    <row r="206" spans="1:21" x14ac:dyDescent="0.2">
      <c r="A206" s="238"/>
      <c r="B206" s="54" t="s">
        <v>144</v>
      </c>
      <c r="C206" s="249"/>
      <c r="D206" s="250"/>
      <c r="E206" s="251"/>
      <c r="F206" s="132">
        <f>TrialBalanceA!I206-TrialBalanceA!K206</f>
        <v>0</v>
      </c>
      <c r="G206" s="132">
        <f>TrialBalanceB!I206-TrialBalanceB!K206</f>
        <v>0</v>
      </c>
      <c r="H206" s="132">
        <f>TrialBalanceC!I206-TrialBalanceC!K206</f>
        <v>0</v>
      </c>
      <c r="I206" s="79">
        <f t="shared" si="40"/>
        <v>0</v>
      </c>
      <c r="J206" s="198">
        <f>SUMIF(Journals!D$14:D$920,TrialBalance!P206,Journals!J$14:J$920)+SUMIF(Journals!E$14:E$920,TrialBalance!P206,Journals!J$14:J$920)</f>
        <v>0</v>
      </c>
      <c r="K206" s="253"/>
      <c r="L206" s="255">
        <f t="shared" ref="L206:L277" si="41">ROUND(D206-E206+F206+G206+H206+J206+I206,0)</f>
        <v>0</v>
      </c>
      <c r="M206" s="75"/>
      <c r="N206" s="48">
        <f t="shared" ref="N206:N281" si="42">ROUND(SUM(A206),0)</f>
        <v>0</v>
      </c>
      <c r="P206" s="140" t="str">
        <f t="shared" si="39"/>
        <v>5550/005</v>
      </c>
      <c r="Q206" s="70"/>
      <c r="R206" s="31"/>
      <c r="S206" s="71"/>
      <c r="T206" s="51"/>
      <c r="U206" s="31"/>
    </row>
    <row r="207" spans="1:21" x14ac:dyDescent="0.2">
      <c r="A207" s="238"/>
      <c r="B207" s="90" t="s">
        <v>631</v>
      </c>
      <c r="C207" s="249"/>
      <c r="D207" s="250"/>
      <c r="E207" s="251"/>
      <c r="F207" s="132">
        <f>TrialBalanceA!I207-TrialBalanceA!K207</f>
        <v>0</v>
      </c>
      <c r="G207" s="132">
        <f>TrialBalanceB!I207-TrialBalanceB!K207</f>
        <v>0</v>
      </c>
      <c r="H207" s="132">
        <f>TrialBalanceC!I207-TrialBalanceC!K207</f>
        <v>0</v>
      </c>
      <c r="I207" s="79">
        <f t="shared" ref="I207:I210" si="43">N207</f>
        <v>0</v>
      </c>
      <c r="J207" s="198">
        <f>SUMIF(Journals!D$14:D$920,TrialBalance!P207,Journals!J$14:J$920)+SUMIF(Journals!E$14:E$920,TrialBalance!P207,Journals!J$14:J$920)</f>
        <v>0</v>
      </c>
      <c r="K207" s="253"/>
      <c r="L207" s="255">
        <f t="shared" si="41"/>
        <v>0</v>
      </c>
      <c r="M207" s="75"/>
      <c r="N207" s="48">
        <f t="shared" si="42"/>
        <v>0</v>
      </c>
      <c r="P207" s="140" t="str">
        <f t="shared" si="39"/>
        <v>5550/006</v>
      </c>
      <c r="Q207" s="70"/>
      <c r="R207" s="31"/>
      <c r="S207" s="71"/>
      <c r="T207" s="51"/>
      <c r="U207" s="31"/>
    </row>
    <row r="208" spans="1:21" x14ac:dyDescent="0.2">
      <c r="A208" s="238"/>
      <c r="B208" s="90" t="s">
        <v>632</v>
      </c>
      <c r="C208" s="249"/>
      <c r="D208" s="250"/>
      <c r="E208" s="251"/>
      <c r="F208" s="132">
        <f>TrialBalanceA!I208-TrialBalanceA!K208</f>
        <v>0</v>
      </c>
      <c r="G208" s="132">
        <f>TrialBalanceB!I208-TrialBalanceB!K208</f>
        <v>0</v>
      </c>
      <c r="H208" s="132">
        <f>TrialBalanceC!I208-TrialBalanceC!K208</f>
        <v>0</v>
      </c>
      <c r="I208" s="79">
        <f t="shared" si="43"/>
        <v>0</v>
      </c>
      <c r="J208" s="198">
        <f>SUMIF(Journals!D$14:D$920,TrialBalance!P208,Journals!J$14:J$920)+SUMIF(Journals!E$14:E$920,TrialBalance!P208,Journals!J$14:J$920)</f>
        <v>0</v>
      </c>
      <c r="K208" s="253"/>
      <c r="L208" s="255">
        <f t="shared" si="41"/>
        <v>0</v>
      </c>
      <c r="M208" s="75"/>
      <c r="N208" s="48">
        <f t="shared" si="42"/>
        <v>0</v>
      </c>
      <c r="P208" s="140" t="str">
        <f t="shared" si="39"/>
        <v>5550/007</v>
      </c>
      <c r="Q208" s="70"/>
      <c r="R208" s="31"/>
      <c r="S208" s="71"/>
      <c r="T208" s="51"/>
      <c r="U208" s="31"/>
    </row>
    <row r="209" spans="1:21" x14ac:dyDescent="0.2">
      <c r="A209" s="238"/>
      <c r="B209" s="90" t="s">
        <v>633</v>
      </c>
      <c r="C209" s="249"/>
      <c r="D209" s="250"/>
      <c r="E209" s="251"/>
      <c r="F209" s="132">
        <f>TrialBalanceA!I209-TrialBalanceA!K209</f>
        <v>0</v>
      </c>
      <c r="G209" s="132">
        <f>TrialBalanceB!I209-TrialBalanceB!K209</f>
        <v>0</v>
      </c>
      <c r="H209" s="132">
        <f>TrialBalanceC!I209-TrialBalanceC!K209</f>
        <v>0</v>
      </c>
      <c r="I209" s="79">
        <f t="shared" si="43"/>
        <v>0</v>
      </c>
      <c r="J209" s="198">
        <f>SUMIF(Journals!D$14:D$920,TrialBalance!P209,Journals!J$14:J$920)+SUMIF(Journals!E$14:E$920,TrialBalance!P209,Journals!J$14:J$920)</f>
        <v>0</v>
      </c>
      <c r="K209" s="253"/>
      <c r="L209" s="255">
        <f t="shared" si="41"/>
        <v>0</v>
      </c>
      <c r="M209" s="75"/>
      <c r="N209" s="48">
        <f t="shared" si="42"/>
        <v>0</v>
      </c>
      <c r="P209" s="140" t="str">
        <f t="shared" si="39"/>
        <v>5550/008</v>
      </c>
      <c r="Q209" s="70"/>
      <c r="R209" s="31"/>
      <c r="S209" s="71"/>
      <c r="T209" s="51"/>
      <c r="U209" s="31"/>
    </row>
    <row r="210" spans="1:21" x14ac:dyDescent="0.2">
      <c r="A210" s="238"/>
      <c r="B210" s="90" t="s">
        <v>634</v>
      </c>
      <c r="C210" s="249"/>
      <c r="D210" s="250"/>
      <c r="E210" s="251"/>
      <c r="F210" s="132">
        <f>TrialBalanceA!I210-TrialBalanceA!K210</f>
        <v>0</v>
      </c>
      <c r="G210" s="132">
        <f>TrialBalanceB!I210-TrialBalanceB!K210</f>
        <v>0</v>
      </c>
      <c r="H210" s="132">
        <f>TrialBalanceC!I210-TrialBalanceC!K210</f>
        <v>0</v>
      </c>
      <c r="I210" s="79">
        <f t="shared" si="43"/>
        <v>0</v>
      </c>
      <c r="J210" s="198">
        <f>SUMIF(Journals!D$14:D$920,TrialBalance!P210,Journals!J$14:J$920)+SUMIF(Journals!E$14:E$920,TrialBalance!P210,Journals!J$14:J$920)</f>
        <v>0</v>
      </c>
      <c r="K210" s="253"/>
      <c r="L210" s="255">
        <f t="shared" si="41"/>
        <v>0</v>
      </c>
      <c r="M210" s="75"/>
      <c r="N210" s="48">
        <f t="shared" si="42"/>
        <v>0</v>
      </c>
      <c r="P210" s="140" t="str">
        <f t="shared" si="39"/>
        <v>5550/009</v>
      </c>
      <c r="Q210" s="70"/>
      <c r="R210" s="31"/>
      <c r="S210" s="71"/>
      <c r="T210" s="51"/>
      <c r="U210" s="31"/>
    </row>
    <row r="211" spans="1:21" x14ac:dyDescent="0.2">
      <c r="A211" s="238"/>
      <c r="B211" s="90" t="s">
        <v>655</v>
      </c>
      <c r="C211" s="249"/>
      <c r="D211" s="251"/>
      <c r="E211" s="251"/>
      <c r="F211" s="132">
        <f>TrialBalanceA!I211-TrialBalanceA!K211</f>
        <v>0</v>
      </c>
      <c r="G211" s="132">
        <f>TrialBalanceB!I211-TrialBalanceB!K211</f>
        <v>0</v>
      </c>
      <c r="H211" s="132">
        <f>TrialBalanceC!I211-TrialBalanceC!K211</f>
        <v>0</v>
      </c>
      <c r="I211" s="79">
        <f t="shared" si="40"/>
        <v>0</v>
      </c>
      <c r="J211" s="198">
        <f>SUMIF(Journals!D$14:D$920,TrialBalance!P211,Journals!J$14:J$920)+SUMIF(Journals!E$14:E$920,TrialBalance!P211,Journals!J$14:J$920)</f>
        <v>0</v>
      </c>
      <c r="K211" s="253"/>
      <c r="L211" s="255">
        <f>ROUND(D211-E211+F211+G211+H211+J211+I211,0)</f>
        <v>0</v>
      </c>
      <c r="M211" s="75"/>
      <c r="N211" s="48">
        <f t="shared" si="42"/>
        <v>0</v>
      </c>
      <c r="P211" s="140" t="str">
        <f t="shared" si="39"/>
        <v>5550/010</v>
      </c>
      <c r="Q211" s="70"/>
      <c r="R211" s="31"/>
      <c r="S211" s="71"/>
      <c r="T211" s="51">
        <f>L204+L215</f>
        <v>0</v>
      </c>
      <c r="U211" s="31"/>
    </row>
    <row r="212" spans="1:21" x14ac:dyDescent="0.2">
      <c r="A212" s="238"/>
      <c r="B212" s="90" t="s">
        <v>668</v>
      </c>
      <c r="C212" s="249"/>
      <c r="D212" s="251"/>
      <c r="E212" s="251"/>
      <c r="F212" s="132">
        <f>TrialBalanceA!I212-TrialBalanceA!K212</f>
        <v>0</v>
      </c>
      <c r="G212" s="132">
        <f>TrialBalanceB!I212-TrialBalanceB!K212</f>
        <v>0</v>
      </c>
      <c r="H212" s="132">
        <f>TrialBalanceC!I212-TrialBalanceC!K212</f>
        <v>0</v>
      </c>
      <c r="I212" s="79">
        <f t="shared" si="40"/>
        <v>0</v>
      </c>
      <c r="J212" s="198">
        <f>SUMIF(Journals!D$14:D$920,TrialBalance!P212,Journals!J$14:J$920)+SUMIF(Journals!E$14:E$920,TrialBalance!P212,Journals!J$14:J$920)</f>
        <v>0</v>
      </c>
      <c r="K212" s="253"/>
      <c r="L212" s="255">
        <f>ROUND(D212-E212+F212+G212+H212+J212+I212,0)</f>
        <v>0</v>
      </c>
      <c r="M212" s="75"/>
      <c r="N212" s="48">
        <f t="shared" si="42"/>
        <v>0</v>
      </c>
      <c r="P212" s="140" t="str">
        <f t="shared" si="39"/>
        <v>5550/011</v>
      </c>
      <c r="Q212" s="70"/>
      <c r="R212" s="31"/>
      <c r="S212" s="71"/>
      <c r="T212" s="51"/>
      <c r="U212" s="31"/>
    </row>
    <row r="213" spans="1:21" x14ac:dyDescent="0.2">
      <c r="A213" s="238"/>
      <c r="B213" s="90" t="s">
        <v>669</v>
      </c>
      <c r="C213" s="249"/>
      <c r="D213" s="251"/>
      <c r="E213" s="251"/>
      <c r="F213" s="132">
        <f>TrialBalanceA!I213-TrialBalanceA!K213</f>
        <v>0</v>
      </c>
      <c r="G213" s="132">
        <f>TrialBalanceB!I213-TrialBalanceB!K213</f>
        <v>0</v>
      </c>
      <c r="H213" s="132">
        <f>TrialBalanceC!I213-TrialBalanceC!K213</f>
        <v>0</v>
      </c>
      <c r="I213" s="79">
        <f t="shared" si="40"/>
        <v>0</v>
      </c>
      <c r="J213" s="198">
        <f>SUMIF(Journals!D$14:D$920,TrialBalance!P213,Journals!J$14:J$920)+SUMIF(Journals!E$14:E$920,TrialBalance!P213,Journals!J$14:J$920)</f>
        <v>0</v>
      </c>
      <c r="K213" s="253"/>
      <c r="L213" s="255">
        <f t="shared" si="41"/>
        <v>0</v>
      </c>
      <c r="M213" s="75"/>
      <c r="N213" s="48">
        <f t="shared" si="42"/>
        <v>0</v>
      </c>
      <c r="P213" s="140" t="str">
        <f t="shared" si="39"/>
        <v>5550/012</v>
      </c>
      <c r="Q213" s="70"/>
      <c r="R213" s="31"/>
      <c r="S213" s="71"/>
      <c r="T213" s="51"/>
      <c r="U213" s="31"/>
    </row>
    <row r="214" spans="1:21" x14ac:dyDescent="0.2">
      <c r="A214" s="238"/>
      <c r="B214" s="90" t="s">
        <v>670</v>
      </c>
      <c r="C214" s="249"/>
      <c r="D214" s="251"/>
      <c r="E214" s="251"/>
      <c r="F214" s="132">
        <f>TrialBalanceA!I214-TrialBalanceA!K214</f>
        <v>0</v>
      </c>
      <c r="G214" s="132">
        <f>TrialBalanceB!I214-TrialBalanceB!K214</f>
        <v>0</v>
      </c>
      <c r="H214" s="132">
        <f>TrialBalanceC!I214-TrialBalanceC!K214</f>
        <v>0</v>
      </c>
      <c r="I214" s="79">
        <f t="shared" si="40"/>
        <v>0</v>
      </c>
      <c r="J214" s="198">
        <f>SUMIF(Journals!D$14:D$920,TrialBalance!P214,Journals!J$14:J$920)+SUMIF(Journals!E$14:E$920,TrialBalance!P214,Journals!J$14:J$920)</f>
        <v>0</v>
      </c>
      <c r="K214" s="253"/>
      <c r="L214" s="255">
        <f t="shared" si="41"/>
        <v>0</v>
      </c>
      <c r="M214" s="75"/>
      <c r="N214" s="48">
        <f t="shared" si="42"/>
        <v>0</v>
      </c>
      <c r="P214" s="140" t="str">
        <f t="shared" si="39"/>
        <v>5550/013</v>
      </c>
      <c r="Q214" s="70"/>
      <c r="R214" s="31"/>
      <c r="S214" s="71"/>
      <c r="T214" s="51"/>
      <c r="U214" s="31"/>
    </row>
    <row r="215" spans="1:21" x14ac:dyDescent="0.2">
      <c r="A215" s="238"/>
      <c r="B215" s="90" t="s">
        <v>671</v>
      </c>
      <c r="C215" s="249"/>
      <c r="D215" s="251"/>
      <c r="E215" s="251"/>
      <c r="F215" s="132">
        <f>TrialBalanceA!I215-TrialBalanceA!K215</f>
        <v>0</v>
      </c>
      <c r="G215" s="132">
        <f>TrialBalanceB!I215-TrialBalanceB!K215</f>
        <v>0</v>
      </c>
      <c r="H215" s="132">
        <f>TrialBalanceC!I215-TrialBalanceC!K215</f>
        <v>0</v>
      </c>
      <c r="I215" s="79">
        <f t="shared" si="40"/>
        <v>0</v>
      </c>
      <c r="J215" s="198">
        <f>SUMIF(Journals!D$14:D$920,TrialBalance!P215,Journals!J$14:J$920)+SUMIF(Journals!E$14:E$920,TrialBalance!P215,Journals!J$14:J$920)</f>
        <v>0</v>
      </c>
      <c r="K215" s="253"/>
      <c r="L215" s="255">
        <f t="shared" si="41"/>
        <v>0</v>
      </c>
      <c r="M215" s="75"/>
      <c r="N215" s="48">
        <f t="shared" si="42"/>
        <v>0</v>
      </c>
      <c r="P215" s="140" t="str">
        <f t="shared" si="39"/>
        <v>5550/014</v>
      </c>
      <c r="Q215" s="70"/>
      <c r="R215" s="31"/>
      <c r="S215" s="71"/>
      <c r="T215" s="51"/>
      <c r="U215" s="31"/>
    </row>
    <row r="216" spans="1:21" x14ac:dyDescent="0.2">
      <c r="A216" s="238"/>
      <c r="B216" s="90" t="s">
        <v>672</v>
      </c>
      <c r="C216" s="249"/>
      <c r="D216" s="251"/>
      <c r="E216" s="251"/>
      <c r="F216" s="132">
        <f>TrialBalanceA!I216-TrialBalanceA!K216</f>
        <v>0</v>
      </c>
      <c r="G216" s="132">
        <f>TrialBalanceB!I216-TrialBalanceB!K216</f>
        <v>0</v>
      </c>
      <c r="H216" s="132">
        <f>TrialBalanceC!I216-TrialBalanceC!K216</f>
        <v>0</v>
      </c>
      <c r="I216" s="79">
        <f>N216</f>
        <v>0</v>
      </c>
      <c r="J216" s="198">
        <f>SUMIF(Journals!D$14:D$920,TrialBalance!P216,Journals!J$14:J$920)+SUMIF(Journals!E$14:E$920,TrialBalance!P216,Journals!J$14:J$920)</f>
        <v>0</v>
      </c>
      <c r="K216" s="253"/>
      <c r="L216" s="255">
        <f t="shared" si="41"/>
        <v>0</v>
      </c>
      <c r="M216" s="75"/>
      <c r="N216" s="48">
        <f t="shared" si="42"/>
        <v>0</v>
      </c>
      <c r="P216" s="140" t="str">
        <f t="shared" si="39"/>
        <v>5550/015</v>
      </c>
      <c r="Q216" s="70"/>
      <c r="R216" s="31"/>
      <c r="S216" s="71"/>
      <c r="T216" s="51"/>
      <c r="U216" s="31"/>
    </row>
    <row r="217" spans="1:21" x14ac:dyDescent="0.2">
      <c r="A217" s="238"/>
      <c r="B217" s="90" t="s">
        <v>673</v>
      </c>
      <c r="C217" s="249"/>
      <c r="D217" s="251"/>
      <c r="E217" s="251"/>
      <c r="F217" s="132">
        <f>TrialBalanceA!I217-TrialBalanceA!K217</f>
        <v>0</v>
      </c>
      <c r="G217" s="132">
        <f>TrialBalanceB!I217-TrialBalanceB!K217</f>
        <v>0</v>
      </c>
      <c r="H217" s="132">
        <f>TrialBalanceC!I217-TrialBalanceC!K217</f>
        <v>0</v>
      </c>
      <c r="I217" s="79">
        <f>N217</f>
        <v>0</v>
      </c>
      <c r="J217" s="198">
        <f>SUMIF(Journals!D$14:D$920,TrialBalance!P217,Journals!J$14:J$920)+SUMIF(Journals!E$14:E$920,TrialBalance!P217,Journals!J$14:J$920)</f>
        <v>0</v>
      </c>
      <c r="K217" s="253"/>
      <c r="L217" s="255">
        <f t="shared" si="41"/>
        <v>0</v>
      </c>
      <c r="M217" s="75"/>
      <c r="N217" s="48">
        <f t="shared" si="42"/>
        <v>0</v>
      </c>
      <c r="P217" s="140" t="str">
        <f t="shared" si="39"/>
        <v>5550/016</v>
      </c>
      <c r="Q217" s="70"/>
      <c r="R217" s="31"/>
      <c r="S217" s="71"/>
      <c r="T217" s="51"/>
      <c r="U217" s="31"/>
    </row>
    <row r="218" spans="1:21" x14ac:dyDescent="0.2">
      <c r="A218" s="238"/>
      <c r="B218" s="90" t="s">
        <v>674</v>
      </c>
      <c r="C218" s="249"/>
      <c r="D218" s="251"/>
      <c r="E218" s="251"/>
      <c r="F218" s="132">
        <f>TrialBalanceA!I218-TrialBalanceA!K218</f>
        <v>0</v>
      </c>
      <c r="G218" s="132">
        <f>TrialBalanceB!I218-TrialBalanceB!K218</f>
        <v>0</v>
      </c>
      <c r="H218" s="132">
        <f>TrialBalanceC!I218-TrialBalanceC!K218</f>
        <v>0</v>
      </c>
      <c r="I218" s="79">
        <f>N218</f>
        <v>0</v>
      </c>
      <c r="J218" s="198">
        <f>SUMIF(Journals!D$14:D$920,TrialBalance!P218,Journals!J$14:J$920)+SUMIF(Journals!E$14:E$920,TrialBalance!P218,Journals!J$14:J$920)</f>
        <v>0</v>
      </c>
      <c r="K218" s="253"/>
      <c r="L218" s="255">
        <f t="shared" si="41"/>
        <v>0</v>
      </c>
      <c r="M218" s="75"/>
      <c r="N218" s="48">
        <f t="shared" si="42"/>
        <v>0</v>
      </c>
      <c r="P218" s="140" t="str">
        <f t="shared" si="39"/>
        <v>5550/017</v>
      </c>
      <c r="Q218" s="70"/>
      <c r="R218" s="31"/>
      <c r="S218" s="71"/>
      <c r="T218" s="51"/>
      <c r="U218" s="31"/>
    </row>
    <row r="219" spans="1:21" x14ac:dyDescent="0.2">
      <c r="A219" s="238"/>
      <c r="B219" s="54" t="s">
        <v>145</v>
      </c>
      <c r="C219" s="239" t="s">
        <v>194</v>
      </c>
      <c r="D219" s="250"/>
      <c r="E219" s="251"/>
      <c r="F219" s="132"/>
      <c r="G219" s="132"/>
      <c r="H219" s="132"/>
      <c r="I219" s="79"/>
      <c r="J219" s="198">
        <f>SUMIF(Journals!D$14:D$920,TrialBalance!P219,Journals!J$14:J$920)+SUMIF(Journals!E$14:E$920,TrialBalance!P219,Journals!J$14:J$920)</f>
        <v>0</v>
      </c>
      <c r="K219" s="254" t="s">
        <v>588</v>
      </c>
      <c r="L219" s="255">
        <f t="shared" si="41"/>
        <v>0</v>
      </c>
      <c r="M219" s="75"/>
      <c r="N219" s="48">
        <f t="shared" si="42"/>
        <v>0</v>
      </c>
      <c r="P219" s="140" t="str">
        <f t="shared" si="39"/>
        <v>5700/000DEFERRED TAX</v>
      </c>
      <c r="Q219" s="70"/>
      <c r="R219" s="31"/>
      <c r="S219" s="71"/>
      <c r="T219" s="51"/>
      <c r="U219" s="31"/>
    </row>
    <row r="220" spans="1:21" x14ac:dyDescent="0.2">
      <c r="A220" s="392"/>
      <c r="B220" s="54" t="s">
        <v>146</v>
      </c>
      <c r="C220" s="242" t="s">
        <v>533</v>
      </c>
      <c r="D220" s="250"/>
      <c r="E220" s="251"/>
      <c r="F220" s="132"/>
      <c r="G220" s="132"/>
      <c r="H220" s="132"/>
      <c r="I220" s="79">
        <f>N220+N222+N224+N226</f>
        <v>0</v>
      </c>
      <c r="J220" s="198">
        <f>SUMIF(Journals!D$14:D$920,TrialBalance!P220,Journals!J$14:J$920)+SUMIF(Journals!E$14:E$920,TrialBalance!P220,Journals!J$14:J$920)</f>
        <v>0</v>
      </c>
      <c r="K220" s="253"/>
      <c r="L220" s="255">
        <f t="shared" si="41"/>
        <v>0</v>
      </c>
      <c r="M220" s="75"/>
      <c r="N220" s="48">
        <f t="shared" si="42"/>
        <v>0</v>
      </c>
      <c r="P220" s="140" t="str">
        <f t="shared" si="39"/>
        <v>5700/010Deferred tax balance  depreciation b/fwd</v>
      </c>
      <c r="Q220" s="70"/>
      <c r="R220" s="31"/>
      <c r="S220" s="71"/>
      <c r="T220" s="51"/>
      <c r="U220" s="31"/>
    </row>
    <row r="221" spans="1:21" x14ac:dyDescent="0.2">
      <c r="A221" s="392"/>
      <c r="B221" s="90" t="s">
        <v>635</v>
      </c>
      <c r="C221" s="242" t="s">
        <v>534</v>
      </c>
      <c r="D221" s="250"/>
      <c r="E221" s="251"/>
      <c r="F221" s="132"/>
      <c r="G221" s="132"/>
      <c r="H221" s="132"/>
      <c r="I221" s="79">
        <f>N221+N223+N225+N227</f>
        <v>0</v>
      </c>
      <c r="J221" s="198">
        <f>SUMIF(Journals!D$14:D$920,TrialBalance!P221,Journals!J$14:J$920)+SUMIF(Journals!E$14:E$920,TrialBalance!P221,Journals!J$14:J$920)</f>
        <v>0</v>
      </c>
      <c r="K221" s="253"/>
      <c r="L221" s="255">
        <f t="shared" si="41"/>
        <v>0</v>
      </c>
      <c r="M221" s="75"/>
      <c r="N221" s="48">
        <f t="shared" si="42"/>
        <v>0</v>
      </c>
      <c r="P221" s="140" t="str">
        <f t="shared" si="39"/>
        <v>5700/020Deferred tax balance  tax loss b/fwd</v>
      </c>
      <c r="Q221" s="70"/>
      <c r="R221" s="31"/>
      <c r="S221" s="71"/>
      <c r="T221" s="51"/>
      <c r="U221" s="31"/>
    </row>
    <row r="222" spans="1:21" x14ac:dyDescent="0.2">
      <c r="A222" s="392"/>
      <c r="B222" s="90" t="s">
        <v>1096</v>
      </c>
      <c r="C222" s="242" t="s">
        <v>1097</v>
      </c>
      <c r="D222" s="250"/>
      <c r="E222" s="251"/>
      <c r="F222" s="132">
        <f>TrialBalanceA!I222</f>
        <v>0</v>
      </c>
      <c r="G222" s="132">
        <f>TrialBalanceB!I222</f>
        <v>0</v>
      </c>
      <c r="H222" s="132">
        <f>TrialBalanceC!I222</f>
        <v>0</v>
      </c>
      <c r="I222" s="79"/>
      <c r="J222" s="198">
        <f>SUMIF(Journals!D$14:D$920,TrialBalance!P222,Journals!J$14:J$920)+SUMIF(Journals!E$14:E$920,TrialBalance!P222,Journals!J$14:J$920)</f>
        <v>0</v>
      </c>
      <c r="K222" s="253"/>
      <c r="L222" s="255">
        <f t="shared" ref="L222:L223" si="44">ROUND(D222-E222+F222+G222+H222+J222+I222,0)</f>
        <v>0</v>
      </c>
      <c r="M222" s="75"/>
      <c r="N222" s="48">
        <f t="shared" ref="N222:N223" si="45">ROUND(SUM(A222),0)</f>
        <v>0</v>
      </c>
      <c r="P222" s="140" t="str">
        <f t="shared" ref="P222:P223" si="46">CONCATENATE(B222,C222)</f>
        <v>5700/021Opening balance depreciation tax rate change</v>
      </c>
      <c r="Q222" s="70"/>
      <c r="R222" s="31"/>
      <c r="S222" s="71"/>
      <c r="T222" s="51"/>
      <c r="U222" s="31"/>
    </row>
    <row r="223" spans="1:21" x14ac:dyDescent="0.2">
      <c r="A223" s="392"/>
      <c r="B223" s="90" t="s">
        <v>1098</v>
      </c>
      <c r="C223" s="242" t="s">
        <v>1099</v>
      </c>
      <c r="D223" s="250"/>
      <c r="E223" s="251"/>
      <c r="F223" s="132">
        <f>TrialBalanceA!I223</f>
        <v>0</v>
      </c>
      <c r="G223" s="132">
        <f>TrialBalanceB!I223</f>
        <v>0</v>
      </c>
      <c r="H223" s="132">
        <f>TrialBalanceC!I223</f>
        <v>0</v>
      </c>
      <c r="I223" s="79"/>
      <c r="J223" s="198">
        <f>SUMIF(Journals!D$14:D$920,TrialBalance!P223,Journals!J$14:J$920)+SUMIF(Journals!E$14:E$920,TrialBalance!P223,Journals!J$14:J$920)</f>
        <v>0</v>
      </c>
      <c r="K223" s="253"/>
      <c r="L223" s="255">
        <f t="shared" si="44"/>
        <v>0</v>
      </c>
      <c r="M223" s="75"/>
      <c r="N223" s="48">
        <f t="shared" si="45"/>
        <v>0</v>
      </c>
      <c r="P223" s="140" t="str">
        <f t="shared" si="46"/>
        <v>5700/022Opening balance tax loss tax rate change</v>
      </c>
      <c r="Q223" s="70"/>
      <c r="R223" s="31"/>
      <c r="S223" s="71"/>
      <c r="T223" s="51"/>
      <c r="U223" s="31"/>
    </row>
    <row r="224" spans="1:21" x14ac:dyDescent="0.2">
      <c r="A224" s="393"/>
      <c r="B224" s="90" t="s">
        <v>636</v>
      </c>
      <c r="C224" s="240" t="s">
        <v>147</v>
      </c>
      <c r="D224" s="250"/>
      <c r="E224" s="251"/>
      <c r="F224" s="132">
        <f>TrialBalanceA!I224</f>
        <v>0</v>
      </c>
      <c r="G224" s="132">
        <f>TrialBalanceB!I224</f>
        <v>0</v>
      </c>
      <c r="H224" s="132">
        <f>TrialBalanceC!I224</f>
        <v>0</v>
      </c>
      <c r="I224" s="79"/>
      <c r="J224" s="198">
        <f>SUMIF(Journals!D$14:D$920,TrialBalance!P224,Journals!J$14:J$920)+SUMIF(Journals!E$14:E$920,TrialBalance!P224,Journals!J$14:J$920)</f>
        <v>0</v>
      </c>
      <c r="K224" s="253"/>
      <c r="L224" s="255">
        <f t="shared" si="41"/>
        <v>0</v>
      </c>
      <c r="M224" s="75"/>
      <c r="N224" s="48">
        <f t="shared" si="42"/>
        <v>0</v>
      </c>
      <c r="P224" s="140" t="str">
        <f t="shared" si="39"/>
        <v>5700/030Deferred tax on depreciation for year</v>
      </c>
      <c r="Q224" s="70"/>
      <c r="R224" s="31"/>
      <c r="S224" s="71"/>
      <c r="T224" s="51"/>
      <c r="U224" s="31"/>
    </row>
    <row r="225" spans="1:21" x14ac:dyDescent="0.2">
      <c r="A225" s="393"/>
      <c r="B225" s="90" t="s">
        <v>637</v>
      </c>
      <c r="C225" s="240" t="s">
        <v>148</v>
      </c>
      <c r="D225" s="250"/>
      <c r="E225" s="251"/>
      <c r="F225" s="132">
        <f>TrialBalanceA!I225</f>
        <v>0</v>
      </c>
      <c r="G225" s="132">
        <f>TrialBalanceB!I225</f>
        <v>0</v>
      </c>
      <c r="H225" s="132">
        <f>TrialBalanceC!I225</f>
        <v>0</v>
      </c>
      <c r="I225" s="79"/>
      <c r="J225" s="198">
        <f>SUMIF(Journals!D$14:D$920,TrialBalance!P225,Journals!J$14:J$920)+SUMIF(Journals!E$14:E$920,TrialBalance!P225,Journals!J$14:J$920)</f>
        <v>0</v>
      </c>
      <c r="K225" s="253"/>
      <c r="L225" s="255">
        <f t="shared" si="41"/>
        <v>0</v>
      </c>
      <c r="M225" s="75"/>
      <c r="N225" s="48">
        <f t="shared" si="42"/>
        <v>0</v>
      </c>
      <c r="P225" s="140" t="str">
        <f t="shared" si="39"/>
        <v>5700/040Deferred tax on tax loss for year</v>
      </c>
      <c r="Q225" s="70"/>
      <c r="R225" s="31"/>
      <c r="S225" s="71"/>
      <c r="T225" s="51"/>
      <c r="U225" s="31"/>
    </row>
    <row r="226" spans="1:21" x14ac:dyDescent="0.2">
      <c r="A226" s="393"/>
      <c r="B226" s="90" t="s">
        <v>638</v>
      </c>
      <c r="C226" s="242" t="s">
        <v>617</v>
      </c>
      <c r="D226" s="250"/>
      <c r="E226" s="251"/>
      <c r="F226" s="132">
        <f>TrialBalanceA!I226</f>
        <v>0</v>
      </c>
      <c r="G226" s="132">
        <f>TrialBalanceB!I226</f>
        <v>0</v>
      </c>
      <c r="H226" s="132">
        <f>TrialBalanceC!I226</f>
        <v>0</v>
      </c>
      <c r="I226" s="79"/>
      <c r="J226" s="198">
        <f>SUMIF(Journals!D$14:D$920,TrialBalance!P226,Journals!J$14:J$920)+SUMIF(Journals!E$14:E$920,TrialBalance!P226,Journals!J$14:J$920)</f>
        <v>0</v>
      </c>
      <c r="K226" s="253"/>
      <c r="L226" s="255">
        <f t="shared" si="41"/>
        <v>0</v>
      </c>
      <c r="M226" s="75"/>
      <c r="N226" s="48">
        <f t="shared" si="42"/>
        <v>0</v>
      </c>
      <c r="P226" s="140" t="str">
        <f t="shared" si="39"/>
        <v>5700/050Def tax adj  depreciation previous year</v>
      </c>
      <c r="Q226" s="70"/>
      <c r="R226" s="31"/>
      <c r="S226" s="71"/>
      <c r="T226" s="51"/>
      <c r="U226" s="31"/>
    </row>
    <row r="227" spans="1:21" x14ac:dyDescent="0.2">
      <c r="A227" s="393"/>
      <c r="B227" s="90" t="s">
        <v>639</v>
      </c>
      <c r="C227" s="242" t="s">
        <v>618</v>
      </c>
      <c r="D227" s="250"/>
      <c r="E227" s="251"/>
      <c r="F227" s="132">
        <f>TrialBalanceA!I227</f>
        <v>0</v>
      </c>
      <c r="G227" s="132">
        <f>TrialBalanceB!I227</f>
        <v>0</v>
      </c>
      <c r="H227" s="132">
        <f>TrialBalanceC!I227</f>
        <v>0</v>
      </c>
      <c r="I227" s="79"/>
      <c r="J227" s="198">
        <f>SUMIF(Journals!D$14:D$920,TrialBalance!P227,Journals!J$14:J$920)+SUMIF(Journals!E$14:E$920,TrialBalance!P227,Journals!J$14:J$920)</f>
        <v>0</v>
      </c>
      <c r="K227" s="253"/>
      <c r="L227" s="255">
        <f t="shared" si="41"/>
        <v>0</v>
      </c>
      <c r="M227" s="75"/>
      <c r="N227" s="48">
        <f t="shared" si="42"/>
        <v>0</v>
      </c>
      <c r="P227" s="140" t="str">
        <f t="shared" si="39"/>
        <v>5700/060Def tax adj tax loss previous year</v>
      </c>
      <c r="Q227" s="70"/>
      <c r="R227" s="31"/>
      <c r="S227" s="71"/>
      <c r="T227" s="51"/>
      <c r="U227" s="31"/>
    </row>
    <row r="228" spans="1:21" x14ac:dyDescent="0.2">
      <c r="A228" s="392"/>
      <c r="B228" s="54" t="s">
        <v>149</v>
      </c>
      <c r="C228" s="239" t="s">
        <v>1129</v>
      </c>
      <c r="D228" s="250"/>
      <c r="E228" s="251"/>
      <c r="F228" s="132"/>
      <c r="G228" s="132"/>
      <c r="H228" s="132"/>
      <c r="I228" s="79"/>
      <c r="J228" s="198">
        <f>SUMIF(Journals!D$14:D$920,TrialBalance!P228,Journals!J$14:J$920)+SUMIF(Journals!E$14:E$920,TrialBalance!P228,Journals!J$14:J$920)</f>
        <v>0</v>
      </c>
      <c r="K228" s="254" t="s">
        <v>588</v>
      </c>
      <c r="L228" s="255">
        <f t="shared" si="41"/>
        <v>0</v>
      </c>
      <c r="M228" s="75"/>
      <c r="N228" s="48">
        <f t="shared" si="42"/>
        <v>0</v>
      </c>
      <c r="P228" s="140" t="str">
        <f t="shared" si="39"/>
        <v>6100/000PROPERTY - COST</v>
      </c>
      <c r="Q228" s="70"/>
      <c r="R228" s="31"/>
      <c r="S228" s="71"/>
      <c r="T228" s="51"/>
      <c r="U228" s="31"/>
    </row>
    <row r="229" spans="1:21" x14ac:dyDescent="0.2">
      <c r="A229" s="392"/>
      <c r="B229" s="54" t="s">
        <v>150</v>
      </c>
      <c r="C229" s="242" t="s">
        <v>1124</v>
      </c>
      <c r="D229" s="250"/>
      <c r="E229" s="251"/>
      <c r="F229" s="132"/>
      <c r="G229" s="132"/>
      <c r="H229" s="132"/>
      <c r="I229" s="79">
        <f>SUM(N229:N233)</f>
        <v>0</v>
      </c>
      <c r="J229" s="198">
        <f>SUMIF(Journals!D$14:D$920,TrialBalance!P229,Journals!J$14:J$920)+SUMIF(Journals!E$14:E$920,TrialBalance!P229,Journals!J$14:J$920)</f>
        <v>0</v>
      </c>
      <c r="K229" s="253"/>
      <c r="L229" s="255">
        <f t="shared" si="41"/>
        <v>0</v>
      </c>
      <c r="M229" s="75"/>
      <c r="N229" s="48">
        <f t="shared" si="42"/>
        <v>0</v>
      </c>
      <c r="P229" s="140" t="str">
        <f t="shared" si="39"/>
        <v>6100/001Property - cost b/fwd</v>
      </c>
      <c r="Q229" s="70"/>
      <c r="R229" s="31"/>
      <c r="S229" s="71"/>
      <c r="T229" s="51"/>
      <c r="U229" s="31"/>
    </row>
    <row r="230" spans="1:21" x14ac:dyDescent="0.2">
      <c r="A230" s="392"/>
      <c r="B230" s="54" t="s">
        <v>151</v>
      </c>
      <c r="C230" s="242" t="s">
        <v>1125</v>
      </c>
      <c r="D230" s="250"/>
      <c r="E230" s="250"/>
      <c r="F230" s="132">
        <f>TrialBalanceA!I230</f>
        <v>0</v>
      </c>
      <c r="G230" s="132">
        <f>TrialBalanceB!I230</f>
        <v>0</v>
      </c>
      <c r="H230" s="132">
        <f>TrialBalanceC!I230</f>
        <v>0</v>
      </c>
      <c r="I230" s="79"/>
      <c r="J230" s="198">
        <f>SUMIF(Journals!D$14:D$920,TrialBalance!P230,Journals!J$14:J$920)+SUMIF(Journals!E$14:E$920,TrialBalance!P230,Journals!J$14:J$920)</f>
        <v>0</v>
      </c>
      <c r="K230" s="253"/>
      <c r="L230" s="255">
        <f t="shared" si="41"/>
        <v>0</v>
      </c>
      <c r="M230" s="75"/>
      <c r="N230" s="48">
        <f t="shared" si="42"/>
        <v>0</v>
      </c>
      <c r="P230" s="140" t="str">
        <f t="shared" si="39"/>
        <v>6100/002Property - additions</v>
      </c>
      <c r="Q230" s="70"/>
      <c r="R230" s="31"/>
      <c r="S230" s="71"/>
      <c r="T230" s="51"/>
      <c r="U230" s="31"/>
    </row>
    <row r="231" spans="1:21" x14ac:dyDescent="0.2">
      <c r="A231" s="392"/>
      <c r="B231" s="54" t="s">
        <v>152</v>
      </c>
      <c r="C231" s="242" t="s">
        <v>1126</v>
      </c>
      <c r="D231" s="250"/>
      <c r="E231" s="251"/>
      <c r="F231" s="132">
        <f>TrialBalanceA!I231</f>
        <v>0</v>
      </c>
      <c r="G231" s="132">
        <f>TrialBalanceB!I231</f>
        <v>0</v>
      </c>
      <c r="H231" s="132">
        <f>TrialBalanceC!I231</f>
        <v>0</v>
      </c>
      <c r="I231" s="79"/>
      <c r="J231" s="198">
        <f>SUMIF(Journals!D$14:D$920,TrialBalance!P231,Journals!J$14:J$920)+SUMIF(Journals!E$14:E$920,TrialBalance!P231,Journals!J$14:J$920)</f>
        <v>0</v>
      </c>
      <c r="K231" s="253"/>
      <c r="L231" s="255">
        <f t="shared" si="41"/>
        <v>0</v>
      </c>
      <c r="M231" s="75"/>
      <c r="N231" s="48">
        <f t="shared" si="42"/>
        <v>0</v>
      </c>
      <c r="P231" s="140" t="str">
        <f t="shared" si="39"/>
        <v>6100/003Property - cost of sales</v>
      </c>
      <c r="Q231" s="70"/>
      <c r="R231" s="31"/>
      <c r="S231" s="71"/>
      <c r="T231" s="51"/>
      <c r="U231" s="31"/>
    </row>
    <row r="232" spans="1:21" x14ac:dyDescent="0.2">
      <c r="A232" s="392"/>
      <c r="B232" s="90" t="s">
        <v>994</v>
      </c>
      <c r="C232" s="242" t="s">
        <v>1127</v>
      </c>
      <c r="D232" s="250"/>
      <c r="E232" s="251"/>
      <c r="F232" s="132">
        <f>TrialBalanceA!I232</f>
        <v>0</v>
      </c>
      <c r="G232" s="132">
        <f>TrialBalanceB!I232</f>
        <v>0</v>
      </c>
      <c r="H232" s="132">
        <f>TrialBalanceC!I232</f>
        <v>0</v>
      </c>
      <c r="I232" s="79"/>
      <c r="J232" s="198">
        <f>SUMIF(Journals!D$14:D$920,TrialBalance!P232,Journals!J$14:J$920)+SUMIF(Journals!E$14:E$920,TrialBalance!P232,Journals!J$14:J$920)</f>
        <v>0</v>
      </c>
      <c r="K232" s="253"/>
      <c r="L232" s="255">
        <f t="shared" ref="L232" si="47">ROUND(D232-E232+F232+G232+H232+J232+I232,0)</f>
        <v>0</v>
      </c>
      <c r="M232" s="75"/>
      <c r="N232" s="48">
        <f t="shared" ref="N232" si="48">ROUND(SUM(A232),0)</f>
        <v>0</v>
      </c>
      <c r="P232" s="140" t="str">
        <f t="shared" ref="P232" si="49">CONCATENATE(B232,C232)</f>
        <v>6100/004Property - transfer to investment property</v>
      </c>
      <c r="Q232" s="70"/>
      <c r="R232" s="31"/>
      <c r="S232" s="71"/>
      <c r="T232" s="51"/>
      <c r="U232" s="31"/>
    </row>
    <row r="233" spans="1:21" x14ac:dyDescent="0.2">
      <c r="A233" s="392"/>
      <c r="B233" s="90" t="s">
        <v>1082</v>
      </c>
      <c r="C233" s="242" t="s">
        <v>1128</v>
      </c>
      <c r="D233" s="250"/>
      <c r="E233" s="251"/>
      <c r="F233" s="132">
        <f>TrialBalanceA!I233</f>
        <v>0</v>
      </c>
      <c r="G233" s="132">
        <f>TrialBalanceB!I233</f>
        <v>0</v>
      </c>
      <c r="H233" s="132">
        <f>TrialBalanceC!I233</f>
        <v>0</v>
      </c>
      <c r="I233" s="79"/>
      <c r="J233" s="198">
        <f>SUMIF(Journals!D$14:D$920,TrialBalance!P233,Journals!J$14:J$920)+SUMIF(Journals!E$14:E$920,TrialBalance!P233,Journals!J$14:J$920)</f>
        <v>0</v>
      </c>
      <c r="K233" s="253"/>
      <c r="L233" s="255">
        <f t="shared" ref="L233" si="50">ROUND(D233-E233+F233+G233+H233+J233+I233,0)</f>
        <v>0</v>
      </c>
      <c r="M233" s="75"/>
      <c r="N233" s="48">
        <f t="shared" ref="N233" si="51">ROUND(SUM(A233),0)</f>
        <v>0</v>
      </c>
      <c r="P233" s="140" t="str">
        <f t="shared" ref="P233" si="52">CONCATENATE(B233,C233)</f>
        <v>6100/005Property - transfer from investment property</v>
      </c>
      <c r="Q233" s="70"/>
      <c r="R233" s="31"/>
      <c r="S233" s="71"/>
      <c r="T233" s="51"/>
      <c r="U233" s="31"/>
    </row>
    <row r="234" spans="1:21" x14ac:dyDescent="0.2">
      <c r="A234" s="392"/>
      <c r="B234" s="54" t="s">
        <v>284</v>
      </c>
      <c r="C234" s="239" t="s">
        <v>1130</v>
      </c>
      <c r="D234" s="250"/>
      <c r="E234" s="251"/>
      <c r="F234" s="132"/>
      <c r="G234" s="132"/>
      <c r="H234" s="132"/>
      <c r="I234" s="79"/>
      <c r="J234" s="198">
        <f>SUMIF(Journals!D$14:D$920,TrialBalance!P234,Journals!J$14:J$920)+SUMIF(Journals!E$14:E$920,TrialBalance!P234,Journals!J$14:J$920)</f>
        <v>0</v>
      </c>
      <c r="K234" s="253"/>
      <c r="L234" s="255">
        <f t="shared" si="41"/>
        <v>0</v>
      </c>
      <c r="M234" s="75"/>
      <c r="N234" s="48">
        <f t="shared" si="42"/>
        <v>0</v>
      </c>
      <c r="P234" s="140" t="str">
        <f t="shared" si="39"/>
        <v>6100/020PROPERTY - ACC DEPR</v>
      </c>
      <c r="Q234" s="70"/>
      <c r="R234" s="31"/>
      <c r="S234" s="71"/>
      <c r="T234" s="51"/>
      <c r="U234" s="31"/>
    </row>
    <row r="235" spans="1:21" x14ac:dyDescent="0.2">
      <c r="A235" s="392"/>
      <c r="B235" s="54" t="s">
        <v>285</v>
      </c>
      <c r="C235" s="242" t="s">
        <v>1131</v>
      </c>
      <c r="D235" s="250"/>
      <c r="E235" s="251"/>
      <c r="F235" s="132"/>
      <c r="G235" s="132"/>
      <c r="H235" s="132"/>
      <c r="I235" s="79">
        <f>SUM(N235:N238)</f>
        <v>0</v>
      </c>
      <c r="J235" s="198">
        <f>SUMIF(Journals!D$14:D$920,TrialBalance!P235,Journals!J$14:J$920)+SUMIF(Journals!E$14:E$920,TrialBalance!P235,Journals!J$14:J$920)</f>
        <v>0</v>
      </c>
      <c r="K235" s="253"/>
      <c r="L235" s="255">
        <f t="shared" si="41"/>
        <v>0</v>
      </c>
      <c r="M235" s="75"/>
      <c r="N235" s="48">
        <f t="shared" si="42"/>
        <v>0</v>
      </c>
      <c r="P235" s="140" t="str">
        <f t="shared" si="39"/>
        <v>6100/021Property - acc depr b/fwd</v>
      </c>
      <c r="Q235" s="70"/>
      <c r="R235" s="31"/>
      <c r="S235" s="71"/>
      <c r="T235" s="51"/>
      <c r="U235" s="31"/>
    </row>
    <row r="236" spans="1:21" x14ac:dyDescent="0.2">
      <c r="A236" s="392"/>
      <c r="B236" s="54" t="s">
        <v>286</v>
      </c>
      <c r="C236" s="242" t="s">
        <v>1132</v>
      </c>
      <c r="D236" s="250"/>
      <c r="E236" s="251"/>
      <c r="F236" s="132">
        <f>TrialBalanceA!I236</f>
        <v>0</v>
      </c>
      <c r="G236" s="132">
        <f>TrialBalanceB!I236</f>
        <v>0</v>
      </c>
      <c r="H236" s="132">
        <f>TrialBalanceC!I236</f>
        <v>0</v>
      </c>
      <c r="I236" s="79"/>
      <c r="J236" s="198">
        <f>SUMIF(Journals!D$14:D$920,TrialBalance!P236,Journals!J$14:J$920)+SUMIF(Journals!E$14:E$920,TrialBalance!P236,Journals!J$14:J$920)</f>
        <v>0</v>
      </c>
      <c r="K236" s="253"/>
      <c r="L236" s="255">
        <f t="shared" si="41"/>
        <v>0</v>
      </c>
      <c r="M236" s="75"/>
      <c r="N236" s="48">
        <f t="shared" si="42"/>
        <v>0</v>
      </c>
      <c r="P236" s="140" t="str">
        <f t="shared" ref="P236:P275" si="53">CONCATENATE(B236,C236)</f>
        <v>6100/022Property - depr this year</v>
      </c>
      <c r="Q236" s="70"/>
      <c r="R236" s="31"/>
      <c r="S236" s="71"/>
      <c r="T236" s="51"/>
      <c r="U236" s="31"/>
    </row>
    <row r="237" spans="1:21" x14ac:dyDescent="0.2">
      <c r="A237" s="392"/>
      <c r="B237" s="54" t="s">
        <v>288</v>
      </c>
      <c r="C237" s="242" t="s">
        <v>1133</v>
      </c>
      <c r="D237" s="250"/>
      <c r="E237" s="251"/>
      <c r="F237" s="132">
        <f>TrialBalanceA!I237</f>
        <v>0</v>
      </c>
      <c r="G237" s="132">
        <f>TrialBalanceB!I237</f>
        <v>0</v>
      </c>
      <c r="H237" s="132">
        <f>TrialBalanceC!I237</f>
        <v>0</v>
      </c>
      <c r="I237" s="79"/>
      <c r="J237" s="198">
        <f>SUMIF(Journals!D$14:D$920,TrialBalance!P237,Journals!J$14:J$920)+SUMIF(Journals!E$14:E$920,TrialBalance!P237,Journals!J$14:J$920)</f>
        <v>0</v>
      </c>
      <c r="K237" s="253"/>
      <c r="L237" s="255">
        <f t="shared" si="41"/>
        <v>0</v>
      </c>
      <c r="M237" s="75"/>
      <c r="N237" s="48">
        <f t="shared" si="42"/>
        <v>0</v>
      </c>
      <c r="P237" s="140" t="str">
        <f t="shared" si="53"/>
        <v>6100/023Property - acc depr on sales</v>
      </c>
      <c r="Q237" s="70"/>
      <c r="R237" s="31"/>
      <c r="S237" s="71"/>
      <c r="T237" s="51"/>
      <c r="U237" s="31"/>
    </row>
    <row r="238" spans="1:21" x14ac:dyDescent="0.2">
      <c r="A238" s="392"/>
      <c r="B238" s="90" t="s">
        <v>1072</v>
      </c>
      <c r="C238" s="242" t="s">
        <v>1134</v>
      </c>
      <c r="D238" s="250"/>
      <c r="E238" s="251"/>
      <c r="F238" s="132">
        <f>TrialBalanceA!I238</f>
        <v>0</v>
      </c>
      <c r="G238" s="132">
        <f>TrialBalanceB!I238</f>
        <v>0</v>
      </c>
      <c r="H238" s="132">
        <f>TrialBalanceC!I238</f>
        <v>0</v>
      </c>
      <c r="I238" s="79"/>
      <c r="J238" s="198">
        <f>SUMIF(Journals!D$14:D$920,TrialBalance!P238,Journals!J$14:J$920)+SUMIF(Journals!E$14:E$920,TrialBalance!P238,Journals!J$14:J$920)</f>
        <v>0</v>
      </c>
      <c r="K238" s="253"/>
      <c r="L238" s="255">
        <f t="shared" ref="L238" si="54">ROUND(D238-E238+F238+G238+H238+J238+I238,0)</f>
        <v>0</v>
      </c>
      <c r="M238" s="75"/>
      <c r="N238" s="48">
        <f t="shared" ref="N238" si="55">ROUND(SUM(A238),0)</f>
        <v>0</v>
      </c>
      <c r="P238" s="140" t="str">
        <f t="shared" ref="P238" si="56">CONCATENATE(B238,C238)</f>
        <v>6100/024Property - recoupment of depr</v>
      </c>
      <c r="Q238" s="70"/>
      <c r="R238" s="31"/>
      <c r="S238" s="71"/>
      <c r="T238" s="51"/>
      <c r="U238" s="31"/>
    </row>
    <row r="239" spans="1:21" x14ac:dyDescent="0.2">
      <c r="A239" s="392"/>
      <c r="B239" s="90" t="s">
        <v>696</v>
      </c>
      <c r="C239" s="239" t="s">
        <v>989</v>
      </c>
      <c r="D239" s="250"/>
      <c r="E239" s="251"/>
      <c r="F239" s="132"/>
      <c r="G239" s="132"/>
      <c r="H239" s="132"/>
      <c r="I239" s="79"/>
      <c r="J239" s="198">
        <f>SUMIF(Journals!D$14:D$920,TrialBalance!P239,Journals!J$14:J$920)+SUMIF(Journals!E$14:E$920,TrialBalance!P239,Journals!J$14:J$920)</f>
        <v>0</v>
      </c>
      <c r="K239" s="253"/>
      <c r="L239" s="255">
        <f t="shared" ref="L239:L243" si="57">ROUND(D239-E239+F239+G239+H239+J239+I239,0)</f>
        <v>0</v>
      </c>
      <c r="M239" s="75"/>
      <c r="N239" s="48">
        <f t="shared" ref="N239:N243" si="58">ROUND(SUM(A239),0)</f>
        <v>0</v>
      </c>
      <c r="P239" s="140" t="str">
        <f t="shared" ref="P239:P243" si="59">CONCATENATE(B239,C239)</f>
        <v>6100/030INVESTMENT PROPERTY - COST</v>
      </c>
      <c r="Q239" s="70"/>
      <c r="R239" s="31"/>
      <c r="S239" s="71"/>
      <c r="T239" s="51"/>
      <c r="U239" s="31"/>
    </row>
    <row r="240" spans="1:21" x14ac:dyDescent="0.2">
      <c r="A240" s="392"/>
      <c r="B240" s="90" t="s">
        <v>697</v>
      </c>
      <c r="C240" s="242" t="s">
        <v>990</v>
      </c>
      <c r="D240" s="250"/>
      <c r="E240" s="251"/>
      <c r="F240" s="132"/>
      <c r="G240" s="132"/>
      <c r="H240" s="132"/>
      <c r="I240" s="79">
        <f>SUM(N240:N244)</f>
        <v>0</v>
      </c>
      <c r="J240" s="198">
        <f>SUMIF(Journals!D$14:D$920,TrialBalance!P240,Journals!J$14:J$920)+SUMIF(Journals!E$14:E$920,TrialBalance!P240,Journals!J$14:J$920)</f>
        <v>0</v>
      </c>
      <c r="K240" s="253"/>
      <c r="L240" s="255">
        <f t="shared" si="57"/>
        <v>0</v>
      </c>
      <c r="M240" s="75"/>
      <c r="N240" s="48">
        <f t="shared" si="58"/>
        <v>0</v>
      </c>
      <c r="P240" s="140" t="str">
        <f t="shared" si="59"/>
        <v>6100/031Investment property - cost b/fwd</v>
      </c>
      <c r="Q240" s="70"/>
      <c r="R240" s="31"/>
      <c r="S240" s="71"/>
      <c r="T240" s="51"/>
      <c r="U240" s="31"/>
    </row>
    <row r="241" spans="1:21" x14ac:dyDescent="0.2">
      <c r="A241" s="392"/>
      <c r="B241" s="90" t="s">
        <v>698</v>
      </c>
      <c r="C241" s="242" t="s">
        <v>991</v>
      </c>
      <c r="D241" s="250"/>
      <c r="E241" s="251"/>
      <c r="F241" s="132">
        <f>TrialBalanceA!I241</f>
        <v>0</v>
      </c>
      <c r="G241" s="132">
        <f>TrialBalanceB!I241</f>
        <v>0</v>
      </c>
      <c r="H241" s="132">
        <f>TrialBalanceC!I241</f>
        <v>0</v>
      </c>
      <c r="I241" s="79"/>
      <c r="J241" s="198">
        <f>SUMIF(Journals!D$14:D$920,TrialBalance!P241,Journals!J$14:J$920)+SUMIF(Journals!E$14:E$920,TrialBalance!P241,Journals!J$14:J$920)</f>
        <v>0</v>
      </c>
      <c r="K241" s="253"/>
      <c r="L241" s="255">
        <f t="shared" si="57"/>
        <v>0</v>
      </c>
      <c r="M241" s="75"/>
      <c r="N241" s="48">
        <f t="shared" si="58"/>
        <v>0</v>
      </c>
      <c r="P241" s="140" t="str">
        <f t="shared" si="59"/>
        <v>6100/032Investment property - additions</v>
      </c>
      <c r="Q241" s="70"/>
      <c r="R241" s="31"/>
      <c r="S241" s="71"/>
      <c r="T241" s="51"/>
      <c r="U241" s="31"/>
    </row>
    <row r="242" spans="1:21" x14ac:dyDescent="0.2">
      <c r="A242" s="392"/>
      <c r="B242" s="90" t="s">
        <v>699</v>
      </c>
      <c r="C242" s="242" t="s">
        <v>992</v>
      </c>
      <c r="D242" s="250"/>
      <c r="E242" s="251"/>
      <c r="F242" s="132">
        <f>TrialBalanceA!I242</f>
        <v>0</v>
      </c>
      <c r="G242" s="132">
        <f>TrialBalanceB!I242</f>
        <v>0</v>
      </c>
      <c r="H242" s="132">
        <f>TrialBalanceC!I242</f>
        <v>0</v>
      </c>
      <c r="I242" s="79"/>
      <c r="J242" s="198">
        <f>SUMIF(Journals!D$14:D$920,TrialBalance!P242,Journals!J$14:J$920)+SUMIF(Journals!E$14:E$920,TrialBalance!P242,Journals!J$14:J$920)</f>
        <v>0</v>
      </c>
      <c r="K242" s="253"/>
      <c r="L242" s="255">
        <f t="shared" si="57"/>
        <v>0</v>
      </c>
      <c r="M242" s="75"/>
      <c r="N242" s="48">
        <f t="shared" si="58"/>
        <v>0</v>
      </c>
      <c r="P242" s="140" t="str">
        <f t="shared" si="59"/>
        <v>6100/033Investment property - cost of sales</v>
      </c>
      <c r="Q242" s="70"/>
      <c r="R242" s="31"/>
      <c r="S242" s="71"/>
      <c r="T242" s="51"/>
      <c r="U242" s="31"/>
    </row>
    <row r="243" spans="1:21" x14ac:dyDescent="0.2">
      <c r="A243" s="392"/>
      <c r="B243" s="90" t="s">
        <v>1064</v>
      </c>
      <c r="C243" s="242" t="s">
        <v>993</v>
      </c>
      <c r="D243" s="250"/>
      <c r="E243" s="251"/>
      <c r="F243" s="132">
        <f>TrialBalanceA!I243</f>
        <v>0</v>
      </c>
      <c r="G243" s="132">
        <f>TrialBalanceB!I243</f>
        <v>0</v>
      </c>
      <c r="H243" s="132">
        <f>TrialBalanceC!I243</f>
        <v>0</v>
      </c>
      <c r="I243" s="79"/>
      <c r="J243" s="198">
        <f>SUMIF(Journals!D$14:D$920,TrialBalance!P243,Journals!J$14:J$920)+SUMIF(Journals!E$14:E$920,TrialBalance!P243,Journals!J$14:J$920)</f>
        <v>0</v>
      </c>
      <c r="K243" s="253"/>
      <c r="L243" s="255">
        <f t="shared" si="57"/>
        <v>0</v>
      </c>
      <c r="M243" s="75"/>
      <c r="N243" s="48">
        <f t="shared" si="58"/>
        <v>0</v>
      </c>
      <c r="P243" s="140" t="str">
        <f t="shared" si="59"/>
        <v>6100/034Investment property - transfer from property</v>
      </c>
      <c r="Q243" s="70"/>
      <c r="R243" s="31"/>
      <c r="S243" s="71"/>
      <c r="T243" s="51"/>
      <c r="U243" s="31"/>
    </row>
    <row r="244" spans="1:21" x14ac:dyDescent="0.2">
      <c r="A244" s="392"/>
      <c r="B244" s="90" t="s">
        <v>1083</v>
      </c>
      <c r="C244" s="242" t="s">
        <v>1084</v>
      </c>
      <c r="D244" s="250"/>
      <c r="E244" s="251"/>
      <c r="F244" s="132">
        <f>TrialBalanceA!I244</f>
        <v>0</v>
      </c>
      <c r="G244" s="132">
        <f>TrialBalanceB!I244</f>
        <v>0</v>
      </c>
      <c r="H244" s="132">
        <f>TrialBalanceC!I244</f>
        <v>0</v>
      </c>
      <c r="I244" s="79"/>
      <c r="J244" s="198">
        <f>SUMIF(Journals!D$14:D$920,TrialBalance!P244,Journals!J$14:J$920)+SUMIF(Journals!E$14:E$920,TrialBalance!P244,Journals!J$14:J$920)</f>
        <v>0</v>
      </c>
      <c r="K244" s="253"/>
      <c r="L244" s="255">
        <f t="shared" ref="L244" si="60">ROUND(D244-E244+F244+G244+H244+J244+I244,0)</f>
        <v>0</v>
      </c>
      <c r="M244" s="75"/>
      <c r="N244" s="48">
        <f t="shared" ref="N244" si="61">ROUND(SUM(A244),0)</f>
        <v>0</v>
      </c>
      <c r="P244" s="140" t="str">
        <f t="shared" ref="P244" si="62">CONCATENATE(B244,C244)</f>
        <v>6100/035Investment property - transfer to property</v>
      </c>
      <c r="Q244" s="70"/>
      <c r="R244" s="31"/>
      <c r="S244" s="71"/>
      <c r="T244" s="51"/>
      <c r="U244" s="31"/>
    </row>
    <row r="245" spans="1:21" x14ac:dyDescent="0.2">
      <c r="A245" s="392"/>
      <c r="B245" s="90" t="s">
        <v>1065</v>
      </c>
      <c r="C245" s="239" t="s">
        <v>1069</v>
      </c>
      <c r="D245" s="250"/>
      <c r="E245" s="251"/>
      <c r="F245" s="132"/>
      <c r="G245" s="132"/>
      <c r="H245" s="132"/>
      <c r="I245" s="79"/>
      <c r="J245" s="198">
        <f>SUMIF(Journals!D$14:D$920,TrialBalance!P245,Journals!J$14:J$920)+SUMIF(Journals!E$14:E$920,TrialBalance!P245,Journals!J$14:J$920)</f>
        <v>0</v>
      </c>
      <c r="K245" s="254"/>
      <c r="L245" s="255">
        <f t="shared" ref="L245:L249" si="63">ROUND(D245-E245+F245+G245+H245+J245+I245,0)</f>
        <v>0</v>
      </c>
      <c r="M245" s="75"/>
      <c r="N245" s="48">
        <f t="shared" si="42"/>
        <v>0</v>
      </c>
      <c r="P245" s="140" t="str">
        <f t="shared" si="53"/>
        <v>6100/040INVESTMENT PROPERTY - VALUATION</v>
      </c>
      <c r="Q245" s="70"/>
      <c r="R245" s="31"/>
      <c r="S245" s="71"/>
      <c r="T245" s="51"/>
      <c r="U245" s="31"/>
    </row>
    <row r="246" spans="1:21" x14ac:dyDescent="0.2">
      <c r="A246" s="392"/>
      <c r="B246" s="90" t="s">
        <v>1066</v>
      </c>
      <c r="C246" s="242" t="s">
        <v>1070</v>
      </c>
      <c r="D246" s="250"/>
      <c r="E246" s="251"/>
      <c r="F246" s="132"/>
      <c r="G246" s="132"/>
      <c r="H246" s="132"/>
      <c r="I246" s="79">
        <f>SUM(N246:N249)</f>
        <v>0</v>
      </c>
      <c r="J246" s="198">
        <f>SUMIF(Journals!D$14:D$920,TrialBalance!P246,Journals!J$14:J$920)+SUMIF(Journals!E$14:E$920,TrialBalance!P246,Journals!J$14:J$920)</f>
        <v>0</v>
      </c>
      <c r="K246" s="253"/>
      <c r="L246" s="255">
        <f t="shared" si="63"/>
        <v>0</v>
      </c>
      <c r="M246" s="75"/>
      <c r="N246" s="48">
        <f t="shared" si="42"/>
        <v>0</v>
      </c>
      <c r="P246" s="140" t="str">
        <f t="shared" si="53"/>
        <v>6100/041Investment property - valuation b/fwd</v>
      </c>
      <c r="Q246" s="70"/>
      <c r="R246" s="31"/>
      <c r="S246" s="71"/>
      <c r="T246" s="51"/>
      <c r="U246" s="31"/>
    </row>
    <row r="247" spans="1:21" x14ac:dyDescent="0.2">
      <c r="A247" s="392"/>
      <c r="B247" s="90" t="s">
        <v>1067</v>
      </c>
      <c r="C247" s="242" t="s">
        <v>1071</v>
      </c>
      <c r="D247" s="250"/>
      <c r="E247" s="251"/>
      <c r="F247" s="132">
        <f>TrialBalanceA!I247</f>
        <v>0</v>
      </c>
      <c r="G247" s="132">
        <f>TrialBalanceB!I247</f>
        <v>0</v>
      </c>
      <c r="H247" s="132">
        <f>TrialBalanceC!I247</f>
        <v>0</v>
      </c>
      <c r="I247" s="79"/>
      <c r="J247" s="198">
        <f>SUMIF(Journals!D$14:D$920,TrialBalance!P247,Journals!J$14:J$920)+SUMIF(Journals!E$14:E$920,TrialBalance!P247,Journals!J$14:J$920)</f>
        <v>0</v>
      </c>
      <c r="K247" s="253"/>
      <c r="L247" s="255">
        <f t="shared" si="63"/>
        <v>0</v>
      </c>
      <c r="M247" s="75"/>
      <c r="N247" s="48">
        <f t="shared" si="42"/>
        <v>0</v>
      </c>
      <c r="P247" s="140" t="str">
        <f t="shared" si="53"/>
        <v>6100/042Investment property - valuation additions</v>
      </c>
      <c r="Q247" s="70"/>
      <c r="R247" s="31"/>
      <c r="S247" s="71"/>
      <c r="T247" s="51"/>
      <c r="U247" s="31"/>
    </row>
    <row r="248" spans="1:21" x14ac:dyDescent="0.2">
      <c r="A248" s="392"/>
      <c r="B248" s="90" t="s">
        <v>1068</v>
      </c>
      <c r="C248" s="242" t="s">
        <v>1086</v>
      </c>
      <c r="D248" s="250"/>
      <c r="E248" s="251"/>
      <c r="F248" s="132">
        <f>TrialBalanceA!I248</f>
        <v>0</v>
      </c>
      <c r="G248" s="132">
        <f>TrialBalanceB!I248</f>
        <v>0</v>
      </c>
      <c r="H248" s="132">
        <f>TrialBalanceC!I248</f>
        <v>0</v>
      </c>
      <c r="I248" s="79"/>
      <c r="J248" s="198">
        <f>SUMIF(Journals!D$14:D$920,TrialBalance!P248,Journals!J$14:J$920)+SUMIF(Journals!E$14:E$920,TrialBalance!P248,Journals!J$14:J$920)</f>
        <v>0</v>
      </c>
      <c r="K248" s="253"/>
      <c r="L248" s="255">
        <f t="shared" ref="L248" si="64">ROUND(D248-E248+F248+G248+H248+J248+I248,0)</f>
        <v>0</v>
      </c>
      <c r="M248" s="75"/>
      <c r="N248" s="48">
        <f t="shared" ref="N248" si="65">ROUND(SUM(A248),0)</f>
        <v>0</v>
      </c>
      <c r="P248" s="140" t="str">
        <f t="shared" ref="P248" si="66">CONCATENATE(B248,C248)</f>
        <v>6100/043Investment property - valuation reduction on sales</v>
      </c>
      <c r="Q248" s="70"/>
      <c r="R248" s="31"/>
      <c r="S248" s="71"/>
      <c r="T248" s="51"/>
      <c r="U248" s="31"/>
    </row>
    <row r="249" spans="1:21" x14ac:dyDescent="0.2">
      <c r="A249" s="238"/>
      <c r="B249" s="90" t="s">
        <v>1087</v>
      </c>
      <c r="C249" s="242" t="s">
        <v>1088</v>
      </c>
      <c r="D249" s="250"/>
      <c r="E249" s="251"/>
      <c r="F249" s="132">
        <f>TrialBalanceA!I249</f>
        <v>0</v>
      </c>
      <c r="G249" s="132">
        <f>TrialBalanceB!I249</f>
        <v>0</v>
      </c>
      <c r="H249" s="132">
        <f>TrialBalanceC!I249</f>
        <v>0</v>
      </c>
      <c r="I249" s="79"/>
      <c r="J249" s="198">
        <f>SUMIF(Journals!D$14:D$920,TrialBalance!P249,Journals!J$14:J$920)+SUMIF(Journals!E$14:E$920,TrialBalance!P249,Journals!J$14:J$920)</f>
        <v>0</v>
      </c>
      <c r="K249" s="253"/>
      <c r="L249" s="255">
        <f t="shared" si="63"/>
        <v>0</v>
      </c>
      <c r="M249" s="75"/>
      <c r="N249" s="48">
        <f t="shared" si="42"/>
        <v>0</v>
      </c>
      <c r="P249" s="140" t="str">
        <f t="shared" si="53"/>
        <v>6100/044Investment property - valuation reduction on transfers</v>
      </c>
      <c r="Q249" s="70"/>
      <c r="R249" s="31"/>
      <c r="S249" s="71"/>
      <c r="T249" s="51"/>
      <c r="U249" s="31"/>
    </row>
    <row r="250" spans="1:21" x14ac:dyDescent="0.2">
      <c r="A250" s="238"/>
      <c r="B250" s="54" t="s">
        <v>289</v>
      </c>
      <c r="C250" s="239" t="s">
        <v>775</v>
      </c>
      <c r="D250" s="250"/>
      <c r="E250" s="251"/>
      <c r="F250" s="132"/>
      <c r="G250" s="132"/>
      <c r="H250" s="132"/>
      <c r="I250" s="79"/>
      <c r="J250" s="198">
        <f>SUMIF(Journals!D$14:D$920,TrialBalance!P250,Journals!J$14:J$920)+SUMIF(Journals!E$14:E$920,TrialBalance!P250,Journals!J$14:J$920)</f>
        <v>0</v>
      </c>
      <c r="K250" s="253"/>
      <c r="L250" s="255">
        <f t="shared" si="41"/>
        <v>0</v>
      </c>
      <c r="M250" s="75"/>
      <c r="N250" s="48">
        <f t="shared" si="42"/>
        <v>0</v>
      </c>
      <c r="P250" s="140" t="str">
        <f t="shared" si="53"/>
        <v>6150/000PLANT AND MACHINERY - COST</v>
      </c>
      <c r="Q250" s="70"/>
      <c r="R250" s="31"/>
      <c r="S250" s="71"/>
      <c r="T250" s="51"/>
      <c r="U250" s="31"/>
    </row>
    <row r="251" spans="1:21" x14ac:dyDescent="0.2">
      <c r="A251" s="238"/>
      <c r="B251" s="54" t="s">
        <v>41</v>
      </c>
      <c r="C251" s="242" t="s">
        <v>776</v>
      </c>
      <c r="D251" s="250"/>
      <c r="E251" s="251"/>
      <c r="F251" s="132"/>
      <c r="G251" s="132"/>
      <c r="H251" s="132"/>
      <c r="I251" s="79">
        <f>SUM(N251:N253)</f>
        <v>0</v>
      </c>
      <c r="J251" s="198">
        <f>SUMIF(Journals!D$14:D$920,TrialBalance!P251,Journals!J$14:J$920)+SUMIF(Journals!E$14:E$920,TrialBalance!P251,Journals!J$14:J$920)</f>
        <v>0</v>
      </c>
      <c r="K251" s="253"/>
      <c r="L251" s="255">
        <f t="shared" si="41"/>
        <v>0</v>
      </c>
      <c r="M251" s="75"/>
      <c r="N251" s="48">
        <f t="shared" si="42"/>
        <v>0</v>
      </c>
      <c r="P251" s="140" t="str">
        <f t="shared" si="53"/>
        <v>6150/001Plant and machinery - cost b/fwd</v>
      </c>
      <c r="Q251" s="72"/>
      <c r="R251" s="31"/>
      <c r="S251" s="51"/>
      <c r="T251" s="51"/>
      <c r="U251" s="31"/>
    </row>
    <row r="252" spans="1:21" x14ac:dyDescent="0.2">
      <c r="A252" s="238"/>
      <c r="B252" s="54" t="s">
        <v>42</v>
      </c>
      <c r="C252" s="242" t="s">
        <v>777</v>
      </c>
      <c r="D252" s="250"/>
      <c r="E252" s="251"/>
      <c r="F252" s="132">
        <f>TrialBalanceA!I252</f>
        <v>0</v>
      </c>
      <c r="G252" s="132">
        <f>TrialBalanceB!I252</f>
        <v>0</v>
      </c>
      <c r="H252" s="132">
        <f>TrialBalanceC!I252</f>
        <v>0</v>
      </c>
      <c r="I252" s="79"/>
      <c r="J252" s="198">
        <f>SUMIF(Journals!D$14:D$920,TrialBalance!P252,Journals!J$14:J$920)+SUMIF(Journals!E$14:E$920,TrialBalance!P252,Journals!J$14:J$920)</f>
        <v>0</v>
      </c>
      <c r="K252" s="253"/>
      <c r="L252" s="255">
        <f t="shared" si="41"/>
        <v>0</v>
      </c>
      <c r="M252" s="75"/>
      <c r="N252" s="48">
        <f t="shared" si="42"/>
        <v>0</v>
      </c>
      <c r="P252" s="140" t="str">
        <f t="shared" si="53"/>
        <v>6150/002Plant and machinery - additions</v>
      </c>
      <c r="Q252" s="70"/>
      <c r="R252" s="31"/>
      <c r="S252" s="71"/>
      <c r="T252" s="51"/>
      <c r="U252" s="31"/>
    </row>
    <row r="253" spans="1:21" x14ac:dyDescent="0.2">
      <c r="A253" s="238"/>
      <c r="B253" s="54" t="s">
        <v>43</v>
      </c>
      <c r="C253" s="242" t="s">
        <v>778</v>
      </c>
      <c r="D253" s="250"/>
      <c r="E253" s="251"/>
      <c r="F253" s="132">
        <f>TrialBalanceA!I253</f>
        <v>0</v>
      </c>
      <c r="G253" s="132">
        <f>TrialBalanceB!I253</f>
        <v>0</v>
      </c>
      <c r="H253" s="132">
        <f>TrialBalanceC!I253</f>
        <v>0</v>
      </c>
      <c r="I253" s="79"/>
      <c r="J253" s="198">
        <f>SUMIF(Journals!D$14:D$920,TrialBalance!P253,Journals!J$14:J$920)+SUMIF(Journals!E$14:E$920,TrialBalance!P253,Journals!J$14:J$920)</f>
        <v>0</v>
      </c>
      <c r="K253" s="253"/>
      <c r="L253" s="255">
        <f t="shared" si="41"/>
        <v>0</v>
      </c>
      <c r="M253" s="75"/>
      <c r="N253" s="48">
        <f t="shared" si="42"/>
        <v>0</v>
      </c>
      <c r="P253" s="140" t="str">
        <f t="shared" si="53"/>
        <v>6150/003Plant and machinery - cost of sales</v>
      </c>
      <c r="Q253" s="70"/>
      <c r="R253" s="31"/>
      <c r="S253" s="71"/>
      <c r="T253" s="51"/>
      <c r="U253" s="31"/>
    </row>
    <row r="254" spans="1:21" x14ac:dyDescent="0.2">
      <c r="A254" s="238"/>
      <c r="B254" s="54" t="s">
        <v>18</v>
      </c>
      <c r="C254" s="239" t="s">
        <v>779</v>
      </c>
      <c r="D254" s="250"/>
      <c r="E254" s="251"/>
      <c r="F254" s="132"/>
      <c r="G254" s="132"/>
      <c r="H254" s="132"/>
      <c r="I254" s="79"/>
      <c r="J254" s="198">
        <f>SUMIF(Journals!D$14:D$920,TrialBalance!P254,Journals!J$14:J$920)+SUMIF(Journals!E$14:E$920,TrialBalance!P254,Journals!J$14:J$920)</f>
        <v>0</v>
      </c>
      <c r="K254" s="253"/>
      <c r="L254" s="255">
        <f t="shared" si="41"/>
        <v>0</v>
      </c>
      <c r="M254" s="75"/>
      <c r="N254" s="48">
        <f t="shared" si="42"/>
        <v>0</v>
      </c>
      <c r="P254" s="140" t="str">
        <f t="shared" si="53"/>
        <v>6150/020PLANT AND MACHINERY - ACC DEPR</v>
      </c>
      <c r="Q254" s="70"/>
      <c r="R254" s="31"/>
      <c r="S254" s="71"/>
      <c r="T254" s="51"/>
      <c r="U254" s="31"/>
    </row>
    <row r="255" spans="1:21" x14ac:dyDescent="0.2">
      <c r="A255" s="238"/>
      <c r="B255" s="54" t="s">
        <v>19</v>
      </c>
      <c r="C255" s="242" t="s">
        <v>780</v>
      </c>
      <c r="D255" s="250"/>
      <c r="E255" s="251"/>
      <c r="F255" s="132"/>
      <c r="G255" s="132"/>
      <c r="H255" s="132"/>
      <c r="I255" s="79">
        <f>SUM(N255:N257)</f>
        <v>0</v>
      </c>
      <c r="J255" s="198">
        <f>SUMIF(Journals!D$14:D$920,TrialBalance!P255,Journals!J$14:J$920)+SUMIF(Journals!E$14:E$920,TrialBalance!P255,Journals!J$14:J$920)</f>
        <v>0</v>
      </c>
      <c r="K255" s="253"/>
      <c r="L255" s="255">
        <f t="shared" si="41"/>
        <v>0</v>
      </c>
      <c r="M255" s="75"/>
      <c r="N255" s="48">
        <f t="shared" si="42"/>
        <v>0</v>
      </c>
      <c r="P255" s="140" t="str">
        <f t="shared" si="53"/>
        <v>6150/021Plant and machinery - acc depr b/fwd</v>
      </c>
      <c r="Q255" s="70"/>
      <c r="R255" s="31"/>
      <c r="S255" s="71"/>
      <c r="T255" s="51"/>
      <c r="U255" s="31"/>
    </row>
    <row r="256" spans="1:21" x14ac:dyDescent="0.2">
      <c r="A256" s="238"/>
      <c r="B256" s="54" t="s">
        <v>35</v>
      </c>
      <c r="C256" s="242" t="s">
        <v>781</v>
      </c>
      <c r="D256" s="250"/>
      <c r="E256" s="251"/>
      <c r="F256" s="132">
        <f>TrialBalanceA!I256</f>
        <v>0</v>
      </c>
      <c r="G256" s="132">
        <f>TrialBalanceB!I256</f>
        <v>0</v>
      </c>
      <c r="H256" s="132">
        <f>TrialBalanceC!I256</f>
        <v>0</v>
      </c>
      <c r="I256" s="79"/>
      <c r="J256" s="198">
        <f>SUMIF(Journals!D$14:D$920,TrialBalance!P256,Journals!J$14:J$920)+SUMIF(Journals!E$14:E$920,TrialBalance!P256,Journals!J$14:J$920)</f>
        <v>0</v>
      </c>
      <c r="K256" s="253"/>
      <c r="L256" s="255">
        <f t="shared" si="41"/>
        <v>0</v>
      </c>
      <c r="M256" s="75"/>
      <c r="N256" s="48">
        <f t="shared" si="42"/>
        <v>0</v>
      </c>
      <c r="P256" s="140" t="str">
        <f t="shared" si="53"/>
        <v>6150/022Plant and machinery - depr this year</v>
      </c>
      <c r="Q256" s="70"/>
      <c r="R256" s="31"/>
      <c r="S256" s="71"/>
      <c r="T256" s="51"/>
      <c r="U256" s="31"/>
    </row>
    <row r="257" spans="1:21" x14ac:dyDescent="0.2">
      <c r="A257" s="238"/>
      <c r="B257" s="54" t="s">
        <v>36</v>
      </c>
      <c r="C257" s="242" t="s">
        <v>782</v>
      </c>
      <c r="D257" s="250"/>
      <c r="E257" s="251"/>
      <c r="F257" s="132">
        <f>TrialBalanceA!I257</f>
        <v>0</v>
      </c>
      <c r="G257" s="132">
        <f>TrialBalanceB!I257</f>
        <v>0</v>
      </c>
      <c r="H257" s="132">
        <f>TrialBalanceC!I257</f>
        <v>0</v>
      </c>
      <c r="I257" s="79"/>
      <c r="J257" s="198">
        <f>SUMIF(Journals!D$14:D$920,TrialBalance!P257,Journals!J$14:J$920)+SUMIF(Journals!E$14:E$920,TrialBalance!P257,Journals!J$14:J$920)</f>
        <v>0</v>
      </c>
      <c r="K257" s="253"/>
      <c r="L257" s="255">
        <f t="shared" si="41"/>
        <v>0</v>
      </c>
      <c r="M257" s="75"/>
      <c r="N257" s="48">
        <f t="shared" si="42"/>
        <v>0</v>
      </c>
      <c r="P257" s="140" t="str">
        <f t="shared" si="53"/>
        <v>6150/023Plant and machinery - acc depr on sales</v>
      </c>
      <c r="Q257" s="70"/>
      <c r="R257" s="31"/>
      <c r="S257" s="71"/>
      <c r="T257" s="51"/>
      <c r="U257" s="31"/>
    </row>
    <row r="258" spans="1:21" x14ac:dyDescent="0.2">
      <c r="A258" s="238"/>
      <c r="B258" s="54" t="s">
        <v>37</v>
      </c>
      <c r="C258" s="239" t="s">
        <v>38</v>
      </c>
      <c r="D258" s="250"/>
      <c r="E258" s="251"/>
      <c r="F258" s="132"/>
      <c r="G258" s="132"/>
      <c r="H258" s="132"/>
      <c r="I258" s="79"/>
      <c r="J258" s="198">
        <f>SUMIF(Journals!D$14:D$920,TrialBalance!P258,Journals!J$14:J$920)+SUMIF(Journals!E$14:E$920,TrialBalance!P258,Journals!J$14:J$920)</f>
        <v>0</v>
      </c>
      <c r="K258" s="253"/>
      <c r="L258" s="255">
        <f t="shared" si="41"/>
        <v>0</v>
      </c>
      <c r="M258" s="75"/>
      <c r="N258" s="48">
        <f t="shared" si="42"/>
        <v>0</v>
      </c>
      <c r="P258" s="140" t="str">
        <f t="shared" si="53"/>
        <v>6200/000MOTOR VEHICLES - COST</v>
      </c>
      <c r="Q258" s="70"/>
      <c r="R258" s="31"/>
      <c r="S258" s="71"/>
      <c r="T258" s="51"/>
      <c r="U258" s="31"/>
    </row>
    <row r="259" spans="1:21" x14ac:dyDescent="0.2">
      <c r="A259" s="238"/>
      <c r="B259" s="54" t="s">
        <v>39</v>
      </c>
      <c r="C259" s="242" t="s">
        <v>783</v>
      </c>
      <c r="D259" s="250"/>
      <c r="E259" s="251"/>
      <c r="F259" s="132"/>
      <c r="G259" s="132"/>
      <c r="H259" s="132"/>
      <c r="I259" s="79">
        <f>SUM(N259:N261)</f>
        <v>0</v>
      </c>
      <c r="J259" s="198">
        <f>SUMIF(Journals!D$14:D$920,TrialBalance!P259,Journals!J$14:J$920)+SUMIF(Journals!E$14:E$920,TrialBalance!P259,Journals!J$14:J$920)</f>
        <v>0</v>
      </c>
      <c r="K259" s="253"/>
      <c r="L259" s="255">
        <f t="shared" si="41"/>
        <v>0</v>
      </c>
      <c r="M259" s="75"/>
      <c r="N259" s="48">
        <f t="shared" si="42"/>
        <v>0</v>
      </c>
      <c r="P259" s="140" t="str">
        <f t="shared" si="53"/>
        <v>6200/001Motor vehicles - cost b/fwd</v>
      </c>
      <c r="Q259" s="72"/>
      <c r="R259" s="31"/>
      <c r="S259" s="71"/>
      <c r="T259" s="51"/>
      <c r="U259" s="31"/>
    </row>
    <row r="260" spans="1:21" x14ac:dyDescent="0.2">
      <c r="A260" s="238"/>
      <c r="B260" s="54" t="s">
        <v>40</v>
      </c>
      <c r="C260" s="242" t="s">
        <v>784</v>
      </c>
      <c r="D260" s="250"/>
      <c r="E260" s="251"/>
      <c r="F260" s="132">
        <f>TrialBalanceA!I260</f>
        <v>0</v>
      </c>
      <c r="G260" s="132">
        <f>TrialBalanceB!I260</f>
        <v>0</v>
      </c>
      <c r="H260" s="132">
        <f>TrialBalanceC!I260</f>
        <v>0</v>
      </c>
      <c r="I260" s="79"/>
      <c r="J260" s="198">
        <f>SUMIF(Journals!D$14:D$920,TrialBalance!P260,Journals!J$14:J$920)+SUMIF(Journals!E$14:E$920,TrialBalance!P260,Journals!J$14:J$920)</f>
        <v>0</v>
      </c>
      <c r="K260" s="253"/>
      <c r="L260" s="255">
        <f t="shared" si="41"/>
        <v>0</v>
      </c>
      <c r="M260" s="75"/>
      <c r="N260" s="48">
        <f t="shared" si="42"/>
        <v>0</v>
      </c>
      <c r="P260" s="140" t="str">
        <f t="shared" si="53"/>
        <v>6200/002Motor vehicles - additions</v>
      </c>
      <c r="Q260" s="70"/>
      <c r="R260" s="31"/>
      <c r="S260" s="71"/>
      <c r="T260" s="51"/>
      <c r="U260" s="31"/>
    </row>
    <row r="261" spans="1:21" x14ac:dyDescent="0.2">
      <c r="A261" s="238"/>
      <c r="B261" s="54" t="s">
        <v>481</v>
      </c>
      <c r="C261" s="242" t="s">
        <v>785</v>
      </c>
      <c r="D261" s="250"/>
      <c r="E261" s="251"/>
      <c r="F261" s="132">
        <f>TrialBalanceA!I261</f>
        <v>0</v>
      </c>
      <c r="G261" s="132">
        <f>TrialBalanceB!I261</f>
        <v>0</v>
      </c>
      <c r="H261" s="132">
        <f>TrialBalanceC!I261</f>
        <v>0</v>
      </c>
      <c r="I261" s="79"/>
      <c r="J261" s="198">
        <f>SUMIF(Journals!D$14:D$920,TrialBalance!P261,Journals!J$14:J$920)+SUMIF(Journals!E$14:E$920,TrialBalance!P261,Journals!J$14:J$920)</f>
        <v>0</v>
      </c>
      <c r="K261" s="253"/>
      <c r="L261" s="255">
        <f t="shared" si="41"/>
        <v>0</v>
      </c>
      <c r="M261" s="75"/>
      <c r="N261" s="48">
        <f t="shared" si="42"/>
        <v>0</v>
      </c>
      <c r="P261" s="140" t="str">
        <f t="shared" si="53"/>
        <v>6200/003Motor vehicles - cost of sales</v>
      </c>
      <c r="Q261" s="70"/>
      <c r="R261" s="31"/>
      <c r="S261" s="71"/>
      <c r="T261" s="51"/>
      <c r="U261" s="31"/>
    </row>
    <row r="262" spans="1:21" x14ac:dyDescent="0.2">
      <c r="A262" s="238"/>
      <c r="B262" s="54" t="s">
        <v>0</v>
      </c>
      <c r="C262" s="239" t="s">
        <v>1</v>
      </c>
      <c r="D262" s="250"/>
      <c r="E262" s="251"/>
      <c r="F262" s="132"/>
      <c r="G262" s="132"/>
      <c r="H262" s="132"/>
      <c r="I262" s="79"/>
      <c r="J262" s="198">
        <f>SUMIF(Journals!D$14:D$920,TrialBalance!P262,Journals!J$14:J$920)+SUMIF(Journals!E$14:E$920,TrialBalance!P262,Journals!J$14:J$920)</f>
        <v>0</v>
      </c>
      <c r="K262" s="253"/>
      <c r="L262" s="255">
        <f t="shared" si="41"/>
        <v>0</v>
      </c>
      <c r="M262" s="75"/>
      <c r="N262" s="48">
        <f t="shared" si="42"/>
        <v>0</v>
      </c>
      <c r="P262" s="140" t="str">
        <f t="shared" si="53"/>
        <v>6200/020MOTOR VEHICLES - ACC DEPR</v>
      </c>
      <c r="Q262" s="70"/>
      <c r="R262" s="31"/>
      <c r="S262" s="71"/>
      <c r="T262" s="51"/>
      <c r="U262" s="31"/>
    </row>
    <row r="263" spans="1:21" x14ac:dyDescent="0.2">
      <c r="A263" s="238"/>
      <c r="B263" s="54" t="s">
        <v>2</v>
      </c>
      <c r="C263" s="242" t="s">
        <v>786</v>
      </c>
      <c r="D263" s="250"/>
      <c r="E263" s="251"/>
      <c r="F263" s="132"/>
      <c r="G263" s="132"/>
      <c r="H263" s="132"/>
      <c r="I263" s="79">
        <f>SUM(N263:N265)</f>
        <v>0</v>
      </c>
      <c r="J263" s="198">
        <f>SUMIF(Journals!D$14:D$920,TrialBalance!P263,Journals!J$14:J$920)+SUMIF(Journals!E$14:E$920,TrialBalance!P263,Journals!J$14:J$920)</f>
        <v>0</v>
      </c>
      <c r="K263" s="253"/>
      <c r="L263" s="255">
        <f t="shared" si="41"/>
        <v>0</v>
      </c>
      <c r="M263" s="75"/>
      <c r="N263" s="48">
        <f t="shared" si="42"/>
        <v>0</v>
      </c>
      <c r="P263" s="140" t="str">
        <f t="shared" si="53"/>
        <v>6200/021Motor vehicles - acc depr b/fwd</v>
      </c>
      <c r="Q263" s="70"/>
      <c r="R263" s="31"/>
      <c r="S263" s="71"/>
      <c r="T263" s="71"/>
      <c r="U263" s="31"/>
    </row>
    <row r="264" spans="1:21" x14ac:dyDescent="0.2">
      <c r="A264" s="238"/>
      <c r="B264" s="54" t="s">
        <v>3</v>
      </c>
      <c r="C264" s="242" t="s">
        <v>787</v>
      </c>
      <c r="D264" s="250"/>
      <c r="E264" s="251"/>
      <c r="F264" s="132">
        <f>TrialBalanceA!I264</f>
        <v>0</v>
      </c>
      <c r="G264" s="132">
        <f>TrialBalanceB!I264</f>
        <v>0</v>
      </c>
      <c r="H264" s="132">
        <f>TrialBalanceC!I264</f>
        <v>0</v>
      </c>
      <c r="I264" s="79"/>
      <c r="J264" s="198">
        <f>SUMIF(Journals!D$14:D$920,TrialBalance!P264,Journals!J$14:J$920)+SUMIF(Journals!E$14:E$920,TrialBalance!P264,Journals!J$14:J$920)</f>
        <v>0</v>
      </c>
      <c r="K264" s="253"/>
      <c r="L264" s="255">
        <f t="shared" si="41"/>
        <v>0</v>
      </c>
      <c r="M264" s="75"/>
      <c r="N264" s="48">
        <f t="shared" si="42"/>
        <v>0</v>
      </c>
      <c r="P264" s="140" t="str">
        <f t="shared" si="53"/>
        <v>6200/022Motor vehicles - depr this year</v>
      </c>
      <c r="Q264" s="70"/>
      <c r="R264" s="31"/>
      <c r="S264" s="71"/>
      <c r="T264" s="71"/>
      <c r="U264" s="31"/>
    </row>
    <row r="265" spans="1:21" x14ac:dyDescent="0.2">
      <c r="A265" s="238"/>
      <c r="B265" s="54" t="s">
        <v>4</v>
      </c>
      <c r="C265" s="242" t="s">
        <v>788</v>
      </c>
      <c r="D265" s="250"/>
      <c r="E265" s="251"/>
      <c r="F265" s="132">
        <f>TrialBalanceA!I265</f>
        <v>0</v>
      </c>
      <c r="G265" s="132">
        <f>TrialBalanceB!I265</f>
        <v>0</v>
      </c>
      <c r="H265" s="132">
        <f>TrialBalanceC!I265</f>
        <v>0</v>
      </c>
      <c r="I265" s="79"/>
      <c r="J265" s="198">
        <f>SUMIF(Journals!D$14:D$920,TrialBalance!P265,Journals!J$14:J$920)+SUMIF(Journals!E$14:E$920,TrialBalance!P265,Journals!J$14:J$920)</f>
        <v>0</v>
      </c>
      <c r="K265" s="253"/>
      <c r="L265" s="255">
        <f t="shared" si="41"/>
        <v>0</v>
      </c>
      <c r="M265" s="75"/>
      <c r="N265" s="48">
        <f t="shared" si="42"/>
        <v>0</v>
      </c>
      <c r="P265" s="140" t="str">
        <f t="shared" si="53"/>
        <v>6200/023Motor vehicles - acc depr on sales</v>
      </c>
      <c r="Q265" s="70"/>
      <c r="R265" s="31"/>
      <c r="S265" s="71"/>
      <c r="T265" s="51"/>
      <c r="U265" s="31"/>
    </row>
    <row r="266" spans="1:21" x14ac:dyDescent="0.2">
      <c r="A266" s="238"/>
      <c r="B266" s="54" t="s">
        <v>5</v>
      </c>
      <c r="C266" s="239" t="s">
        <v>121</v>
      </c>
      <c r="D266" s="250"/>
      <c r="E266" s="251"/>
      <c r="F266" s="132"/>
      <c r="G266" s="132"/>
      <c r="H266" s="132"/>
      <c r="I266" s="79"/>
      <c r="J266" s="198">
        <f>SUMIF(Journals!D$14:D$920,TrialBalance!P266,Journals!J$14:J$920)+SUMIF(Journals!E$14:E$920,TrialBalance!P266,Journals!J$14:J$920)</f>
        <v>0</v>
      </c>
      <c r="K266" s="253"/>
      <c r="L266" s="255">
        <f t="shared" si="41"/>
        <v>0</v>
      </c>
      <c r="M266" s="75"/>
      <c r="N266" s="48">
        <f t="shared" si="42"/>
        <v>0</v>
      </c>
      <c r="P266" s="140" t="str">
        <f t="shared" si="53"/>
        <v>6250/000ELECTRONIC EQUIPMENT - COST</v>
      </c>
      <c r="Q266" s="70"/>
      <c r="R266" s="31"/>
      <c r="S266" s="71"/>
      <c r="T266" s="51"/>
      <c r="U266" s="31"/>
    </row>
    <row r="267" spans="1:21" x14ac:dyDescent="0.2">
      <c r="A267" s="238"/>
      <c r="B267" s="54" t="s">
        <v>6</v>
      </c>
      <c r="C267" s="242" t="s">
        <v>789</v>
      </c>
      <c r="D267" s="250"/>
      <c r="E267" s="251"/>
      <c r="F267" s="132"/>
      <c r="G267" s="132"/>
      <c r="H267" s="132"/>
      <c r="I267" s="79">
        <f>SUM(N267:N269)</f>
        <v>0</v>
      </c>
      <c r="J267" s="198">
        <f>SUMIF(Journals!D$14:D$920,TrialBalance!P267,Journals!J$14:J$920)+SUMIF(Journals!E$14:E$920,TrialBalance!P267,Journals!J$14:J$920)</f>
        <v>0</v>
      </c>
      <c r="K267" s="253"/>
      <c r="L267" s="255">
        <f t="shared" si="41"/>
        <v>0</v>
      </c>
      <c r="M267" s="75"/>
      <c r="N267" s="48">
        <f t="shared" si="42"/>
        <v>0</v>
      </c>
      <c r="P267" s="140" t="str">
        <f t="shared" si="53"/>
        <v>6250/001Electronic equipment - cost b/fwd</v>
      </c>
      <c r="Q267" s="70"/>
      <c r="R267" s="31"/>
      <c r="S267" s="51"/>
      <c r="T267" s="51"/>
      <c r="U267" s="31"/>
    </row>
    <row r="268" spans="1:21" x14ac:dyDescent="0.2">
      <c r="A268" s="238"/>
      <c r="B268" s="54" t="s">
        <v>7</v>
      </c>
      <c r="C268" s="242" t="s">
        <v>790</v>
      </c>
      <c r="D268" s="250"/>
      <c r="E268" s="251"/>
      <c r="F268" s="132">
        <f>TrialBalanceA!I268</f>
        <v>0</v>
      </c>
      <c r="G268" s="132">
        <f>TrialBalanceB!I268</f>
        <v>0</v>
      </c>
      <c r="H268" s="132">
        <f>TrialBalanceC!I268</f>
        <v>0</v>
      </c>
      <c r="I268" s="79"/>
      <c r="J268" s="198">
        <f>SUMIF(Journals!D$14:D$920,TrialBalance!P268,Journals!J$14:J$920)+SUMIF(Journals!E$14:E$920,TrialBalance!P268,Journals!J$14:J$920)</f>
        <v>0</v>
      </c>
      <c r="K268" s="253"/>
      <c r="L268" s="255">
        <f t="shared" si="41"/>
        <v>0</v>
      </c>
      <c r="M268" s="75"/>
      <c r="N268" s="48">
        <f t="shared" si="42"/>
        <v>0</v>
      </c>
      <c r="P268" s="140" t="str">
        <f t="shared" si="53"/>
        <v>6250/002Electronic equipment - additions</v>
      </c>
      <c r="Q268" s="70"/>
      <c r="R268" s="31"/>
      <c r="S268" s="71"/>
      <c r="T268" s="51"/>
      <c r="U268" s="31"/>
    </row>
    <row r="269" spans="1:21" x14ac:dyDescent="0.2">
      <c r="A269" s="238"/>
      <c r="B269" s="54" t="s">
        <v>8</v>
      </c>
      <c r="C269" s="242" t="s">
        <v>791</v>
      </c>
      <c r="D269" s="250"/>
      <c r="E269" s="251"/>
      <c r="F269" s="132">
        <f>TrialBalanceA!I269</f>
        <v>0</v>
      </c>
      <c r="G269" s="132">
        <f>TrialBalanceB!I269</f>
        <v>0</v>
      </c>
      <c r="H269" s="132">
        <f>TrialBalanceC!I269</f>
        <v>0</v>
      </c>
      <c r="I269" s="79"/>
      <c r="J269" s="198">
        <f>SUMIF(Journals!D$14:D$920,TrialBalance!P269,Journals!J$14:J$920)+SUMIF(Journals!E$14:E$920,TrialBalance!P269,Journals!J$14:J$920)</f>
        <v>0</v>
      </c>
      <c r="K269" s="253"/>
      <c r="L269" s="255">
        <f t="shared" si="41"/>
        <v>0</v>
      </c>
      <c r="M269" s="75"/>
      <c r="N269" s="48">
        <f t="shared" si="42"/>
        <v>0</v>
      </c>
      <c r="P269" s="140" t="str">
        <f t="shared" si="53"/>
        <v>6250/003Electronic equipment - cost of sales</v>
      </c>
      <c r="Q269" s="70"/>
      <c r="R269" s="31"/>
      <c r="S269" s="71"/>
      <c r="T269" s="51"/>
      <c r="U269" s="31"/>
    </row>
    <row r="270" spans="1:21" x14ac:dyDescent="0.2">
      <c r="A270" s="238"/>
      <c r="B270" s="54" t="s">
        <v>9</v>
      </c>
      <c r="C270" s="239" t="s">
        <v>122</v>
      </c>
      <c r="D270" s="250"/>
      <c r="E270" s="251"/>
      <c r="F270" s="132"/>
      <c r="G270" s="132"/>
      <c r="H270" s="132"/>
      <c r="I270" s="79"/>
      <c r="J270" s="198">
        <f>SUMIF(Journals!D$14:D$920,TrialBalance!P270,Journals!J$14:J$920)+SUMIF(Journals!E$14:E$920,TrialBalance!P270,Journals!J$14:J$920)</f>
        <v>0</v>
      </c>
      <c r="K270" s="253"/>
      <c r="L270" s="255">
        <f t="shared" si="41"/>
        <v>0</v>
      </c>
      <c r="M270" s="75"/>
      <c r="N270" s="48">
        <f t="shared" si="42"/>
        <v>0</v>
      </c>
      <c r="P270" s="140" t="str">
        <f t="shared" si="53"/>
        <v>6250/020ELECTRONIC EQUIPMENT - ACC DEPR</v>
      </c>
      <c r="Q270" s="70"/>
      <c r="R270" s="31"/>
      <c r="S270" s="71"/>
      <c r="T270" s="51"/>
      <c r="U270" s="31"/>
    </row>
    <row r="271" spans="1:21" x14ac:dyDescent="0.2">
      <c r="A271" s="238"/>
      <c r="B271" s="54" t="s">
        <v>10</v>
      </c>
      <c r="C271" s="242" t="s">
        <v>792</v>
      </c>
      <c r="D271" s="250"/>
      <c r="E271" s="251"/>
      <c r="F271" s="132"/>
      <c r="G271" s="132"/>
      <c r="H271" s="132"/>
      <c r="I271" s="79">
        <f>SUM(N271:N273)</f>
        <v>0</v>
      </c>
      <c r="J271" s="198">
        <f>SUMIF(Journals!D$14:D$920,TrialBalance!P271,Journals!J$14:J$920)+SUMIF(Journals!E$14:E$920,TrialBalance!P271,Journals!J$14:J$920)</f>
        <v>0</v>
      </c>
      <c r="K271" s="253"/>
      <c r="L271" s="255">
        <f t="shared" si="41"/>
        <v>0</v>
      </c>
      <c r="M271" s="75"/>
      <c r="N271" s="48">
        <f t="shared" si="42"/>
        <v>0</v>
      </c>
      <c r="P271" s="140" t="str">
        <f t="shared" si="53"/>
        <v>6250/021Electronic equipment - acc depr b/fwd</v>
      </c>
      <c r="Q271" s="70"/>
      <c r="R271" s="31"/>
      <c r="S271" s="51"/>
      <c r="T271" s="51"/>
      <c r="U271" s="31"/>
    </row>
    <row r="272" spans="1:21" x14ac:dyDescent="0.2">
      <c r="A272" s="238"/>
      <c r="B272" s="54" t="s">
        <v>11</v>
      </c>
      <c r="C272" s="242" t="s">
        <v>793</v>
      </c>
      <c r="D272" s="250"/>
      <c r="E272" s="251"/>
      <c r="F272" s="132">
        <f>TrialBalanceA!I272</f>
        <v>0</v>
      </c>
      <c r="G272" s="132">
        <f>TrialBalanceB!I272</f>
        <v>0</v>
      </c>
      <c r="H272" s="132">
        <f>TrialBalanceC!I272</f>
        <v>0</v>
      </c>
      <c r="I272" s="79"/>
      <c r="J272" s="198">
        <f>SUMIF(Journals!D$14:D$920,TrialBalance!P272,Journals!J$14:J$920)+SUMIF(Journals!E$14:E$920,TrialBalance!P272,Journals!J$14:J$920)</f>
        <v>0</v>
      </c>
      <c r="K272" s="253"/>
      <c r="L272" s="255">
        <f t="shared" si="41"/>
        <v>0</v>
      </c>
      <c r="M272" s="75"/>
      <c r="N272" s="48">
        <f t="shared" si="42"/>
        <v>0</v>
      </c>
      <c r="P272" s="140" t="str">
        <f t="shared" si="53"/>
        <v>6250/022Electronic equipment - depr this year</v>
      </c>
      <c r="Q272" s="70"/>
      <c r="R272" s="31"/>
      <c r="S272" s="71"/>
      <c r="T272" s="51"/>
      <c r="U272" s="31"/>
    </row>
    <row r="273" spans="1:21" x14ac:dyDescent="0.2">
      <c r="A273" s="238"/>
      <c r="B273" s="54" t="s">
        <v>12</v>
      </c>
      <c r="C273" s="242" t="s">
        <v>794</v>
      </c>
      <c r="D273" s="250"/>
      <c r="E273" s="251"/>
      <c r="F273" s="132">
        <f>TrialBalanceA!I273</f>
        <v>0</v>
      </c>
      <c r="G273" s="132">
        <f>TrialBalanceB!I273</f>
        <v>0</v>
      </c>
      <c r="H273" s="132">
        <f>TrialBalanceC!I273</f>
        <v>0</v>
      </c>
      <c r="I273" s="79"/>
      <c r="J273" s="198">
        <f>SUMIF(Journals!D$14:D$920,TrialBalance!P273,Journals!J$14:J$920)+SUMIF(Journals!E$14:E$920,TrialBalance!P273,Journals!J$14:J$920)</f>
        <v>0</v>
      </c>
      <c r="K273" s="253"/>
      <c r="L273" s="255">
        <f t="shared" si="41"/>
        <v>0</v>
      </c>
      <c r="M273" s="75"/>
      <c r="N273" s="48">
        <f t="shared" si="42"/>
        <v>0</v>
      </c>
      <c r="P273" s="140" t="str">
        <f t="shared" si="53"/>
        <v>6250/023Electronic equipment - acc depr on sales</v>
      </c>
      <c r="Q273" s="70"/>
      <c r="R273" s="31"/>
      <c r="S273" s="71"/>
      <c r="T273" s="51"/>
      <c r="U273" s="31"/>
    </row>
    <row r="274" spans="1:21" x14ac:dyDescent="0.2">
      <c r="A274" s="238"/>
      <c r="B274" s="54" t="s">
        <v>16</v>
      </c>
      <c r="C274" s="239" t="s">
        <v>795</v>
      </c>
      <c r="D274" s="250"/>
      <c r="E274" s="251"/>
      <c r="F274" s="132"/>
      <c r="G274" s="132"/>
      <c r="H274" s="132"/>
      <c r="I274" s="79"/>
      <c r="J274" s="198">
        <f>SUMIF(Journals!D$14:D$920,TrialBalance!P274,Journals!J$14:J$920)+SUMIF(Journals!E$14:E$920,TrialBalance!P274,Journals!J$14:J$920)</f>
        <v>0</v>
      </c>
      <c r="K274" s="253"/>
      <c r="L274" s="255">
        <f t="shared" si="41"/>
        <v>0</v>
      </c>
      <c r="M274" s="75"/>
      <c r="N274" s="48">
        <f t="shared" si="42"/>
        <v>0</v>
      </c>
      <c r="P274" s="140" t="str">
        <f t="shared" si="53"/>
        <v>6350/000FURNITURE AND FITTINGS - COST</v>
      </c>
      <c r="Q274" s="70"/>
      <c r="R274" s="31"/>
      <c r="S274" s="71"/>
      <c r="T274" s="51"/>
      <c r="U274" s="31"/>
    </row>
    <row r="275" spans="1:21" x14ac:dyDescent="0.2">
      <c r="A275" s="238"/>
      <c r="B275" s="54" t="s">
        <v>17</v>
      </c>
      <c r="C275" s="242" t="s">
        <v>796</v>
      </c>
      <c r="D275" s="250"/>
      <c r="E275" s="251"/>
      <c r="F275" s="132"/>
      <c r="G275" s="132"/>
      <c r="H275" s="132"/>
      <c r="I275" s="79">
        <f>SUM(N275:N277)</f>
        <v>0</v>
      </c>
      <c r="J275" s="198">
        <f>SUMIF(Journals!D$14:D$920,TrialBalance!P275,Journals!J$14:J$920)+SUMIF(Journals!E$14:E$920,TrialBalance!P275,Journals!J$14:J$920)</f>
        <v>0</v>
      </c>
      <c r="K275" s="253"/>
      <c r="L275" s="255">
        <f t="shared" si="41"/>
        <v>0</v>
      </c>
      <c r="M275" s="75"/>
      <c r="N275" s="48">
        <f t="shared" si="42"/>
        <v>0</v>
      </c>
      <c r="P275" s="140" t="str">
        <f t="shared" si="53"/>
        <v>6350/001Furniture and fittings - cost b/fwd</v>
      </c>
      <c r="Q275" s="72"/>
      <c r="R275" s="31"/>
      <c r="S275" s="71"/>
      <c r="T275" s="51"/>
      <c r="U275" s="31"/>
    </row>
    <row r="276" spans="1:21" x14ac:dyDescent="0.2">
      <c r="A276" s="238"/>
      <c r="B276" s="54" t="s">
        <v>425</v>
      </c>
      <c r="C276" s="242" t="s">
        <v>797</v>
      </c>
      <c r="D276" s="250"/>
      <c r="E276" s="251"/>
      <c r="F276" s="132">
        <f>TrialBalanceA!I276</f>
        <v>0</v>
      </c>
      <c r="G276" s="132">
        <f>TrialBalanceB!I276</f>
        <v>0</v>
      </c>
      <c r="H276" s="132">
        <f>TrialBalanceC!I276</f>
        <v>0</v>
      </c>
      <c r="I276" s="79"/>
      <c r="J276" s="198">
        <f>SUMIF(Journals!D$14:D$920,TrialBalance!P276,Journals!J$14:J$920)+SUMIF(Journals!E$14:E$920,TrialBalance!P276,Journals!J$14:J$920)</f>
        <v>0</v>
      </c>
      <c r="K276" s="253"/>
      <c r="L276" s="255">
        <f t="shared" si="41"/>
        <v>0</v>
      </c>
      <c r="M276" s="75"/>
      <c r="N276" s="48">
        <f t="shared" si="42"/>
        <v>0</v>
      </c>
      <c r="P276" s="140" t="str">
        <f t="shared" ref="P276:P333" si="67">CONCATENATE(B276,C276)</f>
        <v>6350/002Furniture and fittings - additions</v>
      </c>
      <c r="Q276" s="70"/>
      <c r="R276" s="31"/>
      <c r="S276" s="71"/>
      <c r="T276" s="51"/>
      <c r="U276" s="31"/>
    </row>
    <row r="277" spans="1:21" x14ac:dyDescent="0.2">
      <c r="A277" s="238"/>
      <c r="B277" s="54" t="s">
        <v>441</v>
      </c>
      <c r="C277" s="242" t="s">
        <v>798</v>
      </c>
      <c r="D277" s="250"/>
      <c r="E277" s="251"/>
      <c r="F277" s="132">
        <f>TrialBalanceA!I277</f>
        <v>0</v>
      </c>
      <c r="G277" s="132">
        <f>TrialBalanceB!I277</f>
        <v>0</v>
      </c>
      <c r="H277" s="132">
        <f>TrialBalanceC!I277</f>
        <v>0</v>
      </c>
      <c r="I277" s="79"/>
      <c r="J277" s="198">
        <f>SUMIF(Journals!D$14:D$920,TrialBalance!P277,Journals!J$14:J$920)+SUMIF(Journals!E$14:E$920,TrialBalance!P277,Journals!J$14:J$920)</f>
        <v>0</v>
      </c>
      <c r="K277" s="253"/>
      <c r="L277" s="255">
        <f t="shared" si="41"/>
        <v>0</v>
      </c>
      <c r="M277" s="75"/>
      <c r="N277" s="48">
        <f t="shared" si="42"/>
        <v>0</v>
      </c>
      <c r="P277" s="140" t="str">
        <f t="shared" si="67"/>
        <v>6350/003Furniture and fittings - cost of sales</v>
      </c>
      <c r="Q277" s="70"/>
      <c r="R277" s="31"/>
      <c r="S277" s="71"/>
      <c r="T277" s="51"/>
      <c r="U277" s="31"/>
    </row>
    <row r="278" spans="1:21" x14ac:dyDescent="0.2">
      <c r="A278" s="238"/>
      <c r="B278" s="54" t="s">
        <v>272</v>
      </c>
      <c r="C278" s="239" t="s">
        <v>799</v>
      </c>
      <c r="D278" s="250"/>
      <c r="E278" s="250"/>
      <c r="F278" s="132"/>
      <c r="G278" s="132"/>
      <c r="H278" s="132"/>
      <c r="I278" s="79"/>
      <c r="J278" s="198">
        <f>SUMIF(Journals!D$14:D$920,TrialBalance!P278,Journals!J$14:J$920)+SUMIF(Journals!E$14:E$920,TrialBalance!P278,Journals!J$14:J$920)</f>
        <v>0</v>
      </c>
      <c r="K278" s="253"/>
      <c r="L278" s="255">
        <f t="shared" ref="L278:L371" si="68">ROUND(D278-E278+F278+G278+H278+J278+I278,0)</f>
        <v>0</v>
      </c>
      <c r="M278" s="75"/>
      <c r="N278" s="48">
        <f t="shared" si="42"/>
        <v>0</v>
      </c>
      <c r="P278" s="140" t="str">
        <f t="shared" si="67"/>
        <v>6350/020FURNITURE AND FITTINGS - ACC DEPR</v>
      </c>
      <c r="Q278" s="70"/>
      <c r="R278" s="31"/>
      <c r="S278" s="71"/>
      <c r="T278" s="51"/>
      <c r="U278" s="31"/>
    </row>
    <row r="279" spans="1:21" x14ac:dyDescent="0.2">
      <c r="A279" s="238"/>
      <c r="B279" s="54" t="s">
        <v>153</v>
      </c>
      <c r="C279" s="242" t="s">
        <v>800</v>
      </c>
      <c r="D279" s="250"/>
      <c r="E279" s="251"/>
      <c r="F279" s="132"/>
      <c r="G279" s="132"/>
      <c r="H279" s="132"/>
      <c r="I279" s="79">
        <f>SUM(N279:N281)</f>
        <v>0</v>
      </c>
      <c r="J279" s="198">
        <f>SUMIF(Journals!D$14:D$920,TrialBalance!P279,Journals!J$14:J$920)+SUMIF(Journals!E$14:E$920,TrialBalance!P279,Journals!J$14:J$920)</f>
        <v>0</v>
      </c>
      <c r="K279" s="253"/>
      <c r="L279" s="255">
        <f t="shared" si="68"/>
        <v>0</v>
      </c>
      <c r="M279" s="75"/>
      <c r="N279" s="48">
        <f t="shared" si="42"/>
        <v>0</v>
      </c>
      <c r="P279" s="140" t="str">
        <f t="shared" si="67"/>
        <v>6350/021Furniture and fittings - acc depr b/fwd</v>
      </c>
      <c r="Q279" s="70"/>
      <c r="R279" s="31"/>
      <c r="S279" s="71"/>
      <c r="T279" s="71"/>
      <c r="U279" s="31"/>
    </row>
    <row r="280" spans="1:21" x14ac:dyDescent="0.2">
      <c r="A280" s="238"/>
      <c r="B280" s="54" t="s">
        <v>154</v>
      </c>
      <c r="C280" s="242" t="s">
        <v>801</v>
      </c>
      <c r="D280" s="250"/>
      <c r="E280" s="251"/>
      <c r="F280" s="132">
        <f>TrialBalanceA!I280</f>
        <v>0</v>
      </c>
      <c r="G280" s="132">
        <f>TrialBalanceB!I280</f>
        <v>0</v>
      </c>
      <c r="H280" s="132">
        <f>TrialBalanceC!I280</f>
        <v>0</v>
      </c>
      <c r="I280" s="79"/>
      <c r="J280" s="198">
        <f>SUMIF(Journals!D$14:D$920,TrialBalance!P280,Journals!J$14:J$920)+SUMIF(Journals!E$14:E$920,TrialBalance!P280,Journals!J$14:J$920)</f>
        <v>0</v>
      </c>
      <c r="K280" s="253"/>
      <c r="L280" s="255">
        <f t="shared" si="68"/>
        <v>0</v>
      </c>
      <c r="M280" s="75"/>
      <c r="N280" s="48">
        <f t="shared" si="42"/>
        <v>0</v>
      </c>
      <c r="P280" s="140" t="str">
        <f t="shared" si="67"/>
        <v>6350/022Furniture and fittings - depr this year</v>
      </c>
      <c r="Q280" s="70"/>
      <c r="R280" s="31"/>
      <c r="S280" s="71"/>
      <c r="T280" s="51"/>
      <c r="U280" s="31"/>
    </row>
    <row r="281" spans="1:21" x14ac:dyDescent="0.2">
      <c r="A281" s="238"/>
      <c r="B281" s="54" t="s">
        <v>244</v>
      </c>
      <c r="C281" s="242" t="s">
        <v>802</v>
      </c>
      <c r="D281" s="250"/>
      <c r="E281" s="251"/>
      <c r="F281" s="132">
        <f>TrialBalanceA!I281</f>
        <v>0</v>
      </c>
      <c r="G281" s="132">
        <f>TrialBalanceB!I281</f>
        <v>0</v>
      </c>
      <c r="H281" s="132">
        <f>TrialBalanceC!I281</f>
        <v>0</v>
      </c>
      <c r="I281" s="79"/>
      <c r="J281" s="198">
        <f>SUMIF(Journals!D$14:D$920,TrialBalance!P281,Journals!J$14:J$920)+SUMIF(Journals!E$14:E$920,TrialBalance!P281,Journals!J$14:J$920)</f>
        <v>0</v>
      </c>
      <c r="K281" s="253"/>
      <c r="L281" s="255">
        <f t="shared" si="68"/>
        <v>0</v>
      </c>
      <c r="M281" s="75"/>
      <c r="N281" s="48">
        <f t="shared" si="42"/>
        <v>0</v>
      </c>
      <c r="P281" s="140" t="str">
        <f t="shared" si="67"/>
        <v>6350/023Furniture and fittings - acc depr on sales</v>
      </c>
      <c r="Q281" s="70"/>
      <c r="R281" s="31"/>
      <c r="S281" s="71"/>
      <c r="T281" s="51"/>
      <c r="U281" s="31"/>
    </row>
    <row r="282" spans="1:21" x14ac:dyDescent="0.2">
      <c r="A282" s="238"/>
      <c r="B282" s="54" t="s">
        <v>463</v>
      </c>
      <c r="C282" s="239" t="s">
        <v>45</v>
      </c>
      <c r="D282" s="250"/>
      <c r="E282" s="251"/>
      <c r="F282" s="132"/>
      <c r="G282" s="132"/>
      <c r="H282" s="132"/>
      <c r="I282" s="79"/>
      <c r="J282" s="198">
        <f>SUMIF(Journals!D$14:D$920,TrialBalance!P282,Journals!J$14:J$920)+SUMIF(Journals!E$14:E$920,TrialBalance!P282,Journals!J$14:J$920)</f>
        <v>0</v>
      </c>
      <c r="K282" s="253"/>
      <c r="L282" s="255">
        <f t="shared" si="68"/>
        <v>0</v>
      </c>
      <c r="M282" s="75"/>
      <c r="N282" s="48">
        <f t="shared" ref="N282:N378" si="69">ROUND(SUM(A282),0)</f>
        <v>0</v>
      </c>
      <c r="P282" s="140" t="str">
        <f t="shared" si="67"/>
        <v>7000/000INTANGIBLE ASSETS</v>
      </c>
      <c r="Q282" s="70"/>
      <c r="R282" s="31"/>
      <c r="S282" s="71"/>
      <c r="T282" s="51"/>
      <c r="U282" s="31"/>
    </row>
    <row r="283" spans="1:21" x14ac:dyDescent="0.2">
      <c r="A283" s="238"/>
      <c r="B283" s="90" t="s">
        <v>1021</v>
      </c>
      <c r="C283" s="239" t="s">
        <v>1022</v>
      </c>
      <c r="D283" s="250"/>
      <c r="E283" s="251"/>
      <c r="F283" s="132"/>
      <c r="G283" s="132"/>
      <c r="H283" s="132"/>
      <c r="I283" s="79"/>
      <c r="J283" s="198">
        <f>SUMIF(Journals!D$14:D$920,TrialBalance!P283,Journals!J$14:J$920)+SUMIF(Journals!E$14:E$920,TrialBalance!P283,Journals!J$14:J$920)</f>
        <v>0</v>
      </c>
      <c r="K283" s="253"/>
      <c r="L283" s="255">
        <f t="shared" ref="L283:L300" si="70">ROUND(D283-E283+F283+G283+H283+J283+I283,0)</f>
        <v>0</v>
      </c>
      <c r="M283" s="75"/>
      <c r="N283" s="48">
        <f t="shared" ref="N283:N300" si="71">ROUND(SUM(A283),0)</f>
        <v>0</v>
      </c>
      <c r="P283" s="140" t="str">
        <f t="shared" ref="P283:P300" si="72">CONCATENATE(B283,C283)</f>
        <v>7000/001GOODWILL - COST</v>
      </c>
      <c r="Q283" s="70"/>
      <c r="R283" s="31"/>
      <c r="S283" s="71"/>
      <c r="T283" s="51"/>
      <c r="U283" s="31"/>
    </row>
    <row r="284" spans="1:21" x14ac:dyDescent="0.2">
      <c r="A284" s="238"/>
      <c r="B284" s="90" t="s">
        <v>1023</v>
      </c>
      <c r="C284" s="242" t="s">
        <v>1024</v>
      </c>
      <c r="D284" s="250"/>
      <c r="E284" s="251"/>
      <c r="F284" s="132"/>
      <c r="G284" s="132"/>
      <c r="H284" s="132"/>
      <c r="I284" s="79">
        <f>SUM(N284:N285)</f>
        <v>0</v>
      </c>
      <c r="J284" s="198">
        <f>SUMIF(Journals!D$14:D$920,TrialBalance!P284,Journals!J$14:J$920)+SUMIF(Journals!E$14:E$920,TrialBalance!P284,Journals!J$14:J$920)</f>
        <v>0</v>
      </c>
      <c r="K284" s="253"/>
      <c r="L284" s="255">
        <f t="shared" si="70"/>
        <v>0</v>
      </c>
      <c r="M284" s="75"/>
      <c r="N284" s="48">
        <f t="shared" si="71"/>
        <v>0</v>
      </c>
      <c r="P284" s="140" t="str">
        <f t="shared" si="72"/>
        <v>7000/002Goodwill - cost b/fwd</v>
      </c>
      <c r="Q284" s="70"/>
      <c r="R284" s="31"/>
      <c r="S284" s="71"/>
      <c r="T284" s="51"/>
      <c r="U284" s="31"/>
    </row>
    <row r="285" spans="1:21" x14ac:dyDescent="0.2">
      <c r="A285" s="238"/>
      <c r="B285" s="90" t="s">
        <v>1025</v>
      </c>
      <c r="C285" s="242" t="s">
        <v>1026</v>
      </c>
      <c r="D285" s="250"/>
      <c r="E285" s="251"/>
      <c r="F285" s="132">
        <f>TrialBalanceA!I285</f>
        <v>0</v>
      </c>
      <c r="G285" s="132">
        <f>TrialBalanceB!I285</f>
        <v>0</v>
      </c>
      <c r="H285" s="132">
        <f>TrialBalanceC!I285</f>
        <v>0</v>
      </c>
      <c r="I285" s="79"/>
      <c r="J285" s="198">
        <f>SUMIF(Journals!D$14:D$920,TrialBalance!P285,Journals!J$14:J$920)+SUMIF(Journals!E$14:E$920,TrialBalance!P285,Journals!J$14:J$920)</f>
        <v>0</v>
      </c>
      <c r="K285" s="253"/>
      <c r="L285" s="255">
        <f t="shared" si="70"/>
        <v>0</v>
      </c>
      <c r="M285" s="75"/>
      <c r="N285" s="48">
        <f t="shared" si="71"/>
        <v>0</v>
      </c>
      <c r="P285" s="140" t="str">
        <f t="shared" si="72"/>
        <v>7000/003Goodwill - additions</v>
      </c>
      <c r="Q285" s="70"/>
      <c r="R285" s="31"/>
      <c r="S285" s="71"/>
      <c r="T285" s="51"/>
      <c r="U285" s="31"/>
    </row>
    <row r="286" spans="1:21" x14ac:dyDescent="0.2">
      <c r="A286" s="238"/>
      <c r="B286" s="90" t="s">
        <v>1027</v>
      </c>
      <c r="C286" s="239" t="s">
        <v>1028</v>
      </c>
      <c r="D286" s="250"/>
      <c r="E286" s="251"/>
      <c r="F286" s="132"/>
      <c r="G286" s="132"/>
      <c r="H286" s="132"/>
      <c r="I286" s="79"/>
      <c r="J286" s="198">
        <f>SUMIF(Journals!D$14:D$920,TrialBalance!P286,Journals!J$14:J$920)+SUMIF(Journals!E$14:E$920,TrialBalance!P286,Journals!J$14:J$920)</f>
        <v>0</v>
      </c>
      <c r="K286" s="253"/>
      <c r="L286" s="255">
        <f t="shared" si="70"/>
        <v>0</v>
      </c>
      <c r="M286" s="75"/>
      <c r="N286" s="48">
        <f t="shared" si="71"/>
        <v>0</v>
      </c>
      <c r="P286" s="140" t="str">
        <f t="shared" si="72"/>
        <v>7000/005GOODWILL - ACC AMORTISATION</v>
      </c>
      <c r="Q286" s="70"/>
      <c r="R286" s="31"/>
      <c r="S286" s="71"/>
      <c r="T286" s="51"/>
      <c r="U286" s="31"/>
    </row>
    <row r="287" spans="1:21" x14ac:dyDescent="0.2">
      <c r="A287" s="238"/>
      <c r="B287" s="90" t="s">
        <v>1029</v>
      </c>
      <c r="C287" s="242" t="s">
        <v>1030</v>
      </c>
      <c r="D287" s="250"/>
      <c r="E287" s="251"/>
      <c r="F287" s="132"/>
      <c r="G287" s="132"/>
      <c r="H287" s="132"/>
      <c r="I287" s="79">
        <f>SUM(N287:N288)</f>
        <v>0</v>
      </c>
      <c r="J287" s="198">
        <f>SUMIF(Journals!D$14:D$920,TrialBalance!P287,Journals!J$14:J$920)+SUMIF(Journals!E$14:E$920,TrialBalance!P287,Journals!J$14:J$920)</f>
        <v>0</v>
      </c>
      <c r="K287" s="253"/>
      <c r="L287" s="255">
        <f t="shared" si="70"/>
        <v>0</v>
      </c>
      <c r="M287" s="75"/>
      <c r="N287" s="48">
        <f t="shared" si="71"/>
        <v>0</v>
      </c>
      <c r="P287" s="140" t="str">
        <f t="shared" si="72"/>
        <v>7000/006Goodwill - acc amortisation b/fwd</v>
      </c>
      <c r="Q287" s="70"/>
      <c r="R287" s="31"/>
      <c r="S287" s="71"/>
      <c r="T287" s="51"/>
      <c r="U287" s="31"/>
    </row>
    <row r="288" spans="1:21" x14ac:dyDescent="0.2">
      <c r="A288" s="238"/>
      <c r="B288" s="90" t="s">
        <v>1031</v>
      </c>
      <c r="C288" s="242" t="s">
        <v>1032</v>
      </c>
      <c r="D288" s="250"/>
      <c r="E288" s="251"/>
      <c r="F288" s="132">
        <f>TrialBalanceA!I288</f>
        <v>0</v>
      </c>
      <c r="G288" s="132">
        <f>TrialBalanceB!I288</f>
        <v>0</v>
      </c>
      <c r="H288" s="132">
        <f>TrialBalanceC!I288</f>
        <v>0</v>
      </c>
      <c r="I288" s="79"/>
      <c r="J288" s="198">
        <f>SUMIF(Journals!D$14:D$920,TrialBalance!P288,Journals!J$14:J$920)+SUMIF(Journals!E$14:E$920,TrialBalance!P288,Journals!J$14:J$920)</f>
        <v>0</v>
      </c>
      <c r="K288" s="253"/>
      <c r="L288" s="255">
        <f t="shared" si="70"/>
        <v>0</v>
      </c>
      <c r="M288" s="75"/>
      <c r="N288" s="48">
        <f t="shared" si="71"/>
        <v>0</v>
      </c>
      <c r="P288" s="140" t="str">
        <f t="shared" si="72"/>
        <v>7000/007Goodwill - amortisation this year</v>
      </c>
      <c r="Q288" s="70"/>
      <c r="R288" s="31"/>
      <c r="S288" s="71"/>
      <c r="T288" s="51"/>
      <c r="U288" s="31"/>
    </row>
    <row r="289" spans="1:21" x14ac:dyDescent="0.2">
      <c r="A289" s="238"/>
      <c r="B289" s="90" t="s">
        <v>464</v>
      </c>
      <c r="C289" s="239" t="s">
        <v>1033</v>
      </c>
      <c r="D289" s="250"/>
      <c r="E289" s="251"/>
      <c r="F289" s="132"/>
      <c r="G289" s="132"/>
      <c r="H289" s="132"/>
      <c r="I289" s="79"/>
      <c r="J289" s="198">
        <f>SUMIF(Journals!D$14:D$920,TrialBalance!P289,Journals!J$14:J$920)+SUMIF(Journals!E$14:E$920,TrialBalance!P289,Journals!J$14:J$920)</f>
        <v>0</v>
      </c>
      <c r="K289" s="253"/>
      <c r="L289" s="255">
        <f t="shared" si="70"/>
        <v>0</v>
      </c>
      <c r="M289" s="75"/>
      <c r="N289" s="48">
        <f t="shared" si="71"/>
        <v>0</v>
      </c>
      <c r="P289" s="140" t="str">
        <f t="shared" si="72"/>
        <v>7000/010GOODWILL - IMPAIRMENT</v>
      </c>
      <c r="Q289" s="70"/>
      <c r="R289" s="31"/>
      <c r="S289" s="71"/>
      <c r="T289" s="51"/>
      <c r="U289" s="31"/>
    </row>
    <row r="290" spans="1:21" x14ac:dyDescent="0.2">
      <c r="A290" s="238"/>
      <c r="B290" s="90" t="s">
        <v>653</v>
      </c>
      <c r="C290" s="242" t="s">
        <v>1034</v>
      </c>
      <c r="D290" s="250"/>
      <c r="E290" s="251"/>
      <c r="F290" s="132"/>
      <c r="G290" s="132"/>
      <c r="H290" s="132"/>
      <c r="I290" s="79">
        <f>SUM(N290:N291)</f>
        <v>0</v>
      </c>
      <c r="J290" s="198">
        <f>SUMIF(Journals!D$14:D$920,TrialBalance!P290,Journals!J$14:J$920)+SUMIF(Journals!E$14:E$920,TrialBalance!P290,Journals!J$14:J$920)</f>
        <v>0</v>
      </c>
      <c r="K290" s="253"/>
      <c r="L290" s="255">
        <f t="shared" si="70"/>
        <v>0</v>
      </c>
      <c r="M290" s="75"/>
      <c r="N290" s="48">
        <f t="shared" si="71"/>
        <v>0</v>
      </c>
      <c r="P290" s="140" t="str">
        <f t="shared" si="72"/>
        <v>7000/011Goodwill - impairment loss b/fwd</v>
      </c>
      <c r="Q290" s="70"/>
      <c r="R290" s="31"/>
      <c r="S290" s="71"/>
      <c r="T290" s="51"/>
      <c r="U290" s="31"/>
    </row>
    <row r="291" spans="1:21" x14ac:dyDescent="0.2">
      <c r="A291" s="238"/>
      <c r="B291" s="90" t="s">
        <v>1035</v>
      </c>
      <c r="C291" s="242" t="s">
        <v>1036</v>
      </c>
      <c r="D291" s="250"/>
      <c r="E291" s="251"/>
      <c r="F291" s="132">
        <f>TrialBalanceA!I291</f>
        <v>0</v>
      </c>
      <c r="G291" s="132">
        <f>TrialBalanceB!I291</f>
        <v>0</v>
      </c>
      <c r="H291" s="132">
        <f>TrialBalanceC!I291</f>
        <v>0</v>
      </c>
      <c r="I291" s="79"/>
      <c r="J291" s="198">
        <f>SUMIF(Journals!D$14:D$920,TrialBalance!P291,Journals!J$14:J$920)+SUMIF(Journals!E$14:E$920,TrialBalance!P291,Journals!J$14:J$920)</f>
        <v>0</v>
      </c>
      <c r="K291" s="253"/>
      <c r="L291" s="255">
        <f t="shared" si="70"/>
        <v>0</v>
      </c>
      <c r="M291" s="75"/>
      <c r="N291" s="48">
        <f t="shared" si="71"/>
        <v>0</v>
      </c>
      <c r="P291" s="140" t="str">
        <f t="shared" si="72"/>
        <v>7000/012Goodwill - impairment loss this year</v>
      </c>
      <c r="Q291" s="70"/>
      <c r="R291" s="31"/>
      <c r="S291" s="71"/>
      <c r="T291" s="51"/>
      <c r="U291" s="31"/>
    </row>
    <row r="292" spans="1:21" x14ac:dyDescent="0.2">
      <c r="A292" s="238"/>
      <c r="B292" s="90" t="s">
        <v>1037</v>
      </c>
      <c r="C292" s="239" t="s">
        <v>1038</v>
      </c>
      <c r="D292" s="250"/>
      <c r="E292" s="251"/>
      <c r="F292" s="132"/>
      <c r="G292" s="132"/>
      <c r="H292" s="132"/>
      <c r="I292" s="79"/>
      <c r="J292" s="198">
        <f>SUMIF(Journals!D$14:D$920,TrialBalance!P292,Journals!J$14:J$920)+SUMIF(Journals!E$14:E$920,TrialBalance!P292,Journals!J$14:J$920)</f>
        <v>0</v>
      </c>
      <c r="K292" s="253"/>
      <c r="L292" s="255">
        <f t="shared" si="70"/>
        <v>0</v>
      </c>
      <c r="M292" s="75"/>
      <c r="N292" s="48">
        <f t="shared" si="71"/>
        <v>0</v>
      </c>
      <c r="P292" s="140" t="str">
        <f t="shared" si="72"/>
        <v>7000/021PREPAID LEASE AGREEMENT - COST</v>
      </c>
      <c r="Q292" s="70"/>
      <c r="R292" s="31"/>
      <c r="S292" s="71"/>
      <c r="T292" s="51"/>
      <c r="U292" s="31"/>
    </row>
    <row r="293" spans="1:21" x14ac:dyDescent="0.2">
      <c r="A293" s="238"/>
      <c r="B293" s="90" t="s">
        <v>1039</v>
      </c>
      <c r="C293" s="242" t="s">
        <v>1040</v>
      </c>
      <c r="D293" s="250"/>
      <c r="E293" s="251"/>
      <c r="F293" s="132"/>
      <c r="G293" s="132"/>
      <c r="H293" s="132"/>
      <c r="I293" s="79">
        <f>SUM(N293:N294)</f>
        <v>0</v>
      </c>
      <c r="J293" s="198">
        <f>SUMIF(Journals!D$14:D$920,TrialBalance!P293,Journals!J$14:J$920)+SUMIF(Journals!E$14:E$920,TrialBalance!P293,Journals!J$14:J$920)</f>
        <v>0</v>
      </c>
      <c r="K293" s="253"/>
      <c r="L293" s="255">
        <f t="shared" si="70"/>
        <v>0</v>
      </c>
      <c r="M293" s="75"/>
      <c r="N293" s="48">
        <f t="shared" si="71"/>
        <v>0</v>
      </c>
      <c r="P293" s="140" t="str">
        <f t="shared" si="72"/>
        <v>7000/022Prepaid lease agreement - cost b/fwd</v>
      </c>
      <c r="Q293" s="70"/>
      <c r="R293" s="31"/>
      <c r="S293" s="71"/>
      <c r="T293" s="51"/>
      <c r="U293" s="31"/>
    </row>
    <row r="294" spans="1:21" x14ac:dyDescent="0.2">
      <c r="A294" s="238"/>
      <c r="B294" s="90" t="s">
        <v>1041</v>
      </c>
      <c r="C294" s="242" t="s">
        <v>1042</v>
      </c>
      <c r="D294" s="250"/>
      <c r="E294" s="251"/>
      <c r="F294" s="132">
        <f>TrialBalanceA!I294</f>
        <v>0</v>
      </c>
      <c r="G294" s="132">
        <f>TrialBalanceB!I294</f>
        <v>0</v>
      </c>
      <c r="H294" s="132">
        <f>TrialBalanceC!I294</f>
        <v>0</v>
      </c>
      <c r="I294" s="79"/>
      <c r="J294" s="198">
        <f>SUMIF(Journals!D$14:D$920,TrialBalance!P294,Journals!J$14:J$920)+SUMIF(Journals!E$14:E$920,TrialBalance!P294,Journals!J$14:J$920)</f>
        <v>0</v>
      </c>
      <c r="K294" s="253"/>
      <c r="L294" s="255">
        <f t="shared" si="70"/>
        <v>0</v>
      </c>
      <c r="M294" s="75"/>
      <c r="N294" s="48">
        <f t="shared" si="71"/>
        <v>0</v>
      </c>
      <c r="P294" s="140" t="str">
        <f t="shared" si="72"/>
        <v>7000/023Prepaid lease agreement - additions</v>
      </c>
      <c r="Q294" s="70"/>
      <c r="R294" s="31"/>
      <c r="S294" s="71"/>
      <c r="T294" s="51"/>
      <c r="U294" s="31"/>
    </row>
    <row r="295" spans="1:21" x14ac:dyDescent="0.2">
      <c r="A295" s="238"/>
      <c r="B295" s="90" t="s">
        <v>465</v>
      </c>
      <c r="C295" s="239" t="s">
        <v>1043</v>
      </c>
      <c r="D295" s="250"/>
      <c r="E295" s="251"/>
      <c r="F295" s="132"/>
      <c r="G295" s="132"/>
      <c r="H295" s="132"/>
      <c r="I295" s="79"/>
      <c r="J295" s="198">
        <f>SUMIF(Journals!D$14:D$920,TrialBalance!P295,Journals!J$14:J$920)+SUMIF(Journals!E$14:E$920,TrialBalance!P295,Journals!J$14:J$920)</f>
        <v>0</v>
      </c>
      <c r="K295" s="253"/>
      <c r="L295" s="255">
        <f t="shared" si="70"/>
        <v>0</v>
      </c>
      <c r="M295" s="75"/>
      <c r="N295" s="48">
        <f t="shared" si="71"/>
        <v>0</v>
      </c>
      <c r="P295" s="140" t="str">
        <f t="shared" si="72"/>
        <v>7000/025PREPAID LEASE AGREEMENT - ACC AMORTISATION</v>
      </c>
      <c r="Q295" s="70"/>
      <c r="R295" s="31"/>
      <c r="S295" s="71"/>
      <c r="T295" s="51"/>
      <c r="U295" s="31"/>
    </row>
    <row r="296" spans="1:21" x14ac:dyDescent="0.2">
      <c r="A296" s="238"/>
      <c r="B296" s="90" t="s">
        <v>1044</v>
      </c>
      <c r="C296" s="242" t="s">
        <v>1045</v>
      </c>
      <c r="D296" s="250"/>
      <c r="E296" s="251"/>
      <c r="F296" s="132"/>
      <c r="G296" s="132"/>
      <c r="H296" s="132"/>
      <c r="I296" s="79">
        <f>SUM(N296:N297)</f>
        <v>0</v>
      </c>
      <c r="J296" s="198">
        <f>SUMIF(Journals!D$14:D$920,TrialBalance!P296,Journals!J$14:J$920)+SUMIF(Journals!E$14:E$920,TrialBalance!P296,Journals!J$14:J$920)</f>
        <v>0</v>
      </c>
      <c r="K296" s="253"/>
      <c r="L296" s="255">
        <f t="shared" si="70"/>
        <v>0</v>
      </c>
      <c r="M296" s="75"/>
      <c r="N296" s="48">
        <f t="shared" si="71"/>
        <v>0</v>
      </c>
      <c r="P296" s="140" t="str">
        <f t="shared" si="72"/>
        <v>7000/026Prepaid lease agreement - acc amortisation b/fwd</v>
      </c>
      <c r="Q296" s="70"/>
      <c r="R296" s="31"/>
      <c r="S296" s="71"/>
      <c r="T296" s="51"/>
      <c r="U296" s="31"/>
    </row>
    <row r="297" spans="1:21" x14ac:dyDescent="0.2">
      <c r="A297" s="238"/>
      <c r="B297" s="90" t="s">
        <v>1046</v>
      </c>
      <c r="C297" s="242" t="s">
        <v>1047</v>
      </c>
      <c r="D297" s="250"/>
      <c r="E297" s="251"/>
      <c r="F297" s="132">
        <f>TrialBalanceA!I297</f>
        <v>0</v>
      </c>
      <c r="G297" s="132">
        <f>TrialBalanceB!I297</f>
        <v>0</v>
      </c>
      <c r="H297" s="132">
        <f>TrialBalanceC!I297</f>
        <v>0</v>
      </c>
      <c r="I297" s="79"/>
      <c r="J297" s="198">
        <f>SUMIF(Journals!D$14:D$920,TrialBalance!P297,Journals!J$14:J$920)+SUMIF(Journals!E$14:E$920,TrialBalance!P297,Journals!J$14:J$920)</f>
        <v>0</v>
      </c>
      <c r="K297" s="253"/>
      <c r="L297" s="255">
        <f t="shared" si="70"/>
        <v>0</v>
      </c>
      <c r="M297" s="75"/>
      <c r="N297" s="48">
        <f t="shared" si="71"/>
        <v>0</v>
      </c>
      <c r="P297" s="140" t="str">
        <f t="shared" si="72"/>
        <v>7000/027Prepaid lease agreement - amortisation this year</v>
      </c>
      <c r="Q297" s="70"/>
      <c r="R297" s="31"/>
      <c r="S297" s="71"/>
      <c r="T297" s="51"/>
      <c r="U297" s="31"/>
    </row>
    <row r="298" spans="1:21" x14ac:dyDescent="0.2">
      <c r="A298" s="238"/>
      <c r="B298" s="90" t="s">
        <v>1048</v>
      </c>
      <c r="C298" s="239" t="s">
        <v>1049</v>
      </c>
      <c r="D298" s="250"/>
      <c r="E298" s="251"/>
      <c r="F298" s="132"/>
      <c r="G298" s="132"/>
      <c r="H298" s="132"/>
      <c r="I298" s="79"/>
      <c r="J298" s="198">
        <f>SUMIF(Journals!D$14:D$920,TrialBalance!P298,Journals!J$14:J$920)+SUMIF(Journals!E$14:E$920,TrialBalance!P298,Journals!J$14:J$920)</f>
        <v>0</v>
      </c>
      <c r="K298" s="253"/>
      <c r="L298" s="255">
        <f t="shared" si="70"/>
        <v>0</v>
      </c>
      <c r="M298" s="75"/>
      <c r="N298" s="48">
        <f t="shared" si="71"/>
        <v>0</v>
      </c>
      <c r="P298" s="140" t="str">
        <f t="shared" si="72"/>
        <v>7000/030PREPAID LEASE AGREEMENT - IMPAIRMENT</v>
      </c>
      <c r="Q298" s="70"/>
      <c r="R298" s="31"/>
      <c r="S298" s="71"/>
      <c r="T298" s="51"/>
      <c r="U298" s="31"/>
    </row>
    <row r="299" spans="1:21" x14ac:dyDescent="0.2">
      <c r="A299" s="238"/>
      <c r="B299" s="90" t="s">
        <v>1050</v>
      </c>
      <c r="C299" s="242" t="s">
        <v>1051</v>
      </c>
      <c r="D299" s="250"/>
      <c r="E299" s="251"/>
      <c r="F299" s="132"/>
      <c r="G299" s="132"/>
      <c r="H299" s="132"/>
      <c r="I299" s="79">
        <f>SUM(N299:N300)</f>
        <v>0</v>
      </c>
      <c r="J299" s="198">
        <f>SUMIF(Journals!D$14:D$920,TrialBalance!P299,Journals!J$14:J$920)+SUMIF(Journals!E$14:E$920,TrialBalance!P299,Journals!J$14:J$920)</f>
        <v>0</v>
      </c>
      <c r="K299" s="253"/>
      <c r="L299" s="255">
        <f t="shared" si="70"/>
        <v>0</v>
      </c>
      <c r="M299" s="75"/>
      <c r="N299" s="48">
        <f t="shared" si="71"/>
        <v>0</v>
      </c>
      <c r="P299" s="140" t="str">
        <f t="shared" si="72"/>
        <v>7000/031Prepaid lease agreement - impairment loss b/fwd</v>
      </c>
      <c r="Q299" s="70"/>
      <c r="R299" s="31"/>
      <c r="S299" s="71"/>
      <c r="T299" s="51"/>
      <c r="U299" s="31"/>
    </row>
    <row r="300" spans="1:21" x14ac:dyDescent="0.2">
      <c r="A300" s="238"/>
      <c r="B300" s="90" t="s">
        <v>1052</v>
      </c>
      <c r="C300" s="242" t="s">
        <v>1053</v>
      </c>
      <c r="D300" s="250"/>
      <c r="E300" s="251"/>
      <c r="F300" s="132">
        <f>TrialBalanceA!I300</f>
        <v>0</v>
      </c>
      <c r="G300" s="132">
        <f>TrialBalanceB!I300</f>
        <v>0</v>
      </c>
      <c r="H300" s="132">
        <f>TrialBalanceC!I300</f>
        <v>0</v>
      </c>
      <c r="I300" s="79"/>
      <c r="J300" s="198">
        <f>SUMIF(Journals!D$14:D$920,TrialBalance!P300,Journals!J$14:J$920)+SUMIF(Journals!E$14:E$920,TrialBalance!P300,Journals!J$14:J$920)</f>
        <v>0</v>
      </c>
      <c r="K300" s="253"/>
      <c r="L300" s="255">
        <f t="shared" si="70"/>
        <v>0</v>
      </c>
      <c r="M300" s="75"/>
      <c r="N300" s="48">
        <f t="shared" si="71"/>
        <v>0</v>
      </c>
      <c r="P300" s="140" t="str">
        <f t="shared" si="72"/>
        <v>7000/032Prepaid lease agreement - impairment loss this year</v>
      </c>
      <c r="Q300" s="70"/>
      <c r="R300" s="31"/>
      <c r="S300" s="71"/>
      <c r="T300" s="51"/>
      <c r="U300" s="31"/>
    </row>
    <row r="301" spans="1:21" x14ac:dyDescent="0.2">
      <c r="A301" s="238"/>
      <c r="B301" s="54" t="s">
        <v>466</v>
      </c>
      <c r="C301" s="239" t="s">
        <v>171</v>
      </c>
      <c r="D301" s="250"/>
      <c r="E301" s="251"/>
      <c r="F301" s="132"/>
      <c r="G301" s="132"/>
      <c r="H301" s="132"/>
      <c r="I301" s="79"/>
      <c r="J301" s="198">
        <f>SUMIF(Journals!D$14:D$920,TrialBalance!P301,Journals!J$14:J$920)+SUMIF(Journals!E$14:E$920,TrialBalance!P301,Journals!J$14:J$920)</f>
        <v>0</v>
      </c>
      <c r="K301" s="253"/>
      <c r="L301" s="255">
        <f t="shared" si="68"/>
        <v>0</v>
      </c>
      <c r="M301" s="75"/>
      <c r="N301" s="48">
        <f t="shared" si="69"/>
        <v>0</v>
      </c>
      <c r="P301" s="140" t="str">
        <f t="shared" si="67"/>
        <v>7100/000INVESTMENTS</v>
      </c>
      <c r="Q301" s="70"/>
      <c r="R301" s="31"/>
      <c r="S301" s="71"/>
      <c r="T301" s="51"/>
      <c r="U301" s="31"/>
    </row>
    <row r="302" spans="1:21" x14ac:dyDescent="0.2">
      <c r="A302" s="238"/>
      <c r="B302" s="90" t="s">
        <v>917</v>
      </c>
      <c r="C302" s="242" t="s">
        <v>918</v>
      </c>
      <c r="D302" s="250"/>
      <c r="E302" s="251"/>
      <c r="F302" s="132"/>
      <c r="G302" s="132"/>
      <c r="H302" s="132"/>
      <c r="I302" s="79"/>
      <c r="J302" s="198">
        <f>SUMIF(Journals!D$14:D$920,TrialBalance!P302,Journals!J$14:J$920)+SUMIF(Journals!E$14:E$920,TrialBalance!P302,Journals!J$14:J$920)</f>
        <v>0</v>
      </c>
      <c r="K302" s="253"/>
      <c r="L302" s="255">
        <f t="shared" ref="L302:L305" si="73">ROUND(D302-E302+F302+G302+H302+J302+I302,0)</f>
        <v>0</v>
      </c>
      <c r="M302" s="75"/>
      <c r="N302" s="48">
        <f t="shared" ref="N302:N305" si="74">ROUND(SUM(A302),0)</f>
        <v>0</v>
      </c>
      <c r="P302" s="140" t="str">
        <f t="shared" ref="P302:P305" si="75">CONCATENATE(B302,C302)</f>
        <v>7100/050INVESTMENTS IN ASSOCIATES</v>
      </c>
      <c r="Q302" s="70"/>
      <c r="R302" s="31"/>
      <c r="S302" s="71"/>
      <c r="T302" s="51"/>
      <c r="U302" s="31"/>
    </row>
    <row r="303" spans="1:21" x14ac:dyDescent="0.2">
      <c r="A303" s="238"/>
      <c r="B303" s="90" t="s">
        <v>919</v>
      </c>
      <c r="C303" s="249" t="s">
        <v>920</v>
      </c>
      <c r="D303" s="250"/>
      <c r="E303" s="251"/>
      <c r="F303" s="132">
        <f>TrialBalanceA!I303-TrialBalanceA!K303</f>
        <v>0</v>
      </c>
      <c r="G303" s="132">
        <f>TrialBalanceB!I303-TrialBalanceB!K303</f>
        <v>0</v>
      </c>
      <c r="H303" s="132">
        <f>TrialBalanceC!I303-TrialBalanceC!K303</f>
        <v>0</v>
      </c>
      <c r="I303" s="79">
        <f>N303</f>
        <v>0</v>
      </c>
      <c r="J303" s="198">
        <f>SUMIF(Journals!D$14:D$920,TrialBalance!P303,Journals!J$14:J$920)+SUMIF(Journals!E$14:E$920,TrialBalance!P303,Journals!J$14:J$920)</f>
        <v>0</v>
      </c>
      <c r="K303" s="253"/>
      <c r="L303" s="255">
        <f t="shared" si="73"/>
        <v>0</v>
      </c>
      <c r="M303" s="75"/>
      <c r="N303" s="48">
        <f t="shared" si="74"/>
        <v>0</v>
      </c>
      <c r="P303" s="140" t="str">
        <f t="shared" si="75"/>
        <v>7100/051100 Shares in ABC Company (Pty) Ltd - 100% interest</v>
      </c>
      <c r="Q303" s="70"/>
      <c r="R303" s="31"/>
      <c r="S303" s="71"/>
      <c r="T303" s="51"/>
      <c r="U303" s="31"/>
    </row>
    <row r="304" spans="1:21" x14ac:dyDescent="0.2">
      <c r="A304" s="238"/>
      <c r="B304" s="90" t="s">
        <v>921</v>
      </c>
      <c r="C304" s="249"/>
      <c r="D304" s="250"/>
      <c r="E304" s="251"/>
      <c r="F304" s="132">
        <f>TrialBalanceA!I304-TrialBalanceA!K304</f>
        <v>0</v>
      </c>
      <c r="G304" s="132">
        <f>TrialBalanceB!I304-TrialBalanceB!K304</f>
        <v>0</v>
      </c>
      <c r="H304" s="132">
        <f>TrialBalanceC!I304-TrialBalanceC!K304</f>
        <v>0</v>
      </c>
      <c r="I304" s="79">
        <f>N304</f>
        <v>0</v>
      </c>
      <c r="J304" s="198">
        <f>SUMIF(Journals!D$14:D$920,TrialBalance!P304,Journals!J$14:J$920)+SUMIF(Journals!E$14:E$920,TrialBalance!P304,Journals!J$14:J$920)</f>
        <v>0</v>
      </c>
      <c r="K304" s="253"/>
      <c r="L304" s="255">
        <f t="shared" si="73"/>
        <v>0</v>
      </c>
      <c r="M304" s="75"/>
      <c r="N304" s="48">
        <f t="shared" si="74"/>
        <v>0</v>
      </c>
      <c r="P304" s="140" t="str">
        <f t="shared" si="75"/>
        <v>7100/052</v>
      </c>
      <c r="Q304" s="70"/>
      <c r="R304" s="31"/>
      <c r="S304" s="71"/>
      <c r="T304" s="51"/>
      <c r="U304" s="31"/>
    </row>
    <row r="305" spans="1:21" x14ac:dyDescent="0.2">
      <c r="A305" s="238"/>
      <c r="B305" s="90" t="s">
        <v>922</v>
      </c>
      <c r="C305" s="249"/>
      <c r="D305" s="250"/>
      <c r="E305" s="251"/>
      <c r="F305" s="132">
        <f>TrialBalanceA!I305-TrialBalanceA!K305</f>
        <v>0</v>
      </c>
      <c r="G305" s="132">
        <f>TrialBalanceB!I305-TrialBalanceB!K305</f>
        <v>0</v>
      </c>
      <c r="H305" s="132">
        <f>TrialBalanceC!I305-TrialBalanceC!K305</f>
        <v>0</v>
      </c>
      <c r="I305" s="79">
        <f>N305</f>
        <v>0</v>
      </c>
      <c r="J305" s="198">
        <f>SUMIF(Journals!D$14:D$920,TrialBalance!P305,Journals!J$14:J$920)+SUMIF(Journals!E$14:E$920,TrialBalance!P305,Journals!J$14:J$920)</f>
        <v>0</v>
      </c>
      <c r="K305" s="253"/>
      <c r="L305" s="255">
        <f t="shared" si="73"/>
        <v>0</v>
      </c>
      <c r="M305" s="75"/>
      <c r="N305" s="48">
        <f t="shared" si="74"/>
        <v>0</v>
      </c>
      <c r="P305" s="140" t="str">
        <f t="shared" si="75"/>
        <v>7100/053</v>
      </c>
      <c r="Q305" s="70"/>
      <c r="R305" s="31"/>
      <c r="S305" s="71"/>
      <c r="T305" s="51"/>
      <c r="U305" s="31"/>
    </row>
    <row r="306" spans="1:21" x14ac:dyDescent="0.2">
      <c r="A306" s="238"/>
      <c r="B306" s="54" t="s">
        <v>467</v>
      </c>
      <c r="C306" s="240" t="s">
        <v>468</v>
      </c>
      <c r="D306" s="250"/>
      <c r="E306" s="251"/>
      <c r="F306" s="132"/>
      <c r="G306" s="132"/>
      <c r="H306" s="132"/>
      <c r="I306" s="79"/>
      <c r="J306" s="198">
        <f>SUMIF(Journals!D$14:D$920,TrialBalance!P306,Journals!J$14:J$920)+SUMIF(Journals!E$14:E$920,TrialBalance!P306,Journals!J$14:J$920)</f>
        <v>0</v>
      </c>
      <c r="K306" s="253"/>
      <c r="L306" s="255">
        <f t="shared" si="68"/>
        <v>0</v>
      </c>
      <c r="M306" s="75"/>
      <c r="N306" s="48">
        <f t="shared" si="69"/>
        <v>0</v>
      </c>
      <c r="P306" s="140" t="str">
        <f t="shared" si="67"/>
        <v>7100/100LISTED INVESTMENTS</v>
      </c>
      <c r="Q306" s="70"/>
      <c r="R306" s="31"/>
      <c r="S306" s="71"/>
      <c r="T306" s="51"/>
      <c r="U306" s="31"/>
    </row>
    <row r="307" spans="1:21" x14ac:dyDescent="0.2">
      <c r="A307" s="238"/>
      <c r="B307" s="54" t="s">
        <v>469</v>
      </c>
      <c r="C307" s="249"/>
      <c r="D307" s="250"/>
      <c r="E307" s="251"/>
      <c r="F307" s="132">
        <f>TrialBalanceA!I307-TrialBalanceA!K307</f>
        <v>0</v>
      </c>
      <c r="G307" s="132">
        <f>TrialBalanceB!I307-TrialBalanceB!K307</f>
        <v>0</v>
      </c>
      <c r="H307" s="132">
        <f>TrialBalanceC!I307-TrialBalanceC!K307</f>
        <v>0</v>
      </c>
      <c r="I307" s="79">
        <f>N307</f>
        <v>0</v>
      </c>
      <c r="J307" s="198">
        <f>SUMIF(Journals!D$14:D$920,TrialBalance!P307,Journals!J$14:J$920)+SUMIF(Journals!E$14:E$920,TrialBalance!P307,Journals!J$14:J$920)</f>
        <v>0</v>
      </c>
      <c r="K307" s="253"/>
      <c r="L307" s="255">
        <f t="shared" si="68"/>
        <v>0</v>
      </c>
      <c r="M307" s="75"/>
      <c r="N307" s="48">
        <f t="shared" si="69"/>
        <v>0</v>
      </c>
      <c r="P307" s="140" t="str">
        <f t="shared" si="67"/>
        <v>7100/101</v>
      </c>
      <c r="Q307" s="70"/>
      <c r="R307" s="31"/>
      <c r="S307" s="71"/>
      <c r="T307" s="51"/>
      <c r="U307" s="31"/>
    </row>
    <row r="308" spans="1:21" x14ac:dyDescent="0.2">
      <c r="A308" s="238"/>
      <c r="B308" s="54" t="s">
        <v>470</v>
      </c>
      <c r="C308" s="249"/>
      <c r="D308" s="250"/>
      <c r="E308" s="251"/>
      <c r="F308" s="132">
        <f>TrialBalanceA!I308-TrialBalanceA!K308</f>
        <v>0</v>
      </c>
      <c r="G308" s="132">
        <f>TrialBalanceB!I308-TrialBalanceB!K308</f>
        <v>0</v>
      </c>
      <c r="H308" s="132">
        <f>TrialBalanceC!I308-TrialBalanceC!K308</f>
        <v>0</v>
      </c>
      <c r="I308" s="79">
        <f>N308</f>
        <v>0</v>
      </c>
      <c r="J308" s="198">
        <f>SUMIF(Journals!D$14:D$920,TrialBalance!P308,Journals!J$14:J$920)+SUMIF(Journals!E$14:E$920,TrialBalance!P308,Journals!J$14:J$920)</f>
        <v>0</v>
      </c>
      <c r="K308" s="253"/>
      <c r="L308" s="255">
        <f t="shared" si="68"/>
        <v>0</v>
      </c>
      <c r="M308" s="75"/>
      <c r="N308" s="48">
        <f t="shared" si="69"/>
        <v>0</v>
      </c>
      <c r="P308" s="140" t="str">
        <f t="shared" si="67"/>
        <v>7100/102</v>
      </c>
      <c r="Q308" s="70"/>
      <c r="R308" s="31"/>
      <c r="S308" s="71"/>
      <c r="T308" s="51"/>
      <c r="U308" s="31"/>
    </row>
    <row r="309" spans="1:21" x14ac:dyDescent="0.2">
      <c r="A309" s="238"/>
      <c r="B309" s="54" t="s">
        <v>471</v>
      </c>
      <c r="C309" s="249"/>
      <c r="D309" s="250"/>
      <c r="E309" s="251"/>
      <c r="F309" s="132">
        <f>TrialBalanceA!I309-TrialBalanceA!K309</f>
        <v>0</v>
      </c>
      <c r="G309" s="132">
        <f>TrialBalanceB!I309-TrialBalanceB!K309</f>
        <v>0</v>
      </c>
      <c r="H309" s="132">
        <f>TrialBalanceC!I309-TrialBalanceC!K309</f>
        <v>0</v>
      </c>
      <c r="I309" s="79">
        <f>N309</f>
        <v>0</v>
      </c>
      <c r="J309" s="198">
        <f>SUMIF(Journals!D$14:D$920,TrialBalance!P309,Journals!J$14:J$920)+SUMIF(Journals!E$14:E$920,TrialBalance!P309,Journals!J$14:J$920)</f>
        <v>0</v>
      </c>
      <c r="K309" s="253"/>
      <c r="L309" s="255">
        <f t="shared" si="68"/>
        <v>0</v>
      </c>
      <c r="M309" s="75"/>
      <c r="N309" s="48">
        <f t="shared" si="69"/>
        <v>0</v>
      </c>
      <c r="P309" s="140" t="str">
        <f t="shared" si="67"/>
        <v>7100/103</v>
      </c>
      <c r="Q309" s="70"/>
      <c r="R309" s="31"/>
      <c r="S309" s="71"/>
      <c r="T309" s="51"/>
      <c r="U309" s="31"/>
    </row>
    <row r="310" spans="1:21" x14ac:dyDescent="0.2">
      <c r="A310" s="238"/>
      <c r="B310" s="54" t="s">
        <v>472</v>
      </c>
      <c r="C310" s="249"/>
      <c r="D310" s="250"/>
      <c r="E310" s="251"/>
      <c r="F310" s="132">
        <f>TrialBalanceA!I310-TrialBalanceA!K310</f>
        <v>0</v>
      </c>
      <c r="G310" s="132">
        <f>TrialBalanceB!I310-TrialBalanceB!K310</f>
        <v>0</v>
      </c>
      <c r="H310" s="132">
        <f>TrialBalanceC!I310-TrialBalanceC!K310</f>
        <v>0</v>
      </c>
      <c r="I310" s="79">
        <f>N310</f>
        <v>0</v>
      </c>
      <c r="J310" s="198">
        <f>SUMIF(Journals!D$14:D$920,TrialBalance!P310,Journals!J$14:J$920)+SUMIF(Journals!E$14:E$920,TrialBalance!P310,Journals!J$14:J$920)</f>
        <v>0</v>
      </c>
      <c r="K310" s="253"/>
      <c r="L310" s="255">
        <f t="shared" si="68"/>
        <v>0</v>
      </c>
      <c r="M310" s="75"/>
      <c r="N310" s="48">
        <f t="shared" si="69"/>
        <v>0</v>
      </c>
      <c r="P310" s="140" t="str">
        <f t="shared" si="67"/>
        <v>7100/104</v>
      </c>
      <c r="Q310" s="70"/>
      <c r="R310" s="31"/>
      <c r="S310" s="71"/>
      <c r="T310" s="51"/>
      <c r="U310" s="31"/>
    </row>
    <row r="311" spans="1:21" x14ac:dyDescent="0.2">
      <c r="A311" s="238"/>
      <c r="B311" s="54" t="s">
        <v>473</v>
      </c>
      <c r="C311" s="249"/>
      <c r="D311" s="250"/>
      <c r="E311" s="251"/>
      <c r="F311" s="132">
        <f>TrialBalanceA!I311-TrialBalanceA!K311</f>
        <v>0</v>
      </c>
      <c r="G311" s="132">
        <f>TrialBalanceB!I311-TrialBalanceB!K311</f>
        <v>0</v>
      </c>
      <c r="H311" s="132">
        <f>TrialBalanceC!I311-TrialBalanceC!K311</f>
        <v>0</v>
      </c>
      <c r="I311" s="79">
        <f>N311</f>
        <v>0</v>
      </c>
      <c r="J311" s="198">
        <f>SUMIF(Journals!D$14:D$920,TrialBalance!P311,Journals!J$14:J$920)+SUMIF(Journals!E$14:E$920,TrialBalance!P311,Journals!J$14:J$920)</f>
        <v>0</v>
      </c>
      <c r="K311" s="253"/>
      <c r="L311" s="255">
        <f t="shared" si="68"/>
        <v>0</v>
      </c>
      <c r="M311" s="75"/>
      <c r="N311" s="48">
        <f t="shared" si="69"/>
        <v>0</v>
      </c>
      <c r="P311" s="140" t="str">
        <f t="shared" si="67"/>
        <v>7100/105</v>
      </c>
      <c r="Q311" s="70"/>
      <c r="R311" s="31"/>
      <c r="S311" s="71"/>
      <c r="T311" s="51"/>
      <c r="U311" s="31"/>
    </row>
    <row r="312" spans="1:21" x14ac:dyDescent="0.2">
      <c r="A312" s="238"/>
      <c r="B312" s="54" t="s">
        <v>474</v>
      </c>
      <c r="C312" s="242" t="s">
        <v>373</v>
      </c>
      <c r="D312" s="250"/>
      <c r="E312" s="251"/>
      <c r="F312" s="132"/>
      <c r="G312" s="132"/>
      <c r="H312" s="132"/>
      <c r="I312" s="79"/>
      <c r="J312" s="198">
        <f>SUMIF(Journals!D$14:D$920,TrialBalance!P312,Journals!J$14:J$920)+SUMIF(Journals!E$14:E$920,TrialBalance!P312,Journals!J$14:J$920)</f>
        <v>0</v>
      </c>
      <c r="K312" s="253"/>
      <c r="L312" s="255">
        <f t="shared" si="68"/>
        <v>0</v>
      </c>
      <c r="M312" s="75"/>
      <c r="N312" s="48">
        <f t="shared" si="69"/>
        <v>0</v>
      </c>
      <c r="P312" s="140" t="str">
        <f t="shared" si="67"/>
        <v>7100/200OTHER INVESTMENTS</v>
      </c>
      <c r="Q312" s="70"/>
      <c r="R312" s="31"/>
      <c r="S312" s="71"/>
      <c r="T312" s="51"/>
      <c r="U312" s="31"/>
    </row>
    <row r="313" spans="1:21" x14ac:dyDescent="0.2">
      <c r="A313" s="238"/>
      <c r="B313" s="54" t="s">
        <v>475</v>
      </c>
      <c r="C313" s="249"/>
      <c r="D313" s="250"/>
      <c r="E313" s="251"/>
      <c r="F313" s="132">
        <f>TrialBalanceA!I313-TrialBalanceA!K313</f>
        <v>0</v>
      </c>
      <c r="G313" s="132">
        <f>TrialBalanceB!I313-TrialBalanceB!K313</f>
        <v>0</v>
      </c>
      <c r="H313" s="132">
        <f>TrialBalanceC!I313-TrialBalanceC!K313</f>
        <v>0</v>
      </c>
      <c r="I313" s="79">
        <f>N313</f>
        <v>0</v>
      </c>
      <c r="J313" s="198">
        <f>SUMIF(Journals!D$14:D$920,TrialBalance!P313,Journals!J$14:J$920)+SUMIF(Journals!E$14:E$920,TrialBalance!P313,Journals!J$14:J$920)</f>
        <v>0</v>
      </c>
      <c r="K313" s="253"/>
      <c r="L313" s="255">
        <f t="shared" si="68"/>
        <v>0</v>
      </c>
      <c r="M313" s="75"/>
      <c r="N313" s="48">
        <f t="shared" si="69"/>
        <v>0</v>
      </c>
      <c r="P313" s="140" t="str">
        <f t="shared" si="67"/>
        <v>7100/201</v>
      </c>
      <c r="Q313" s="70"/>
      <c r="R313" s="31"/>
      <c r="S313" s="71"/>
      <c r="T313" s="51"/>
      <c r="U313" s="31"/>
    </row>
    <row r="314" spans="1:21" x14ac:dyDescent="0.2">
      <c r="A314" s="238"/>
      <c r="B314" s="54" t="s">
        <v>476</v>
      </c>
      <c r="C314" s="249"/>
      <c r="D314" s="250"/>
      <c r="E314" s="251"/>
      <c r="F314" s="132">
        <f>TrialBalanceA!I314-TrialBalanceA!K314</f>
        <v>0</v>
      </c>
      <c r="G314" s="132">
        <f>TrialBalanceB!I314-TrialBalanceB!K314</f>
        <v>0</v>
      </c>
      <c r="H314" s="132">
        <f>TrialBalanceC!I314-TrialBalanceC!K314</f>
        <v>0</v>
      </c>
      <c r="I314" s="79">
        <f>N314</f>
        <v>0</v>
      </c>
      <c r="J314" s="198">
        <f>SUMIF(Journals!D$14:D$920,TrialBalance!P314,Journals!J$14:J$920)+SUMIF(Journals!E$14:E$920,TrialBalance!P314,Journals!J$14:J$920)</f>
        <v>0</v>
      </c>
      <c r="K314" s="253"/>
      <c r="L314" s="255">
        <f t="shared" si="68"/>
        <v>0</v>
      </c>
      <c r="M314" s="75"/>
      <c r="N314" s="48">
        <f t="shared" si="69"/>
        <v>0</v>
      </c>
      <c r="P314" s="140" t="str">
        <f t="shared" si="67"/>
        <v>7100/202</v>
      </c>
      <c r="Q314" s="70"/>
      <c r="R314" s="31"/>
      <c r="S314" s="71"/>
      <c r="T314" s="51"/>
      <c r="U314" s="31"/>
    </row>
    <row r="315" spans="1:21" x14ac:dyDescent="0.2">
      <c r="A315" s="238"/>
      <c r="B315" s="54" t="s">
        <v>477</v>
      </c>
      <c r="C315" s="249"/>
      <c r="D315" s="250"/>
      <c r="E315" s="251"/>
      <c r="F315" s="132">
        <f>TrialBalanceA!I315-TrialBalanceA!K315</f>
        <v>0</v>
      </c>
      <c r="G315" s="132">
        <f>TrialBalanceB!I315-TrialBalanceB!K315</f>
        <v>0</v>
      </c>
      <c r="H315" s="132">
        <f>TrialBalanceC!I315-TrialBalanceC!K315</f>
        <v>0</v>
      </c>
      <c r="I315" s="79">
        <f>N315</f>
        <v>0</v>
      </c>
      <c r="J315" s="198">
        <f>SUMIF(Journals!D$14:D$920,TrialBalance!P315,Journals!J$14:J$920)+SUMIF(Journals!E$14:E$920,TrialBalance!P315,Journals!J$14:J$920)</f>
        <v>0</v>
      </c>
      <c r="K315" s="253"/>
      <c r="L315" s="255">
        <f t="shared" si="68"/>
        <v>0</v>
      </c>
      <c r="M315" s="75"/>
      <c r="N315" s="48">
        <f t="shared" si="69"/>
        <v>0</v>
      </c>
      <c r="P315" s="140" t="str">
        <f t="shared" si="67"/>
        <v>7100/203</v>
      </c>
      <c r="Q315" s="70"/>
      <c r="R315" s="31"/>
      <c r="S315" s="71"/>
      <c r="T315" s="51"/>
      <c r="U315" s="31"/>
    </row>
    <row r="316" spans="1:21" x14ac:dyDescent="0.2">
      <c r="A316" s="238"/>
      <c r="B316" s="54" t="s">
        <v>478</v>
      </c>
      <c r="C316" s="249"/>
      <c r="D316" s="250"/>
      <c r="E316" s="251"/>
      <c r="F316" s="132">
        <f>TrialBalanceA!I316-TrialBalanceA!K316</f>
        <v>0</v>
      </c>
      <c r="G316" s="132">
        <f>TrialBalanceB!I316-TrialBalanceB!K316</f>
        <v>0</v>
      </c>
      <c r="H316" s="132">
        <f>TrialBalanceC!I316-TrialBalanceC!K316</f>
        <v>0</v>
      </c>
      <c r="I316" s="79">
        <f>N316</f>
        <v>0</v>
      </c>
      <c r="J316" s="198">
        <f>SUMIF(Journals!D$14:D$920,TrialBalance!P316,Journals!J$14:J$920)+SUMIF(Journals!E$14:E$920,TrialBalance!P316,Journals!J$14:J$920)</f>
        <v>0</v>
      </c>
      <c r="K316" s="253"/>
      <c r="L316" s="255">
        <f t="shared" si="68"/>
        <v>0</v>
      </c>
      <c r="M316" s="75"/>
      <c r="N316" s="48">
        <f t="shared" si="69"/>
        <v>0</v>
      </c>
      <c r="P316" s="140" t="str">
        <f t="shared" si="67"/>
        <v>7100/204</v>
      </c>
      <c r="Q316" s="70"/>
      <c r="R316" s="31"/>
      <c r="S316" s="71"/>
      <c r="T316" s="51"/>
      <c r="U316" s="31"/>
    </row>
    <row r="317" spans="1:21" x14ac:dyDescent="0.2">
      <c r="A317" s="238"/>
      <c r="B317" s="54" t="s">
        <v>155</v>
      </c>
      <c r="C317" s="249"/>
      <c r="D317" s="250"/>
      <c r="E317" s="251"/>
      <c r="F317" s="132">
        <f>TrialBalanceA!I317-TrialBalanceA!K317</f>
        <v>0</v>
      </c>
      <c r="G317" s="132">
        <f>TrialBalanceB!I317-TrialBalanceB!K317</f>
        <v>0</v>
      </c>
      <c r="H317" s="132">
        <f>TrialBalanceC!I317-TrialBalanceC!K317</f>
        <v>0</v>
      </c>
      <c r="I317" s="79">
        <f>N317</f>
        <v>0</v>
      </c>
      <c r="J317" s="198">
        <f>SUMIF(Journals!D$14:D$920,TrialBalance!P317,Journals!J$14:J$920)+SUMIF(Journals!E$14:E$920,TrialBalance!P317,Journals!J$14:J$920)</f>
        <v>0</v>
      </c>
      <c r="K317" s="253"/>
      <c r="L317" s="255">
        <f t="shared" si="68"/>
        <v>0</v>
      </c>
      <c r="M317" s="75"/>
      <c r="N317" s="48">
        <f t="shared" si="69"/>
        <v>0</v>
      </c>
      <c r="P317" s="140" t="str">
        <f t="shared" si="67"/>
        <v>7100/205</v>
      </c>
      <c r="Q317" s="70"/>
      <c r="R317" s="31"/>
      <c r="S317" s="71"/>
      <c r="T317" s="51"/>
      <c r="U317" s="31"/>
    </row>
    <row r="318" spans="1:21" x14ac:dyDescent="0.2">
      <c r="A318" s="238"/>
      <c r="B318" s="54" t="s">
        <v>156</v>
      </c>
      <c r="C318" s="242" t="s">
        <v>734</v>
      </c>
      <c r="D318" s="250"/>
      <c r="E318" s="251"/>
      <c r="F318" s="132"/>
      <c r="G318" s="132"/>
      <c r="H318" s="132"/>
      <c r="I318" s="79"/>
      <c r="J318" s="198">
        <f>SUMIF(Journals!D$14:D$920,TrialBalance!P318,Journals!J$14:J$920)+SUMIF(Journals!E$14:E$920,TrialBalance!P318,Journals!J$14:J$920)</f>
        <v>0</v>
      </c>
      <c r="K318" s="253"/>
      <c r="L318" s="255">
        <f t="shared" si="68"/>
        <v>0</v>
      </c>
      <c r="M318" s="75"/>
      <c r="N318" s="48">
        <f t="shared" si="69"/>
        <v>0</v>
      </c>
      <c r="P318" s="140" t="str">
        <f t="shared" si="67"/>
        <v>7450/000CONNECTED ENTITIES LOANS</v>
      </c>
      <c r="Q318" s="70"/>
      <c r="R318" s="31"/>
      <c r="S318" s="71"/>
      <c r="T318" s="51"/>
      <c r="U318" s="31"/>
    </row>
    <row r="319" spans="1:21" x14ac:dyDescent="0.2">
      <c r="A319" s="238"/>
      <c r="B319" s="54" t="s">
        <v>156</v>
      </c>
      <c r="C319" s="242" t="s">
        <v>679</v>
      </c>
      <c r="D319" s="250"/>
      <c r="E319" s="251"/>
      <c r="F319" s="132"/>
      <c r="G319" s="132"/>
      <c r="H319" s="132"/>
      <c r="I319" s="79"/>
      <c r="J319" s="198">
        <f>SUMIF(Journals!D$14:D$920,TrialBalance!P319,Journals!J$14:J$920)+SUMIF(Journals!E$14:E$920,TrialBalance!P319,Journals!J$14:J$920)</f>
        <v>0</v>
      </c>
      <c r="K319" s="253"/>
      <c r="L319" s="255">
        <f t="shared" ref="L319" si="76">ROUND(D319-E319+F319+G319+H319+J319+I319,0)</f>
        <v>0</v>
      </c>
      <c r="M319" s="75"/>
      <c r="N319" s="48">
        <f t="shared" si="69"/>
        <v>0</v>
      </c>
      <c r="P319" s="140" t="str">
        <f t="shared" si="67"/>
        <v>7450/000Interest bearing</v>
      </c>
      <c r="Q319" s="70"/>
      <c r="R319" s="31"/>
      <c r="S319" s="71"/>
      <c r="T319" s="51"/>
      <c r="U319" s="31"/>
    </row>
    <row r="320" spans="1:21" x14ac:dyDescent="0.2">
      <c r="A320" s="238"/>
      <c r="B320" s="54" t="s">
        <v>157</v>
      </c>
      <c r="C320" s="249"/>
      <c r="D320" s="250"/>
      <c r="E320" s="251"/>
      <c r="F320" s="132">
        <f>TrialBalanceA!I320-TrialBalanceA!K320</f>
        <v>0</v>
      </c>
      <c r="G320" s="132">
        <f>TrialBalanceB!I320-TrialBalanceB!K320</f>
        <v>0</v>
      </c>
      <c r="H320" s="132">
        <f>TrialBalanceC!I320-TrialBalanceC!K320</f>
        <v>0</v>
      </c>
      <c r="I320" s="79">
        <f>N320</f>
        <v>0</v>
      </c>
      <c r="J320" s="198">
        <f>SUMIF(Journals!D$14:D$920,TrialBalance!P320,Journals!J$14:J$920)+SUMIF(Journals!E$14:E$920,TrialBalance!P320,Journals!J$14:J$920)</f>
        <v>0</v>
      </c>
      <c r="K320" s="253"/>
      <c r="L320" s="255">
        <f>ROUND(D320-E320+F320+G320+H320+J320+I320,0)</f>
        <v>0</v>
      </c>
      <c r="M320" s="75"/>
      <c r="N320" s="48">
        <f t="shared" si="69"/>
        <v>0</v>
      </c>
      <c r="P320" s="140" t="str">
        <f t="shared" si="67"/>
        <v>7450/001</v>
      </c>
      <c r="Q320" s="70"/>
      <c r="R320" s="31"/>
      <c r="S320" s="71"/>
      <c r="T320" s="51"/>
      <c r="U320" s="31"/>
    </row>
    <row r="321" spans="1:21" x14ac:dyDescent="0.2">
      <c r="A321" s="238"/>
      <c r="B321" s="54" t="s">
        <v>158</v>
      </c>
      <c r="C321" s="249"/>
      <c r="D321" s="250"/>
      <c r="E321" s="251"/>
      <c r="F321" s="132">
        <f>TrialBalanceA!I321-TrialBalanceA!K321</f>
        <v>0</v>
      </c>
      <c r="G321" s="132">
        <f>TrialBalanceB!I321-TrialBalanceB!K321</f>
        <v>0</v>
      </c>
      <c r="H321" s="132">
        <f>TrialBalanceC!I321-TrialBalanceC!K321</f>
        <v>0</v>
      </c>
      <c r="I321" s="79">
        <f t="shared" ref="I321:I322" si="77">N321</f>
        <v>0</v>
      </c>
      <c r="J321" s="198">
        <f>SUMIF(Journals!D$14:D$920,TrialBalance!P321,Journals!J$14:J$920)+SUMIF(Journals!E$14:E$920,TrialBalance!P321,Journals!J$14:J$920)</f>
        <v>0</v>
      </c>
      <c r="K321" s="253"/>
      <c r="L321" s="255">
        <f t="shared" ref="L321:L322" si="78">ROUND(D321-E321+F321+G321+H321+J321+I321,0)</f>
        <v>0</v>
      </c>
      <c r="M321" s="75"/>
      <c r="N321" s="48">
        <f t="shared" ref="N321:N322" si="79">ROUND(SUM(A321),0)</f>
        <v>0</v>
      </c>
      <c r="P321" s="140" t="str">
        <f t="shared" ref="P321:P322" si="80">CONCATENATE(B321,C321)</f>
        <v>7450/002</v>
      </c>
      <c r="Q321" s="70"/>
      <c r="R321" s="31"/>
      <c r="S321" s="71"/>
      <c r="T321" s="51"/>
      <c r="U321" s="31"/>
    </row>
    <row r="322" spans="1:21" x14ac:dyDescent="0.2">
      <c r="A322" s="238"/>
      <c r="B322" s="90" t="s">
        <v>159</v>
      </c>
      <c r="C322" s="249"/>
      <c r="D322" s="250"/>
      <c r="E322" s="251"/>
      <c r="F322" s="132">
        <f>TrialBalanceA!I322-TrialBalanceA!K322</f>
        <v>0</v>
      </c>
      <c r="G322" s="132">
        <f>TrialBalanceB!I322-TrialBalanceB!K322</f>
        <v>0</v>
      </c>
      <c r="H322" s="132">
        <f>TrialBalanceC!I322-TrialBalanceC!K322</f>
        <v>0</v>
      </c>
      <c r="I322" s="79">
        <f t="shared" si="77"/>
        <v>0</v>
      </c>
      <c r="J322" s="198">
        <f>SUMIF(Journals!D$14:D$920,TrialBalance!P322,Journals!J$14:J$920)+SUMIF(Journals!E$14:E$920,TrialBalance!P322,Journals!J$14:J$920)</f>
        <v>0</v>
      </c>
      <c r="K322" s="253"/>
      <c r="L322" s="255">
        <f t="shared" si="78"/>
        <v>0</v>
      </c>
      <c r="M322" s="75"/>
      <c r="N322" s="48">
        <f t="shared" si="79"/>
        <v>0</v>
      </c>
      <c r="P322" s="140" t="str">
        <f t="shared" si="80"/>
        <v>7450/003</v>
      </c>
      <c r="Q322" s="70"/>
      <c r="R322" s="31"/>
      <c r="S322" s="71"/>
      <c r="T322" s="51"/>
      <c r="U322" s="31"/>
    </row>
    <row r="323" spans="1:21" x14ac:dyDescent="0.2">
      <c r="A323" s="238"/>
      <c r="B323" s="90" t="s">
        <v>424</v>
      </c>
      <c r="C323" s="249"/>
      <c r="D323" s="250"/>
      <c r="E323" s="251"/>
      <c r="F323" s="132">
        <f>TrialBalanceA!I323-TrialBalanceA!K323</f>
        <v>0</v>
      </c>
      <c r="G323" s="132">
        <f>TrialBalanceB!I323-TrialBalanceB!K323</f>
        <v>0</v>
      </c>
      <c r="H323" s="132">
        <f>TrialBalanceC!I323-TrialBalanceC!K323</f>
        <v>0</v>
      </c>
      <c r="I323" s="79">
        <f t="shared" ref="I323:I328" si="81">N323</f>
        <v>0</v>
      </c>
      <c r="J323" s="198">
        <f>SUMIF(Journals!D$14:D$920,TrialBalance!P323,Journals!J$14:J$920)+SUMIF(Journals!E$14:E$920,TrialBalance!P323,Journals!J$14:J$920)</f>
        <v>0</v>
      </c>
      <c r="K323" s="253"/>
      <c r="L323" s="255">
        <f t="shared" ref="L323:L328" si="82">ROUND(D323-E323+F323+G323+H323+J323+I323,0)</f>
        <v>0</v>
      </c>
      <c r="M323" s="75"/>
      <c r="N323" s="48">
        <f t="shared" ref="N323:N328" si="83">ROUND(SUM(A323),0)</f>
        <v>0</v>
      </c>
      <c r="P323" s="140" t="str">
        <f t="shared" ref="P323:P328" si="84">CONCATENATE(B323,C323)</f>
        <v>7450/004</v>
      </c>
      <c r="Q323" s="70"/>
      <c r="R323" s="31"/>
      <c r="S323" s="71"/>
      <c r="T323" s="51"/>
      <c r="U323" s="31"/>
    </row>
    <row r="324" spans="1:21" x14ac:dyDescent="0.2">
      <c r="A324" s="238"/>
      <c r="B324" s="90" t="s">
        <v>290</v>
      </c>
      <c r="C324" s="249"/>
      <c r="D324" s="250"/>
      <c r="E324" s="251"/>
      <c r="F324" s="132">
        <f>TrialBalanceA!I324-TrialBalanceA!K324</f>
        <v>0</v>
      </c>
      <c r="G324" s="132">
        <f>TrialBalanceB!I324-TrialBalanceB!K324</f>
        <v>0</v>
      </c>
      <c r="H324" s="132">
        <f>TrialBalanceC!I324-TrialBalanceC!K324</f>
        <v>0</v>
      </c>
      <c r="I324" s="79">
        <f t="shared" si="81"/>
        <v>0</v>
      </c>
      <c r="J324" s="198">
        <f>SUMIF(Journals!D$14:D$920,TrialBalance!P324,Journals!J$14:J$920)+SUMIF(Journals!E$14:E$920,TrialBalance!P324,Journals!J$14:J$920)</f>
        <v>0</v>
      </c>
      <c r="K324" s="253"/>
      <c r="L324" s="255">
        <f t="shared" si="82"/>
        <v>0</v>
      </c>
      <c r="M324" s="75"/>
      <c r="N324" s="48">
        <f t="shared" si="83"/>
        <v>0</v>
      </c>
      <c r="P324" s="140" t="str">
        <f t="shared" si="84"/>
        <v>7450/005</v>
      </c>
      <c r="Q324" s="70"/>
      <c r="R324" s="31"/>
      <c r="S324" s="71"/>
      <c r="T324" s="51"/>
      <c r="U324" s="31"/>
    </row>
    <row r="325" spans="1:21" x14ac:dyDescent="0.2">
      <c r="A325" s="238"/>
      <c r="B325" s="90" t="s">
        <v>755</v>
      </c>
      <c r="C325" s="249"/>
      <c r="D325" s="250"/>
      <c r="E325" s="251"/>
      <c r="F325" s="132">
        <f>TrialBalanceA!I325-TrialBalanceA!K325</f>
        <v>0</v>
      </c>
      <c r="G325" s="132">
        <f>TrialBalanceB!I325-TrialBalanceB!K325</f>
        <v>0</v>
      </c>
      <c r="H325" s="132">
        <f>TrialBalanceC!I325-TrialBalanceC!K325</f>
        <v>0</v>
      </c>
      <c r="I325" s="79">
        <f t="shared" si="81"/>
        <v>0</v>
      </c>
      <c r="J325" s="198">
        <f>SUMIF(Journals!D$14:D$920,TrialBalance!P325,Journals!J$14:J$920)+SUMIF(Journals!E$14:E$920,TrialBalance!P325,Journals!J$14:J$920)</f>
        <v>0</v>
      </c>
      <c r="K325" s="253"/>
      <c r="L325" s="255">
        <f t="shared" si="82"/>
        <v>0</v>
      </c>
      <c r="M325" s="75"/>
      <c r="N325" s="48">
        <f t="shared" si="83"/>
        <v>0</v>
      </c>
      <c r="P325" s="140" t="str">
        <f t="shared" si="84"/>
        <v>7450/006</v>
      </c>
      <c r="Q325" s="70"/>
      <c r="R325" s="31"/>
      <c r="S325" s="71"/>
      <c r="T325" s="51"/>
      <c r="U325" s="31"/>
    </row>
    <row r="326" spans="1:21" x14ac:dyDescent="0.2">
      <c r="A326" s="238"/>
      <c r="B326" s="90" t="s">
        <v>845</v>
      </c>
      <c r="C326" s="249"/>
      <c r="D326" s="250"/>
      <c r="E326" s="251"/>
      <c r="F326" s="132">
        <f>TrialBalanceA!I326-TrialBalanceA!K326</f>
        <v>0</v>
      </c>
      <c r="G326" s="132">
        <f>TrialBalanceB!I326-TrialBalanceB!K326</f>
        <v>0</v>
      </c>
      <c r="H326" s="132">
        <f>TrialBalanceC!I326-TrialBalanceC!K326</f>
        <v>0</v>
      </c>
      <c r="I326" s="79">
        <f t="shared" si="81"/>
        <v>0</v>
      </c>
      <c r="J326" s="198">
        <f>SUMIF(Journals!D$14:D$920,TrialBalance!P326,Journals!J$14:J$920)+SUMIF(Journals!E$14:E$920,TrialBalance!P326,Journals!J$14:J$920)</f>
        <v>0</v>
      </c>
      <c r="K326" s="253"/>
      <c r="L326" s="255">
        <f t="shared" si="82"/>
        <v>0</v>
      </c>
      <c r="M326" s="75"/>
      <c r="N326" s="48">
        <f t="shared" si="83"/>
        <v>0</v>
      </c>
      <c r="P326" s="140" t="str">
        <f t="shared" si="84"/>
        <v>7450/007</v>
      </c>
      <c r="Q326" s="70"/>
      <c r="R326" s="31"/>
      <c r="S326" s="71"/>
      <c r="T326" s="51"/>
      <c r="U326" s="31"/>
    </row>
    <row r="327" spans="1:21" x14ac:dyDescent="0.2">
      <c r="A327" s="238"/>
      <c r="B327" s="90" t="s">
        <v>846</v>
      </c>
      <c r="C327" s="249"/>
      <c r="D327" s="250"/>
      <c r="E327" s="251"/>
      <c r="F327" s="132">
        <f>TrialBalanceA!I327-TrialBalanceA!K327</f>
        <v>0</v>
      </c>
      <c r="G327" s="132">
        <f>TrialBalanceB!I327-TrialBalanceB!K327</f>
        <v>0</v>
      </c>
      <c r="H327" s="132">
        <f>TrialBalanceC!I327-TrialBalanceC!K327</f>
        <v>0</v>
      </c>
      <c r="I327" s="79">
        <f t="shared" si="81"/>
        <v>0</v>
      </c>
      <c r="J327" s="198">
        <f>SUMIF(Journals!D$14:D$920,TrialBalance!P327,Journals!J$14:J$920)+SUMIF(Journals!E$14:E$920,TrialBalance!P327,Journals!J$14:J$920)</f>
        <v>0</v>
      </c>
      <c r="K327" s="253"/>
      <c r="L327" s="255">
        <f t="shared" si="82"/>
        <v>0</v>
      </c>
      <c r="M327" s="75"/>
      <c r="N327" s="48">
        <f t="shared" si="83"/>
        <v>0</v>
      </c>
      <c r="P327" s="140" t="str">
        <f t="shared" si="84"/>
        <v>7450/008</v>
      </c>
      <c r="Q327" s="70"/>
      <c r="R327" s="31"/>
      <c r="S327" s="71"/>
      <c r="T327" s="51"/>
      <c r="U327" s="31"/>
    </row>
    <row r="328" spans="1:21" x14ac:dyDescent="0.2">
      <c r="A328" s="238"/>
      <c r="B328" s="90" t="s">
        <v>847</v>
      </c>
      <c r="C328" s="249"/>
      <c r="D328" s="250"/>
      <c r="E328" s="251"/>
      <c r="F328" s="132">
        <f>TrialBalanceA!I328-TrialBalanceA!K328</f>
        <v>0</v>
      </c>
      <c r="G328" s="132">
        <f>TrialBalanceB!I328-TrialBalanceB!K328</f>
        <v>0</v>
      </c>
      <c r="H328" s="132">
        <f>TrialBalanceC!I328-TrialBalanceC!K328</f>
        <v>0</v>
      </c>
      <c r="I328" s="79">
        <f t="shared" si="81"/>
        <v>0</v>
      </c>
      <c r="J328" s="198">
        <f>SUMIF(Journals!D$14:D$920,TrialBalance!P328,Journals!J$14:J$920)+SUMIF(Journals!E$14:E$920,TrialBalance!P328,Journals!J$14:J$920)</f>
        <v>0</v>
      </c>
      <c r="K328" s="253"/>
      <c r="L328" s="255">
        <f t="shared" si="82"/>
        <v>0</v>
      </c>
      <c r="M328" s="75"/>
      <c r="N328" s="48">
        <f t="shared" si="83"/>
        <v>0</v>
      </c>
      <c r="P328" s="140" t="str">
        <f t="shared" si="84"/>
        <v>7450/009</v>
      </c>
      <c r="Q328" s="70"/>
      <c r="R328" s="31"/>
      <c r="S328" s="71"/>
      <c r="T328" s="51"/>
      <c r="U328" s="31"/>
    </row>
    <row r="329" spans="1:21" x14ac:dyDescent="0.2">
      <c r="A329" s="238"/>
      <c r="B329" s="90" t="s">
        <v>848</v>
      </c>
      <c r="C329" s="249"/>
      <c r="D329" s="250"/>
      <c r="E329" s="251"/>
      <c r="F329" s="132">
        <f>TrialBalanceA!I329-TrialBalanceA!K329</f>
        <v>0</v>
      </c>
      <c r="G329" s="132">
        <f>TrialBalanceB!I329-TrialBalanceB!K329</f>
        <v>0</v>
      </c>
      <c r="H329" s="132">
        <f>TrialBalanceC!I329-TrialBalanceC!K329</f>
        <v>0</v>
      </c>
      <c r="I329" s="79">
        <f>N329</f>
        <v>0</v>
      </c>
      <c r="J329" s="198">
        <f>SUMIF(Journals!D$14:D$920,TrialBalance!P329,Journals!J$14:J$920)+SUMIF(Journals!E$14:E$920,TrialBalance!P329,Journals!J$14:J$920)</f>
        <v>0</v>
      </c>
      <c r="K329" s="253"/>
      <c r="L329" s="255">
        <f>ROUND(D329-E329+F329+G329+H329+J329+I329,0)</f>
        <v>0</v>
      </c>
      <c r="M329" s="75"/>
      <c r="N329" s="48">
        <f t="shared" si="69"/>
        <v>0</v>
      </c>
      <c r="P329" s="140" t="str">
        <f t="shared" si="67"/>
        <v>7450/010</v>
      </c>
      <c r="Q329" s="70"/>
      <c r="R329" s="31"/>
      <c r="S329" s="71"/>
      <c r="T329" s="51"/>
      <c r="U329" s="31"/>
    </row>
    <row r="330" spans="1:21" x14ac:dyDescent="0.2">
      <c r="A330" s="238"/>
      <c r="B330" s="90" t="s">
        <v>849</v>
      </c>
      <c r="C330" s="242" t="s">
        <v>678</v>
      </c>
      <c r="D330" s="250"/>
      <c r="E330" s="251"/>
      <c r="F330" s="132"/>
      <c r="G330" s="132"/>
      <c r="H330" s="132"/>
      <c r="I330" s="79"/>
      <c r="J330" s="198">
        <f>SUMIF(Journals!D$14:D$920,TrialBalance!P330,Journals!J$14:J$920)+SUMIF(Journals!E$14:E$920,TrialBalance!P330,Journals!J$14:J$920)</f>
        <v>0</v>
      </c>
      <c r="K330" s="253"/>
      <c r="L330" s="255">
        <f t="shared" ref="L330" si="85">ROUND(D330-E330+F330+G330+H330+J330+I330,0)</f>
        <v>0</v>
      </c>
      <c r="M330" s="75"/>
      <c r="N330" s="48">
        <f t="shared" si="69"/>
        <v>0</v>
      </c>
      <c r="P330" s="140" t="str">
        <f t="shared" si="67"/>
        <v>7455/000Interest free</v>
      </c>
      <c r="Q330" s="70"/>
      <c r="R330" s="31"/>
      <c r="S330" s="71"/>
      <c r="T330" s="51"/>
      <c r="U330" s="31"/>
    </row>
    <row r="331" spans="1:21" x14ac:dyDescent="0.2">
      <c r="A331" s="238"/>
      <c r="B331" s="90" t="s">
        <v>850</v>
      </c>
      <c r="C331" s="249"/>
      <c r="D331" s="250"/>
      <c r="E331" s="251"/>
      <c r="F331" s="132">
        <f>TrialBalanceA!I331-TrialBalanceA!K331</f>
        <v>0</v>
      </c>
      <c r="G331" s="132">
        <f>TrialBalanceB!I331-TrialBalanceB!K331</f>
        <v>0</v>
      </c>
      <c r="H331" s="132">
        <f>TrialBalanceC!I331-TrialBalanceC!K331</f>
        <v>0</v>
      </c>
      <c r="I331" s="79">
        <f>N331</f>
        <v>0</v>
      </c>
      <c r="J331" s="198">
        <f>SUMIF(Journals!D$14:D$920,TrialBalance!P331,Journals!J$14:J$920)+SUMIF(Journals!E$14:E$920,TrialBalance!P331,Journals!J$14:J$920)</f>
        <v>0</v>
      </c>
      <c r="K331" s="253"/>
      <c r="L331" s="255">
        <f t="shared" si="68"/>
        <v>0</v>
      </c>
      <c r="M331" s="75"/>
      <c r="N331" s="48">
        <f t="shared" si="69"/>
        <v>0</v>
      </c>
      <c r="P331" s="140" t="str">
        <f t="shared" si="67"/>
        <v>7455/001</v>
      </c>
      <c r="Q331" s="70"/>
      <c r="R331" s="31"/>
      <c r="S331" s="71"/>
      <c r="T331" s="51"/>
      <c r="U331" s="31"/>
    </row>
    <row r="332" spans="1:21" x14ac:dyDescent="0.2">
      <c r="A332" s="238"/>
      <c r="B332" s="90" t="s">
        <v>851</v>
      </c>
      <c r="C332" s="249"/>
      <c r="D332" s="250"/>
      <c r="E332" s="251"/>
      <c r="F332" s="132">
        <f>TrialBalanceA!I332-TrialBalanceA!K332</f>
        <v>0</v>
      </c>
      <c r="G332" s="132">
        <f>TrialBalanceB!I332-TrialBalanceB!K332</f>
        <v>0</v>
      </c>
      <c r="H332" s="132">
        <f>TrialBalanceC!I332-TrialBalanceC!K332</f>
        <v>0</v>
      </c>
      <c r="I332" s="79">
        <f>N332</f>
        <v>0</v>
      </c>
      <c r="J332" s="198">
        <f>SUMIF(Journals!D$14:D$920,TrialBalance!P332,Journals!J$14:J$920)+SUMIF(Journals!E$14:E$920,TrialBalance!P332,Journals!J$14:J$920)</f>
        <v>0</v>
      </c>
      <c r="K332" s="253"/>
      <c r="L332" s="255">
        <f t="shared" ref="L332" si="86">ROUND(D332-E332+F332+G332+H332+J332+I332,0)</f>
        <v>0</v>
      </c>
      <c r="M332" s="75"/>
      <c r="N332" s="48">
        <f t="shared" ref="N332" si="87">ROUND(SUM(A332),0)</f>
        <v>0</v>
      </c>
      <c r="P332" s="140" t="str">
        <f t="shared" ref="P332" si="88">CONCATENATE(B332,C332)</f>
        <v>7455/002</v>
      </c>
      <c r="Q332" s="70"/>
      <c r="R332" s="31"/>
      <c r="S332" s="71"/>
      <c r="T332" s="51"/>
      <c r="U332" s="31"/>
    </row>
    <row r="333" spans="1:21" x14ac:dyDescent="0.2">
      <c r="A333" s="238"/>
      <c r="B333" s="90" t="s">
        <v>852</v>
      </c>
      <c r="C333" s="249"/>
      <c r="D333" s="250"/>
      <c r="E333" s="251"/>
      <c r="F333" s="132">
        <f>TrialBalanceA!I333-TrialBalanceA!K333</f>
        <v>0</v>
      </c>
      <c r="G333" s="132">
        <f>TrialBalanceB!I333-TrialBalanceB!K333</f>
        <v>0</v>
      </c>
      <c r="H333" s="132">
        <f>TrialBalanceC!I333-TrialBalanceC!K333</f>
        <v>0</v>
      </c>
      <c r="I333" s="79">
        <f>N333</f>
        <v>0</v>
      </c>
      <c r="J333" s="198">
        <f>SUMIF(Journals!D$14:D$920,TrialBalance!P333,Journals!J$14:J$920)+SUMIF(Journals!E$14:E$920,TrialBalance!P333,Journals!J$14:J$920)</f>
        <v>0</v>
      </c>
      <c r="K333" s="253"/>
      <c r="L333" s="255">
        <f>ROUND(D333-E333+F333+G333+H333+J333+I333,0)</f>
        <v>0</v>
      </c>
      <c r="M333" s="75"/>
      <c r="N333" s="48">
        <f t="shared" si="69"/>
        <v>0</v>
      </c>
      <c r="P333" s="140" t="str">
        <f t="shared" si="67"/>
        <v>7455/003</v>
      </c>
      <c r="Q333" s="70"/>
      <c r="R333" s="31"/>
      <c r="S333" s="71"/>
      <c r="T333" s="51"/>
      <c r="U333" s="31"/>
    </row>
    <row r="334" spans="1:21" x14ac:dyDescent="0.2">
      <c r="A334" s="238"/>
      <c r="B334" s="90" t="s">
        <v>853</v>
      </c>
      <c r="C334" s="249"/>
      <c r="D334" s="250"/>
      <c r="E334" s="251"/>
      <c r="F334" s="132">
        <f>TrialBalanceA!I334-TrialBalanceA!K334</f>
        <v>0</v>
      </c>
      <c r="G334" s="132">
        <f>TrialBalanceB!I334-TrialBalanceB!K334</f>
        <v>0</v>
      </c>
      <c r="H334" s="132">
        <f>TrialBalanceC!I334-TrialBalanceC!K334</f>
        <v>0</v>
      </c>
      <c r="I334" s="79">
        <f t="shared" ref="I334:I339" si="89">N334</f>
        <v>0</v>
      </c>
      <c r="J334" s="198">
        <f>SUMIF(Journals!D$14:D$920,TrialBalance!P334,Journals!J$14:J$920)+SUMIF(Journals!E$14:E$920,TrialBalance!P334,Journals!J$14:J$920)</f>
        <v>0</v>
      </c>
      <c r="K334" s="253"/>
      <c r="L334" s="255">
        <f>ROUND(D334-E334+F334+G334+H334+J334+I334,0)</f>
        <v>0</v>
      </c>
      <c r="M334" s="75"/>
      <c r="N334" s="48">
        <f t="shared" ref="N334:N339" si="90">ROUND(SUM(A334),0)</f>
        <v>0</v>
      </c>
      <c r="P334" s="140" t="str">
        <f t="shared" ref="P334:P339" si="91">CONCATENATE(B334,C334)</f>
        <v>7455/004</v>
      </c>
      <c r="Q334" s="70"/>
      <c r="R334" s="31"/>
      <c r="S334" s="71"/>
      <c r="T334" s="51"/>
      <c r="U334" s="31"/>
    </row>
    <row r="335" spans="1:21" x14ac:dyDescent="0.2">
      <c r="A335" s="238"/>
      <c r="B335" s="90" t="s">
        <v>854</v>
      </c>
      <c r="C335" s="249"/>
      <c r="D335" s="250"/>
      <c r="E335" s="251"/>
      <c r="F335" s="132">
        <f>TrialBalanceA!I335-TrialBalanceA!K335</f>
        <v>0</v>
      </c>
      <c r="G335" s="132">
        <f>TrialBalanceB!I335-TrialBalanceB!K335</f>
        <v>0</v>
      </c>
      <c r="H335" s="132">
        <f>TrialBalanceC!I335-TrialBalanceC!K335</f>
        <v>0</v>
      </c>
      <c r="I335" s="79">
        <f t="shared" si="89"/>
        <v>0</v>
      </c>
      <c r="J335" s="198">
        <f>SUMIF(Journals!D$14:D$920,TrialBalance!P335,Journals!J$14:J$920)+SUMIF(Journals!E$14:E$920,TrialBalance!P335,Journals!J$14:J$920)</f>
        <v>0</v>
      </c>
      <c r="K335" s="253"/>
      <c r="L335" s="255">
        <f t="shared" ref="L335:L339" si="92">ROUND(D335-E335+F335+G335+H335+J335+I335,0)</f>
        <v>0</v>
      </c>
      <c r="M335" s="75"/>
      <c r="N335" s="48">
        <f t="shared" si="90"/>
        <v>0</v>
      </c>
      <c r="P335" s="140" t="str">
        <f t="shared" si="91"/>
        <v>7455/005</v>
      </c>
      <c r="Q335" s="70"/>
      <c r="R335" s="31"/>
      <c r="S335" s="71"/>
      <c r="T335" s="51"/>
      <c r="U335" s="31"/>
    </row>
    <row r="336" spans="1:21" x14ac:dyDescent="0.2">
      <c r="A336" s="238"/>
      <c r="B336" s="90" t="s">
        <v>855</v>
      </c>
      <c r="C336" s="249"/>
      <c r="D336" s="250"/>
      <c r="E336" s="251"/>
      <c r="F336" s="132">
        <f>TrialBalanceA!I336-TrialBalanceA!K336</f>
        <v>0</v>
      </c>
      <c r="G336" s="132">
        <f>TrialBalanceB!I336-TrialBalanceB!K336</f>
        <v>0</v>
      </c>
      <c r="H336" s="132">
        <f>TrialBalanceC!I336-TrialBalanceC!K336</f>
        <v>0</v>
      </c>
      <c r="I336" s="79">
        <f t="shared" si="89"/>
        <v>0</v>
      </c>
      <c r="J336" s="198">
        <f>SUMIF(Journals!D$14:D$920,TrialBalance!P336,Journals!J$14:J$920)+SUMIF(Journals!E$14:E$920,TrialBalance!P336,Journals!J$14:J$920)</f>
        <v>0</v>
      </c>
      <c r="K336" s="253"/>
      <c r="L336" s="255">
        <f t="shared" si="92"/>
        <v>0</v>
      </c>
      <c r="M336" s="75"/>
      <c r="N336" s="48">
        <f t="shared" si="90"/>
        <v>0</v>
      </c>
      <c r="P336" s="140" t="str">
        <f t="shared" si="91"/>
        <v>7455/006</v>
      </c>
      <c r="Q336" s="70"/>
      <c r="R336" s="31"/>
      <c r="S336" s="71"/>
      <c r="T336" s="51"/>
      <c r="U336" s="31"/>
    </row>
    <row r="337" spans="1:21" x14ac:dyDescent="0.2">
      <c r="A337" s="238"/>
      <c r="B337" s="90" t="s">
        <v>856</v>
      </c>
      <c r="C337" s="249"/>
      <c r="D337" s="250"/>
      <c r="E337" s="251"/>
      <c r="F337" s="132">
        <f>TrialBalanceA!I337-TrialBalanceA!K337</f>
        <v>0</v>
      </c>
      <c r="G337" s="132">
        <f>TrialBalanceB!I337-TrialBalanceB!K337</f>
        <v>0</v>
      </c>
      <c r="H337" s="132">
        <f>TrialBalanceC!I337-TrialBalanceC!K337</f>
        <v>0</v>
      </c>
      <c r="I337" s="79">
        <f t="shared" si="89"/>
        <v>0</v>
      </c>
      <c r="J337" s="198">
        <f>SUMIF(Journals!D$14:D$920,TrialBalance!P337,Journals!J$14:J$920)+SUMIF(Journals!E$14:E$920,TrialBalance!P337,Journals!J$14:J$920)</f>
        <v>0</v>
      </c>
      <c r="K337" s="253"/>
      <c r="L337" s="255">
        <f t="shared" si="92"/>
        <v>0</v>
      </c>
      <c r="M337" s="75"/>
      <c r="N337" s="48">
        <f t="shared" si="90"/>
        <v>0</v>
      </c>
      <c r="P337" s="140" t="str">
        <f t="shared" si="91"/>
        <v>7455/007</v>
      </c>
      <c r="Q337" s="70"/>
      <c r="R337" s="31"/>
      <c r="S337" s="71"/>
      <c r="T337" s="51"/>
      <c r="U337" s="31"/>
    </row>
    <row r="338" spans="1:21" x14ac:dyDescent="0.2">
      <c r="A338" s="238"/>
      <c r="B338" s="90" t="s">
        <v>857</v>
      </c>
      <c r="C338" s="249"/>
      <c r="D338" s="250"/>
      <c r="E338" s="251"/>
      <c r="F338" s="132">
        <f>TrialBalanceA!I338-TrialBalanceA!K338</f>
        <v>0</v>
      </c>
      <c r="G338" s="132">
        <f>TrialBalanceB!I338-TrialBalanceB!K338</f>
        <v>0</v>
      </c>
      <c r="H338" s="132">
        <f>TrialBalanceC!I338-TrialBalanceC!K338</f>
        <v>0</v>
      </c>
      <c r="I338" s="79">
        <f t="shared" si="89"/>
        <v>0</v>
      </c>
      <c r="J338" s="198">
        <f>SUMIF(Journals!D$14:D$920,TrialBalance!P338,Journals!J$14:J$920)+SUMIF(Journals!E$14:E$920,TrialBalance!P338,Journals!J$14:J$920)</f>
        <v>0</v>
      </c>
      <c r="K338" s="253"/>
      <c r="L338" s="255">
        <f t="shared" si="92"/>
        <v>0</v>
      </c>
      <c r="M338" s="75"/>
      <c r="N338" s="48">
        <f t="shared" si="90"/>
        <v>0</v>
      </c>
      <c r="P338" s="140" t="str">
        <f t="shared" si="91"/>
        <v>7455/008</v>
      </c>
      <c r="Q338" s="70"/>
      <c r="R338" s="31"/>
      <c r="S338" s="71"/>
      <c r="T338" s="51"/>
      <c r="U338" s="31"/>
    </row>
    <row r="339" spans="1:21" x14ac:dyDescent="0.2">
      <c r="A339" s="238"/>
      <c r="B339" s="90" t="s">
        <v>858</v>
      </c>
      <c r="C339" s="249"/>
      <c r="D339" s="250"/>
      <c r="E339" s="251"/>
      <c r="F339" s="132">
        <f>TrialBalanceA!I339-TrialBalanceA!K339</f>
        <v>0</v>
      </c>
      <c r="G339" s="132">
        <f>TrialBalanceB!I339-TrialBalanceB!K339</f>
        <v>0</v>
      </c>
      <c r="H339" s="132">
        <f>TrialBalanceC!I339-TrialBalanceC!K339</f>
        <v>0</v>
      </c>
      <c r="I339" s="79">
        <f t="shared" si="89"/>
        <v>0</v>
      </c>
      <c r="J339" s="198">
        <f>SUMIF(Journals!D$14:D$920,TrialBalance!P339,Journals!J$14:J$920)+SUMIF(Journals!E$14:E$920,TrialBalance!P339,Journals!J$14:J$920)</f>
        <v>0</v>
      </c>
      <c r="K339" s="253"/>
      <c r="L339" s="255">
        <f t="shared" si="92"/>
        <v>0</v>
      </c>
      <c r="M339" s="75"/>
      <c r="N339" s="48">
        <f t="shared" si="90"/>
        <v>0</v>
      </c>
      <c r="P339" s="140" t="str">
        <f t="shared" si="91"/>
        <v>7455/009</v>
      </c>
      <c r="Q339" s="70"/>
      <c r="R339" s="31"/>
      <c r="S339" s="71"/>
      <c r="T339" s="51"/>
      <c r="U339" s="31"/>
    </row>
    <row r="340" spans="1:21" x14ac:dyDescent="0.2">
      <c r="A340" s="238"/>
      <c r="B340" s="90" t="s">
        <v>859</v>
      </c>
      <c r="C340" s="249"/>
      <c r="D340" s="250"/>
      <c r="E340" s="251"/>
      <c r="F340" s="132">
        <f>TrialBalanceA!I340-TrialBalanceA!K340</f>
        <v>0</v>
      </c>
      <c r="G340" s="132">
        <f>TrialBalanceB!I340-TrialBalanceB!K340</f>
        <v>0</v>
      </c>
      <c r="H340" s="132">
        <f>TrialBalanceC!I340-TrialBalanceC!K340</f>
        <v>0</v>
      </c>
      <c r="I340" s="79">
        <f>N340</f>
        <v>0</v>
      </c>
      <c r="J340" s="198">
        <f>SUMIF(Journals!D$14:D$920,TrialBalance!P340,Journals!J$14:J$920)+SUMIF(Journals!E$14:E$920,TrialBalance!P340,Journals!J$14:J$920)</f>
        <v>0</v>
      </c>
      <c r="K340" s="253"/>
      <c r="L340" s="256">
        <f>ROUND(D340-E340+F340+G340+H340+J340+I340,0)</f>
        <v>0</v>
      </c>
      <c r="M340" s="75"/>
      <c r="N340" s="48">
        <f t="shared" si="69"/>
        <v>0</v>
      </c>
      <c r="P340" s="140" t="str">
        <f t="shared" ref="P340:P372" si="93">CONCATENATE(B340,C340)</f>
        <v>7455/010</v>
      </c>
      <c r="Q340" s="70"/>
      <c r="R340" s="31"/>
      <c r="S340" s="71"/>
      <c r="T340" s="51"/>
      <c r="U340" s="31"/>
    </row>
    <row r="341" spans="1:21" x14ac:dyDescent="0.2">
      <c r="A341" s="238"/>
      <c r="B341" s="54" t="s">
        <v>291</v>
      </c>
      <c r="C341" s="241" t="s">
        <v>722</v>
      </c>
      <c r="D341" s="251"/>
      <c r="E341" s="251"/>
      <c r="F341" s="132"/>
      <c r="G341" s="132"/>
      <c r="H341" s="132"/>
      <c r="I341" s="79"/>
      <c r="J341" s="198">
        <f>SUMIF(Journals!D$14:D$920,TrialBalance!P341,Journals!J$14:J$920)+SUMIF(Journals!E$14:E$920,TrialBalance!P341,Journals!J$14:J$920)</f>
        <v>0</v>
      </c>
      <c r="K341" s="254" t="s">
        <v>588</v>
      </c>
      <c r="L341" s="255">
        <f t="shared" si="68"/>
        <v>0</v>
      </c>
      <c r="M341" s="75"/>
      <c r="N341" s="48">
        <f t="shared" si="69"/>
        <v>0</v>
      </c>
      <c r="P341" s="140" t="str">
        <f t="shared" si="93"/>
        <v>7460/000OTHER NON - CURRENT RECEIVABLES</v>
      </c>
      <c r="Q341" s="70"/>
      <c r="R341" s="31"/>
      <c r="S341" s="71"/>
      <c r="T341" s="51"/>
      <c r="U341" s="31"/>
    </row>
    <row r="342" spans="1:21" x14ac:dyDescent="0.2">
      <c r="A342" s="238"/>
      <c r="B342" s="54" t="s">
        <v>291</v>
      </c>
      <c r="C342" s="241" t="s">
        <v>679</v>
      </c>
      <c r="D342" s="251"/>
      <c r="E342" s="251"/>
      <c r="F342" s="132"/>
      <c r="G342" s="132"/>
      <c r="H342" s="132"/>
      <c r="I342" s="79"/>
      <c r="J342" s="198">
        <f>SUMIF(Journals!D$14:D$920,TrialBalance!P342,Journals!J$14:J$920)+SUMIF(Journals!E$14:E$920,TrialBalance!P342,Journals!J$14:J$920)</f>
        <v>0</v>
      </c>
      <c r="K342" s="254"/>
      <c r="L342" s="255">
        <f t="shared" ref="L342" si="94">ROUND(D342-E342+F342+G342+H342+J342+I342,0)</f>
        <v>0</v>
      </c>
      <c r="M342" s="75"/>
      <c r="N342" s="48">
        <f t="shared" si="69"/>
        <v>0</v>
      </c>
      <c r="P342" s="140" t="str">
        <f t="shared" si="93"/>
        <v>7460/000Interest bearing</v>
      </c>
      <c r="Q342" s="70"/>
      <c r="R342" s="31"/>
      <c r="S342" s="71"/>
      <c r="T342" s="51"/>
      <c r="U342" s="31"/>
    </row>
    <row r="343" spans="1:21" x14ac:dyDescent="0.2">
      <c r="A343" s="238"/>
      <c r="B343" s="54" t="s">
        <v>293</v>
      </c>
      <c r="C343" s="249"/>
      <c r="D343" s="251"/>
      <c r="E343" s="251"/>
      <c r="F343" s="132">
        <f>TrialBalanceA!I343-TrialBalanceA!K343</f>
        <v>0</v>
      </c>
      <c r="G343" s="132">
        <f>TrialBalanceB!I343-TrialBalanceB!K343</f>
        <v>0</v>
      </c>
      <c r="H343" s="132">
        <f>TrialBalanceC!I343-TrialBalanceC!K343</f>
        <v>0</v>
      </c>
      <c r="I343" s="79">
        <f t="shared" ref="I343:I352" si="95">N343</f>
        <v>0</v>
      </c>
      <c r="J343" s="198">
        <f>SUMIF(Journals!D$14:D$920,TrialBalance!P343,Journals!J$14:J$920)+SUMIF(Journals!E$14:E$920,TrialBalance!P343,Journals!J$14:J$920)</f>
        <v>0</v>
      </c>
      <c r="K343" s="253"/>
      <c r="L343" s="255">
        <f t="shared" si="68"/>
        <v>0</v>
      </c>
      <c r="M343" s="75"/>
      <c r="N343" s="48">
        <f t="shared" si="69"/>
        <v>0</v>
      </c>
      <c r="P343" s="140" t="str">
        <f t="shared" si="93"/>
        <v>7460/001</v>
      </c>
      <c r="Q343" s="72"/>
      <c r="R343" s="31"/>
      <c r="S343" s="71"/>
      <c r="T343" s="51"/>
      <c r="U343" s="31"/>
    </row>
    <row r="344" spans="1:21" x14ac:dyDescent="0.2">
      <c r="A344" s="238"/>
      <c r="B344" s="54" t="s">
        <v>294</v>
      </c>
      <c r="C344" s="249"/>
      <c r="D344" s="250"/>
      <c r="E344" s="251"/>
      <c r="F344" s="132">
        <f>TrialBalanceA!I344-TrialBalanceA!K344</f>
        <v>0</v>
      </c>
      <c r="G344" s="132">
        <f>TrialBalanceB!I344-TrialBalanceB!K344</f>
        <v>0</v>
      </c>
      <c r="H344" s="132">
        <f>TrialBalanceC!I344-TrialBalanceC!K344</f>
        <v>0</v>
      </c>
      <c r="I344" s="79">
        <f t="shared" si="95"/>
        <v>0</v>
      </c>
      <c r="J344" s="198">
        <f>SUMIF(Journals!D$14:D$920,TrialBalance!P344,Journals!J$14:J$920)+SUMIF(Journals!E$14:E$920,TrialBalance!P344,Journals!J$14:J$920)</f>
        <v>0</v>
      </c>
      <c r="K344" s="253"/>
      <c r="L344" s="255">
        <f t="shared" si="68"/>
        <v>0</v>
      </c>
      <c r="M344" s="75"/>
      <c r="N344" s="48">
        <f t="shared" si="69"/>
        <v>0</v>
      </c>
      <c r="P344" s="140" t="str">
        <f t="shared" si="93"/>
        <v>7460/002</v>
      </c>
      <c r="Q344" s="70"/>
      <c r="R344" s="31"/>
      <c r="S344" s="71"/>
      <c r="T344" s="51"/>
      <c r="U344" s="31"/>
    </row>
    <row r="345" spans="1:21" x14ac:dyDescent="0.2">
      <c r="A345" s="238"/>
      <c r="B345" s="90" t="s">
        <v>295</v>
      </c>
      <c r="C345" s="249"/>
      <c r="D345" s="250"/>
      <c r="E345" s="251"/>
      <c r="F345" s="132">
        <f>TrialBalanceA!I345-TrialBalanceA!K345</f>
        <v>0</v>
      </c>
      <c r="G345" s="132">
        <f>TrialBalanceB!I345-TrialBalanceB!K345</f>
        <v>0</v>
      </c>
      <c r="H345" s="132">
        <f>TrialBalanceC!I345-TrialBalanceC!K345</f>
        <v>0</v>
      </c>
      <c r="I345" s="79">
        <f t="shared" ref="I345" si="96">N345</f>
        <v>0</v>
      </c>
      <c r="J345" s="198">
        <f>SUMIF(Journals!D$14:D$920,TrialBalance!P345,Journals!J$14:J$920)+SUMIF(Journals!E$14:E$920,TrialBalance!P345,Journals!J$14:J$920)</f>
        <v>0</v>
      </c>
      <c r="K345" s="253"/>
      <c r="L345" s="255">
        <f t="shared" ref="L345" si="97">ROUND(D345-E345+F345+G345+H345+J345+I345,0)</f>
        <v>0</v>
      </c>
      <c r="M345" s="75"/>
      <c r="N345" s="48">
        <f t="shared" ref="N345" si="98">ROUND(SUM(A345),0)</f>
        <v>0</v>
      </c>
      <c r="P345" s="140" t="str">
        <f t="shared" ref="P345" si="99">CONCATENATE(B345,C345)</f>
        <v>7460/003</v>
      </c>
      <c r="Q345" s="70"/>
      <c r="R345" s="31"/>
      <c r="S345" s="71"/>
      <c r="T345" s="51"/>
      <c r="U345" s="31"/>
    </row>
    <row r="346" spans="1:21" x14ac:dyDescent="0.2">
      <c r="A346" s="238"/>
      <c r="B346" s="90" t="s">
        <v>640</v>
      </c>
      <c r="C346" s="249"/>
      <c r="D346" s="250"/>
      <c r="E346" s="251"/>
      <c r="F346" s="132">
        <f>TrialBalanceA!I346-TrialBalanceA!K346</f>
        <v>0</v>
      </c>
      <c r="G346" s="132">
        <f>TrialBalanceB!I346-TrialBalanceB!K346</f>
        <v>0</v>
      </c>
      <c r="H346" s="132">
        <f>TrialBalanceC!I346-TrialBalanceC!K346</f>
        <v>0</v>
      </c>
      <c r="I346" s="79">
        <f t="shared" si="95"/>
        <v>0</v>
      </c>
      <c r="J346" s="198">
        <f>SUMIF(Journals!D$14:D$920,TrialBalance!P346,Journals!J$14:J$920)+SUMIF(Journals!E$14:E$920,TrialBalance!P346,Journals!J$14:J$920)</f>
        <v>0</v>
      </c>
      <c r="K346" s="253"/>
      <c r="L346" s="255">
        <f t="shared" si="68"/>
        <v>0</v>
      </c>
      <c r="M346" s="75"/>
      <c r="N346" s="48">
        <f t="shared" si="69"/>
        <v>0</v>
      </c>
      <c r="P346" s="140" t="str">
        <f t="shared" si="93"/>
        <v>7460/004</v>
      </c>
      <c r="Q346" s="70"/>
      <c r="R346" s="31"/>
      <c r="S346" s="71"/>
      <c r="T346" s="51"/>
      <c r="U346" s="31"/>
    </row>
    <row r="347" spans="1:21" x14ac:dyDescent="0.2">
      <c r="A347" s="238"/>
      <c r="B347" s="54" t="s">
        <v>291</v>
      </c>
      <c r="C347" s="242" t="s">
        <v>678</v>
      </c>
      <c r="D347" s="250"/>
      <c r="E347" s="251"/>
      <c r="F347" s="132"/>
      <c r="G347" s="132"/>
      <c r="H347" s="132"/>
      <c r="I347" s="79"/>
      <c r="J347" s="198">
        <f>SUMIF(Journals!D$14:D$920,TrialBalance!P347,Journals!J$14:J$920)+SUMIF(Journals!E$14:E$920,TrialBalance!P347,Journals!J$14:J$920)</f>
        <v>0</v>
      </c>
      <c r="K347" s="253"/>
      <c r="L347" s="255">
        <f t="shared" ref="L347" si="100">ROUND(D347-E347+F347+G347+H347+J347+I347,0)</f>
        <v>0</v>
      </c>
      <c r="M347" s="75"/>
      <c r="N347" s="48">
        <f t="shared" si="69"/>
        <v>0</v>
      </c>
      <c r="P347" s="140" t="str">
        <f t="shared" si="93"/>
        <v>7460/000Interest free</v>
      </c>
      <c r="Q347" s="70"/>
      <c r="R347" s="31"/>
      <c r="S347" s="71"/>
      <c r="T347" s="51"/>
      <c r="U347" s="31"/>
    </row>
    <row r="348" spans="1:21" x14ac:dyDescent="0.2">
      <c r="A348" s="238"/>
      <c r="B348" s="90" t="s">
        <v>640</v>
      </c>
      <c r="C348" s="249"/>
      <c r="D348" s="250"/>
      <c r="E348" s="251"/>
      <c r="F348" s="132">
        <f>TrialBalanceA!I348-TrialBalanceA!K348</f>
        <v>0</v>
      </c>
      <c r="G348" s="132">
        <f>TrialBalanceB!I348-TrialBalanceB!K348</f>
        <v>0</v>
      </c>
      <c r="H348" s="132">
        <f>TrialBalanceC!I348-TrialBalanceC!K348</f>
        <v>0</v>
      </c>
      <c r="I348" s="79">
        <f t="shared" si="95"/>
        <v>0</v>
      </c>
      <c r="J348" s="198">
        <f>SUMIF(Journals!D$14:D$920,TrialBalance!P348,Journals!J$14:J$920)+SUMIF(Journals!E$14:E$920,TrialBalance!P348,Journals!J$14:J$920)</f>
        <v>0</v>
      </c>
      <c r="K348" s="253"/>
      <c r="L348" s="255">
        <f t="shared" si="68"/>
        <v>0</v>
      </c>
      <c r="M348" s="75"/>
      <c r="N348" s="48">
        <f t="shared" si="69"/>
        <v>0</v>
      </c>
      <c r="P348" s="140" t="str">
        <f t="shared" si="93"/>
        <v>7460/004</v>
      </c>
      <c r="Q348" s="70"/>
      <c r="R348" s="31"/>
      <c r="S348" s="71"/>
      <c r="T348" s="51"/>
      <c r="U348" s="31"/>
    </row>
    <row r="349" spans="1:21" x14ac:dyDescent="0.2">
      <c r="A349" s="238"/>
      <c r="B349" s="90" t="s">
        <v>641</v>
      </c>
      <c r="C349" s="249"/>
      <c r="D349" s="250"/>
      <c r="E349" s="251"/>
      <c r="F349" s="132">
        <f>TrialBalanceA!I349-TrialBalanceA!K349</f>
        <v>0</v>
      </c>
      <c r="G349" s="132">
        <f>TrialBalanceB!I349-TrialBalanceB!K349</f>
        <v>0</v>
      </c>
      <c r="H349" s="132">
        <f>TrialBalanceC!I349-TrialBalanceC!K349</f>
        <v>0</v>
      </c>
      <c r="I349" s="79">
        <f t="shared" si="95"/>
        <v>0</v>
      </c>
      <c r="J349" s="198">
        <f>SUMIF(Journals!D$14:D$920,TrialBalance!P349,Journals!J$14:J$920)+SUMIF(Journals!E$14:E$920,TrialBalance!P349,Journals!J$14:J$920)</f>
        <v>0</v>
      </c>
      <c r="K349" s="253"/>
      <c r="L349" s="255">
        <f t="shared" si="68"/>
        <v>0</v>
      </c>
      <c r="M349" s="75"/>
      <c r="N349" s="48">
        <f t="shared" si="69"/>
        <v>0</v>
      </c>
      <c r="P349" s="140" t="str">
        <f t="shared" si="93"/>
        <v>7460/005</v>
      </c>
      <c r="Q349" s="70"/>
      <c r="R349" s="31"/>
      <c r="S349" s="71"/>
      <c r="T349" s="51"/>
      <c r="U349" s="31"/>
    </row>
    <row r="350" spans="1:21" x14ac:dyDescent="0.2">
      <c r="A350" s="238"/>
      <c r="B350" s="90" t="s">
        <v>296</v>
      </c>
      <c r="C350" s="249"/>
      <c r="D350" s="250"/>
      <c r="E350" s="251"/>
      <c r="F350" s="132">
        <f>TrialBalanceA!I350-TrialBalanceA!K350</f>
        <v>0</v>
      </c>
      <c r="G350" s="132">
        <f>TrialBalanceB!I350-TrialBalanceB!K350</f>
        <v>0</v>
      </c>
      <c r="H350" s="132">
        <f>TrialBalanceC!I350-TrialBalanceC!K350</f>
        <v>0</v>
      </c>
      <c r="I350" s="79">
        <f t="shared" si="95"/>
        <v>0</v>
      </c>
      <c r="J350" s="198">
        <f>SUMIF(Journals!D$14:D$920,TrialBalance!P350,Journals!J$14:J$920)+SUMIF(Journals!E$14:E$920,TrialBalance!P350,Journals!J$14:J$920)</f>
        <v>0</v>
      </c>
      <c r="K350" s="253"/>
      <c r="L350" s="255">
        <f t="shared" si="68"/>
        <v>0</v>
      </c>
      <c r="M350" s="75"/>
      <c r="N350" s="48">
        <f t="shared" si="69"/>
        <v>0</v>
      </c>
      <c r="P350" s="140" t="str">
        <f t="shared" si="93"/>
        <v>7460/006</v>
      </c>
      <c r="Q350" s="70"/>
      <c r="R350" s="31"/>
      <c r="S350" s="71"/>
      <c r="T350" s="51"/>
      <c r="U350" s="31"/>
    </row>
    <row r="351" spans="1:21" x14ac:dyDescent="0.2">
      <c r="A351" s="238"/>
      <c r="B351" s="90" t="s">
        <v>297</v>
      </c>
      <c r="C351" s="249"/>
      <c r="D351" s="250"/>
      <c r="E351" s="251"/>
      <c r="F351" s="132">
        <f>TrialBalanceA!I351-TrialBalanceA!K351</f>
        <v>0</v>
      </c>
      <c r="G351" s="132">
        <f>TrialBalanceB!I351-TrialBalanceB!K351</f>
        <v>0</v>
      </c>
      <c r="H351" s="132">
        <f>TrialBalanceC!I351-TrialBalanceC!K351</f>
        <v>0</v>
      </c>
      <c r="I351" s="79">
        <f t="shared" si="95"/>
        <v>0</v>
      </c>
      <c r="J351" s="198">
        <f>SUMIF(Journals!D$14:D$920,TrialBalance!P351,Journals!J$14:J$920)+SUMIF(Journals!E$14:E$920,TrialBalance!P351,Journals!J$14:J$920)</f>
        <v>0</v>
      </c>
      <c r="K351" s="253"/>
      <c r="L351" s="255">
        <f t="shared" si="68"/>
        <v>0</v>
      </c>
      <c r="M351" s="75"/>
      <c r="N351" s="48">
        <f t="shared" si="69"/>
        <v>0</v>
      </c>
      <c r="P351" s="140" t="str">
        <f t="shared" si="93"/>
        <v>7460/007</v>
      </c>
      <c r="Q351" s="70"/>
      <c r="R351" s="31"/>
      <c r="S351" s="71"/>
      <c r="T351" s="51"/>
      <c r="U351" s="31"/>
    </row>
    <row r="352" spans="1:21" x14ac:dyDescent="0.2">
      <c r="A352" s="238"/>
      <c r="B352" s="90" t="s">
        <v>513</v>
      </c>
      <c r="C352" s="249"/>
      <c r="D352" s="250"/>
      <c r="E352" s="251"/>
      <c r="F352" s="132">
        <f>TrialBalanceA!I352-TrialBalanceA!K352</f>
        <v>0</v>
      </c>
      <c r="G352" s="132">
        <f>TrialBalanceB!I352-TrialBalanceB!K352</f>
        <v>0</v>
      </c>
      <c r="H352" s="132">
        <f>TrialBalanceC!I352-TrialBalanceC!K352</f>
        <v>0</v>
      </c>
      <c r="I352" s="79">
        <f t="shared" si="95"/>
        <v>0</v>
      </c>
      <c r="J352" s="198">
        <f>SUMIF(Journals!D$14:D$920,TrialBalance!P352,Journals!J$14:J$920)+SUMIF(Journals!E$14:E$920,TrialBalance!P352,Journals!J$14:J$920)</f>
        <v>0</v>
      </c>
      <c r="K352" s="253"/>
      <c r="L352" s="255">
        <f t="shared" si="68"/>
        <v>0</v>
      </c>
      <c r="M352" s="75"/>
      <c r="N352" s="48">
        <f t="shared" si="69"/>
        <v>0</v>
      </c>
      <c r="P352" s="140" t="str">
        <f t="shared" si="93"/>
        <v>7460/008</v>
      </c>
      <c r="Q352" s="70"/>
      <c r="R352" s="31"/>
      <c r="S352" s="71"/>
      <c r="T352" s="51"/>
      <c r="U352" s="31"/>
    </row>
    <row r="353" spans="1:21" x14ac:dyDescent="0.2">
      <c r="A353" s="238"/>
      <c r="B353" s="54" t="s">
        <v>417</v>
      </c>
      <c r="C353" s="239" t="s">
        <v>46</v>
      </c>
      <c r="D353" s="250"/>
      <c r="E353" s="251"/>
      <c r="F353" s="132"/>
      <c r="G353" s="132"/>
      <c r="H353" s="132"/>
      <c r="I353" s="79"/>
      <c r="J353" s="198">
        <f>SUMIF(Journals!D$14:D$920,TrialBalance!P353,Journals!J$14:J$920)+SUMIF(Journals!E$14:E$920,TrialBalance!P353,Journals!J$14:J$920)</f>
        <v>0</v>
      </c>
      <c r="K353" s="254" t="s">
        <v>588</v>
      </c>
      <c r="L353" s="255">
        <f t="shared" si="68"/>
        <v>0</v>
      </c>
      <c r="M353" s="75"/>
      <c r="N353" s="48">
        <f t="shared" si="69"/>
        <v>0</v>
      </c>
      <c r="P353" s="140" t="str">
        <f t="shared" si="93"/>
        <v>7500/000INVENTORY</v>
      </c>
      <c r="Q353" s="70"/>
      <c r="R353" s="31"/>
      <c r="S353" s="71"/>
      <c r="T353" s="51"/>
      <c r="U353" s="31"/>
    </row>
    <row r="354" spans="1:21" x14ac:dyDescent="0.2">
      <c r="A354" s="238"/>
      <c r="B354" s="54" t="s">
        <v>418</v>
      </c>
      <c r="C354" s="240" t="s">
        <v>419</v>
      </c>
      <c r="D354" s="250"/>
      <c r="E354" s="251"/>
      <c r="F354" s="132">
        <f>TrialBalanceA!I354-TrialBalanceA!K354</f>
        <v>0</v>
      </c>
      <c r="G354" s="132">
        <f>TrialBalanceB!I354-TrialBalanceB!K354</f>
        <v>0</v>
      </c>
      <c r="H354" s="132">
        <f>TrialBalanceC!I354-TrialBalanceC!K354</f>
        <v>0</v>
      </c>
      <c r="I354" s="79">
        <f>N354</f>
        <v>0</v>
      </c>
      <c r="J354" s="198">
        <f>SUMIF(Journals!D$14:D$920,TrialBalance!P354,Journals!J$14:J$920)+SUMIF(Journals!E$14:E$920,TrialBalance!P354,Journals!J$14:J$920)</f>
        <v>0</v>
      </c>
      <c r="K354" s="253"/>
      <c r="L354" s="255">
        <f t="shared" si="68"/>
        <v>0</v>
      </c>
      <c r="M354" s="75"/>
      <c r="N354" s="48">
        <f t="shared" si="69"/>
        <v>0</v>
      </c>
      <c r="P354" s="140" t="str">
        <f t="shared" si="93"/>
        <v>7500/001Raw materials</v>
      </c>
      <c r="Q354" s="70"/>
      <c r="R354" s="31"/>
      <c r="S354" s="71"/>
      <c r="T354" s="51"/>
      <c r="U354" s="31"/>
    </row>
    <row r="355" spans="1:21" x14ac:dyDescent="0.2">
      <c r="A355" s="238"/>
      <c r="B355" s="54" t="s">
        <v>21</v>
      </c>
      <c r="C355" s="240" t="s">
        <v>22</v>
      </c>
      <c r="D355" s="250"/>
      <c r="E355" s="251"/>
      <c r="F355" s="132">
        <f>TrialBalanceA!I355-TrialBalanceA!K355</f>
        <v>0</v>
      </c>
      <c r="G355" s="132">
        <f>TrialBalanceB!I355-TrialBalanceB!K355</f>
        <v>0</v>
      </c>
      <c r="H355" s="132">
        <f>TrialBalanceC!I355-TrialBalanceC!K355</f>
        <v>0</v>
      </c>
      <c r="I355" s="79">
        <f>N355</f>
        <v>0</v>
      </c>
      <c r="J355" s="198">
        <f>SUMIF(Journals!D$14:D$920,TrialBalance!P355,Journals!J$14:J$920)+SUMIF(Journals!E$14:E$920,TrialBalance!P355,Journals!J$14:J$920)</f>
        <v>0</v>
      </c>
      <c r="K355" s="253"/>
      <c r="L355" s="255">
        <f t="shared" si="68"/>
        <v>0</v>
      </c>
      <c r="M355" s="75"/>
      <c r="N355" s="48">
        <f t="shared" si="69"/>
        <v>0</v>
      </c>
      <c r="P355" s="140" t="str">
        <f t="shared" si="93"/>
        <v>7500/002Work in progress</v>
      </c>
      <c r="Q355" s="70"/>
      <c r="R355" s="31"/>
      <c r="S355" s="71"/>
      <c r="T355" s="51"/>
      <c r="U355" s="31"/>
    </row>
    <row r="356" spans="1:21" x14ac:dyDescent="0.2">
      <c r="A356" s="238"/>
      <c r="B356" s="54" t="s">
        <v>23</v>
      </c>
      <c r="C356" s="240" t="s">
        <v>24</v>
      </c>
      <c r="D356" s="250"/>
      <c r="E356" s="251"/>
      <c r="F356" s="132">
        <f>TrialBalanceA!I356-TrialBalanceA!K356</f>
        <v>0</v>
      </c>
      <c r="G356" s="132">
        <f>TrialBalanceB!I356-TrialBalanceB!K356</f>
        <v>0</v>
      </c>
      <c r="H356" s="132">
        <f>TrialBalanceC!I356-TrialBalanceC!K356</f>
        <v>0</v>
      </c>
      <c r="I356" s="79">
        <f>N356</f>
        <v>0</v>
      </c>
      <c r="J356" s="198">
        <f>SUMIF(Journals!D$14:D$920,TrialBalance!P356,Journals!J$14:J$920)+SUMIF(Journals!E$14:E$920,TrialBalance!P356,Journals!J$14:J$920)</f>
        <v>0</v>
      </c>
      <c r="K356" s="253"/>
      <c r="L356" s="255">
        <f t="shared" si="68"/>
        <v>0</v>
      </c>
      <c r="M356" s="75"/>
      <c r="N356" s="48">
        <f t="shared" si="69"/>
        <v>0</v>
      </c>
      <c r="P356" s="140" t="str">
        <f t="shared" si="93"/>
        <v>7500/003Finished goods</v>
      </c>
      <c r="Q356" s="70"/>
      <c r="R356" s="31"/>
      <c r="S356" s="71"/>
      <c r="T356" s="51"/>
      <c r="U356" s="31"/>
    </row>
    <row r="357" spans="1:21" x14ac:dyDescent="0.2">
      <c r="A357" s="238"/>
      <c r="B357" s="54" t="s">
        <v>27</v>
      </c>
      <c r="C357" s="240" t="s">
        <v>28</v>
      </c>
      <c r="D357" s="250"/>
      <c r="E357" s="251"/>
      <c r="F357" s="132">
        <f>TrialBalanceA!I357-TrialBalanceA!K357</f>
        <v>0</v>
      </c>
      <c r="G357" s="132">
        <f>TrialBalanceB!I357-TrialBalanceB!K357</f>
        <v>0</v>
      </c>
      <c r="H357" s="132">
        <f>TrialBalanceC!I357-TrialBalanceC!K357</f>
        <v>0</v>
      </c>
      <c r="I357" s="79">
        <f>N357</f>
        <v>0</v>
      </c>
      <c r="J357" s="198">
        <f>SUMIF(Journals!D$14:D$920,TrialBalance!P357,Journals!J$14:J$920)+SUMIF(Journals!E$14:E$920,TrialBalance!P357,Journals!J$14:J$920)</f>
        <v>0</v>
      </c>
      <c r="K357" s="254"/>
      <c r="L357" s="255">
        <f t="shared" si="68"/>
        <v>0</v>
      </c>
      <c r="M357" s="75"/>
      <c r="N357" s="48">
        <f t="shared" si="69"/>
        <v>0</v>
      </c>
      <c r="P357" s="140" t="str">
        <f t="shared" si="93"/>
        <v>7500/004Trading stock</v>
      </c>
      <c r="Q357" s="70"/>
      <c r="R357" s="31"/>
      <c r="S357" s="51"/>
      <c r="T357" s="51"/>
      <c r="U357" s="31"/>
    </row>
    <row r="358" spans="1:21" x14ac:dyDescent="0.2">
      <c r="A358" s="238"/>
      <c r="B358" s="54" t="s">
        <v>30</v>
      </c>
      <c r="C358" s="239" t="s">
        <v>31</v>
      </c>
      <c r="D358" s="250"/>
      <c r="E358" s="251"/>
      <c r="F358" s="132"/>
      <c r="G358" s="132"/>
      <c r="H358" s="132"/>
      <c r="I358" s="79"/>
      <c r="J358" s="198">
        <f>SUMIF(Journals!D$14:D$920,TrialBalance!P358,Journals!J$14:J$920)+SUMIF(Journals!E$14:E$920,TrialBalance!P358,Journals!J$14:J$920)</f>
        <v>0</v>
      </c>
      <c r="K358" s="254" t="s">
        <v>588</v>
      </c>
      <c r="L358" s="255">
        <f t="shared" si="68"/>
        <v>0</v>
      </c>
      <c r="M358" s="75"/>
      <c r="N358" s="48">
        <f t="shared" si="69"/>
        <v>0</v>
      </c>
      <c r="P358" s="140" t="str">
        <f t="shared" si="93"/>
        <v>8000/000DEBTORS</v>
      </c>
      <c r="Q358" s="70"/>
      <c r="R358" s="31"/>
      <c r="S358" s="71"/>
      <c r="T358" s="51"/>
      <c r="U358" s="31"/>
    </row>
    <row r="359" spans="1:21" x14ac:dyDescent="0.2">
      <c r="A359" s="238"/>
      <c r="B359" s="54" t="s">
        <v>32</v>
      </c>
      <c r="C359" s="240" t="s">
        <v>33</v>
      </c>
      <c r="D359" s="250"/>
      <c r="E359" s="251"/>
      <c r="F359" s="132">
        <f>TrialBalanceA!I359-TrialBalanceA!K359</f>
        <v>0</v>
      </c>
      <c r="G359" s="132">
        <f>TrialBalanceB!I359-TrialBalanceB!K359</f>
        <v>0</v>
      </c>
      <c r="H359" s="132">
        <f>TrialBalanceC!I359-TrialBalanceC!K359</f>
        <v>0</v>
      </c>
      <c r="I359" s="79">
        <f>N359</f>
        <v>0</v>
      </c>
      <c r="J359" s="198">
        <f>SUMIF(Journals!D$14:D$920,TrialBalance!P359,Journals!J$14:J$920)+SUMIF(Journals!E$14:E$920,TrialBalance!P359,Journals!J$14:J$920)</f>
        <v>0</v>
      </c>
      <c r="K359" s="253"/>
      <c r="L359" s="255">
        <f t="shared" si="68"/>
        <v>0</v>
      </c>
      <c r="M359" s="75"/>
      <c r="N359" s="48">
        <f t="shared" si="69"/>
        <v>0</v>
      </c>
      <c r="P359" s="140" t="str">
        <f t="shared" si="93"/>
        <v>8010/000Trade debtors</v>
      </c>
      <c r="Q359" s="72"/>
      <c r="R359" s="31"/>
      <c r="S359" s="71"/>
      <c r="T359" s="51"/>
      <c r="U359" s="31"/>
    </row>
    <row r="360" spans="1:21" x14ac:dyDescent="0.2">
      <c r="A360" s="238"/>
      <c r="B360" s="90" t="s">
        <v>34</v>
      </c>
      <c r="C360" s="242" t="s">
        <v>589</v>
      </c>
      <c r="D360" s="250"/>
      <c r="E360" s="251"/>
      <c r="F360" s="132">
        <f>TrialBalanceA!I360-TrialBalanceA!K360</f>
        <v>0</v>
      </c>
      <c r="G360" s="132">
        <f>TrialBalanceB!I360-TrialBalanceB!K360</f>
        <v>0</v>
      </c>
      <c r="H360" s="132">
        <f>TrialBalanceC!I360-TrialBalanceC!K360</f>
        <v>0</v>
      </c>
      <c r="I360" s="79">
        <f t="shared" ref="I360" si="101">N360</f>
        <v>0</v>
      </c>
      <c r="J360" s="198">
        <f>SUMIF(Journals!D$14:D$920,TrialBalance!P360,Journals!J$14:J$920)+SUMIF(Journals!E$14:E$920,TrialBalance!P360,Journals!J$14:J$920)</f>
        <v>0</v>
      </c>
      <c r="K360" s="253"/>
      <c r="L360" s="255">
        <f t="shared" si="68"/>
        <v>0</v>
      </c>
      <c r="M360" s="75"/>
      <c r="N360" s="48">
        <f t="shared" si="69"/>
        <v>0</v>
      </c>
      <c r="P360" s="140" t="str">
        <f t="shared" si="93"/>
        <v>8020/000Less: Provision for doubtful debts</v>
      </c>
      <c r="Q360" s="70"/>
      <c r="R360" s="31"/>
      <c r="S360" s="71"/>
      <c r="T360" s="51"/>
      <c r="U360" s="31"/>
    </row>
    <row r="361" spans="1:21" x14ac:dyDescent="0.2">
      <c r="A361" s="238"/>
      <c r="B361" s="90" t="s">
        <v>591</v>
      </c>
      <c r="C361" s="240" t="s">
        <v>332</v>
      </c>
      <c r="D361" s="250"/>
      <c r="E361" s="251"/>
      <c r="F361" s="132">
        <f>TrialBalanceA!I361-TrialBalanceA!K361</f>
        <v>0</v>
      </c>
      <c r="G361" s="132">
        <f>TrialBalanceB!I361-TrialBalanceB!K361</f>
        <v>0</v>
      </c>
      <c r="H361" s="132">
        <f>TrialBalanceC!I361-TrialBalanceC!K361</f>
        <v>0</v>
      </c>
      <c r="I361" s="79">
        <f>N361</f>
        <v>0</v>
      </c>
      <c r="J361" s="198">
        <f>SUMIF(Journals!D$14:D$920,TrialBalance!P361,Journals!J$14:J$920)+SUMIF(Journals!E$14:E$920,TrialBalance!P361,Journals!J$14:J$920)</f>
        <v>0</v>
      </c>
      <c r="K361" s="253"/>
      <c r="L361" s="255">
        <f t="shared" si="68"/>
        <v>0</v>
      </c>
      <c r="M361" s="75"/>
      <c r="N361" s="48">
        <f t="shared" si="69"/>
        <v>0</v>
      </c>
      <c r="P361" s="140" t="str">
        <f t="shared" si="93"/>
        <v>8030/000Service deposits</v>
      </c>
      <c r="Q361" s="70"/>
      <c r="R361" s="31"/>
      <c r="S361" s="71"/>
      <c r="T361" s="51"/>
      <c r="U361" s="31"/>
    </row>
    <row r="362" spans="1:21" x14ac:dyDescent="0.2">
      <c r="A362" s="238"/>
      <c r="B362" s="54" t="s">
        <v>479</v>
      </c>
      <c r="C362" s="242" t="s">
        <v>803</v>
      </c>
      <c r="D362" s="250"/>
      <c r="E362" s="250"/>
      <c r="F362" s="132">
        <f>TrialBalanceA!I362-TrialBalanceA!K362</f>
        <v>0</v>
      </c>
      <c r="G362" s="132">
        <f>TrialBalanceB!I362-TrialBalanceB!K362</f>
        <v>0</v>
      </c>
      <c r="H362" s="132">
        <f>TrialBalanceC!I362-TrialBalanceC!K362</f>
        <v>0</v>
      </c>
      <c r="I362" s="79">
        <f>N362</f>
        <v>0</v>
      </c>
      <c r="J362" s="198">
        <f>SUMIF(Journals!D$14:D$920,TrialBalance!P362,Journals!J$14:J$920)+SUMIF(Journals!E$14:E$920,TrialBalance!P362,Journals!J$14:J$920)</f>
        <v>0</v>
      </c>
      <c r="K362" s="253"/>
      <c r="L362" s="255">
        <f t="shared" si="68"/>
        <v>0</v>
      </c>
      <c r="M362" s="75"/>
      <c r="N362" s="48">
        <f t="shared" si="69"/>
        <v>0</v>
      </c>
      <c r="P362" s="140" t="str">
        <f t="shared" si="93"/>
        <v>8200/000Sundry customers</v>
      </c>
      <c r="Q362" s="70"/>
      <c r="R362" s="31"/>
      <c r="S362" s="71"/>
      <c r="T362" s="51"/>
      <c r="U362" s="31"/>
    </row>
    <row r="363" spans="1:21" x14ac:dyDescent="0.2">
      <c r="A363" s="238"/>
      <c r="B363" s="54" t="s">
        <v>480</v>
      </c>
      <c r="C363" s="240" t="s">
        <v>376</v>
      </c>
      <c r="D363" s="250"/>
      <c r="E363" s="251"/>
      <c r="F363" s="132">
        <f>TrialBalanceA!I363-TrialBalanceA!K363</f>
        <v>0</v>
      </c>
      <c r="G363" s="132">
        <f>TrialBalanceB!I363-TrialBalanceB!K363</f>
        <v>0</v>
      </c>
      <c r="H363" s="132">
        <f>TrialBalanceC!I363-TrialBalanceC!K363</f>
        <v>0</v>
      </c>
      <c r="I363" s="79">
        <f>N363</f>
        <v>0</v>
      </c>
      <c r="J363" s="198">
        <f>SUMIF(Journals!D$14:D$920,TrialBalance!P363,Journals!J$14:J$920)+SUMIF(Journals!E$14:E$920,TrialBalance!P363,Journals!J$14:J$920)</f>
        <v>0</v>
      </c>
      <c r="K363" s="253"/>
      <c r="L363" s="255">
        <f t="shared" si="68"/>
        <v>0</v>
      </c>
      <c r="M363" s="75"/>
      <c r="N363" s="48">
        <f t="shared" si="69"/>
        <v>0</v>
      </c>
      <c r="P363" s="140" t="str">
        <f t="shared" si="93"/>
        <v>8200/010Prepayments</v>
      </c>
      <c r="Q363" s="70"/>
      <c r="R363" s="31"/>
      <c r="S363" s="71"/>
      <c r="T363" s="51"/>
      <c r="U363" s="31"/>
    </row>
    <row r="364" spans="1:21" x14ac:dyDescent="0.2">
      <c r="A364" s="238"/>
      <c r="B364" s="54" t="s">
        <v>237</v>
      </c>
      <c r="C364" s="241" t="s">
        <v>564</v>
      </c>
      <c r="D364" s="250"/>
      <c r="E364" s="251"/>
      <c r="F364" s="132">
        <f>TrialBalanceA!I364-TrialBalanceA!K364</f>
        <v>0</v>
      </c>
      <c r="G364" s="132">
        <f>TrialBalanceB!I364-TrialBalanceB!K364</f>
        <v>0</v>
      </c>
      <c r="H364" s="132">
        <f>TrialBalanceC!I364-TrialBalanceC!K364</f>
        <v>0</v>
      </c>
      <c r="I364" s="79">
        <f>N364</f>
        <v>0</v>
      </c>
      <c r="J364" s="198">
        <f>SUMIF(Journals!D$14:D$920,TrialBalance!P364,Journals!J$14:J$920)+SUMIF(Journals!E$14:E$920,TrialBalance!P364,Journals!J$14:J$920)</f>
        <v>0</v>
      </c>
      <c r="K364" s="253"/>
      <c r="L364" s="255">
        <f t="shared" si="68"/>
        <v>0</v>
      </c>
      <c r="M364" s="75"/>
      <c r="N364" s="48">
        <f t="shared" si="69"/>
        <v>0</v>
      </c>
      <c r="P364" s="140" t="str">
        <f t="shared" si="93"/>
        <v>8200/020Staff loans</v>
      </c>
      <c r="Q364" s="70"/>
      <c r="R364" s="31"/>
      <c r="S364" s="71"/>
      <c r="T364" s="51"/>
      <c r="U364" s="31"/>
    </row>
    <row r="365" spans="1:21" x14ac:dyDescent="0.2">
      <c r="A365" s="238"/>
      <c r="B365" s="54" t="s">
        <v>238</v>
      </c>
      <c r="C365" s="244" t="s">
        <v>125</v>
      </c>
      <c r="D365" s="250"/>
      <c r="E365" s="251"/>
      <c r="F365" s="132"/>
      <c r="G365" s="132"/>
      <c r="H365" s="132"/>
      <c r="I365" s="79"/>
      <c r="J365" s="198">
        <f>SUMIF(Journals!D$14:D$920,TrialBalance!P365,Journals!J$14:J$920)+SUMIF(Journals!E$14:E$920,TrialBalance!P365,Journals!J$14:J$920)</f>
        <v>0</v>
      </c>
      <c r="K365" s="254" t="s">
        <v>588</v>
      </c>
      <c r="L365" s="255">
        <f t="shared" si="68"/>
        <v>0</v>
      </c>
      <c r="M365" s="75"/>
      <c r="N365" s="48">
        <f t="shared" si="69"/>
        <v>0</v>
      </c>
      <c r="P365" s="140" t="str">
        <f t="shared" si="93"/>
        <v>8400/000BANK ACCOUNTS</v>
      </c>
      <c r="Q365" s="70"/>
      <c r="R365" s="31"/>
      <c r="S365" s="71"/>
      <c r="T365" s="51"/>
      <c r="U365" s="31"/>
    </row>
    <row r="366" spans="1:21" x14ac:dyDescent="0.2">
      <c r="A366" s="238"/>
      <c r="B366" s="54" t="s">
        <v>239</v>
      </c>
      <c r="C366" s="243"/>
      <c r="D366" s="250"/>
      <c r="E366" s="252"/>
      <c r="F366" s="132">
        <f>TrialBalanceA!I366-TrialBalanceA!K366</f>
        <v>0</v>
      </c>
      <c r="G366" s="132">
        <f>TrialBalanceB!I366-TrialBalanceB!K366</f>
        <v>0</v>
      </c>
      <c r="H366" s="132">
        <f>TrialBalanceC!I366-TrialBalanceC!K366</f>
        <v>0</v>
      </c>
      <c r="I366" s="79">
        <f t="shared" ref="I366:I372" si="102">N366</f>
        <v>0</v>
      </c>
      <c r="J366" s="198">
        <f>SUMIF(Journals!D$14:D$920,TrialBalance!P366,Journals!J$14:J$920)+SUMIF(Journals!E$14:E$920,TrialBalance!P366,Journals!J$14:J$920)</f>
        <v>0</v>
      </c>
      <c r="K366" s="253"/>
      <c r="L366" s="255">
        <f>ROUND(D366-E366+F366+G366+H366+J366+I366,0)</f>
        <v>0</v>
      </c>
      <c r="M366" s="75"/>
      <c r="N366" s="48">
        <f t="shared" si="69"/>
        <v>0</v>
      </c>
      <c r="P366" s="140" t="str">
        <f t="shared" si="93"/>
        <v>8410/000</v>
      </c>
      <c r="Q366" s="72"/>
      <c r="R366" s="31"/>
      <c r="S366" s="71"/>
      <c r="T366" s="51"/>
      <c r="U366" s="31"/>
    </row>
    <row r="367" spans="1:21" x14ac:dyDescent="0.2">
      <c r="A367" s="238"/>
      <c r="B367" s="54" t="s">
        <v>240</v>
      </c>
      <c r="C367" s="243"/>
      <c r="D367" s="250"/>
      <c r="E367" s="250"/>
      <c r="F367" s="132">
        <f>TrialBalanceA!I367-TrialBalanceA!K367</f>
        <v>0</v>
      </c>
      <c r="G367" s="132">
        <f>TrialBalanceB!I367-TrialBalanceB!K367</f>
        <v>0</v>
      </c>
      <c r="H367" s="132">
        <f>TrialBalanceC!I367-TrialBalanceC!K367</f>
        <v>0</v>
      </c>
      <c r="I367" s="79">
        <f t="shared" si="102"/>
        <v>0</v>
      </c>
      <c r="J367" s="198">
        <f>SUMIF(Journals!D$14:D$920,TrialBalance!P367,Journals!J$14:J$920)+SUMIF(Journals!E$14:E$920,TrialBalance!P367,Journals!J$14:J$920)</f>
        <v>0</v>
      </c>
      <c r="K367" s="253"/>
      <c r="L367" s="255">
        <f t="shared" si="68"/>
        <v>0</v>
      </c>
      <c r="M367" s="75"/>
      <c r="N367" s="48">
        <f t="shared" si="69"/>
        <v>0</v>
      </c>
      <c r="P367" s="140" t="str">
        <f t="shared" si="93"/>
        <v>8420/000</v>
      </c>
      <c r="Q367" s="70"/>
      <c r="R367" s="31"/>
      <c r="S367" s="71"/>
      <c r="T367" s="51"/>
      <c r="U367" s="31"/>
    </row>
    <row r="368" spans="1:21" x14ac:dyDescent="0.2">
      <c r="A368" s="238"/>
      <c r="B368" s="54" t="s">
        <v>241</v>
      </c>
      <c r="C368" s="243"/>
      <c r="D368" s="250"/>
      <c r="E368" s="250"/>
      <c r="F368" s="132">
        <f>TrialBalanceA!I368-TrialBalanceA!K368</f>
        <v>0</v>
      </c>
      <c r="G368" s="132">
        <f>TrialBalanceB!I368-TrialBalanceB!K368</f>
        <v>0</v>
      </c>
      <c r="H368" s="132">
        <f>TrialBalanceC!I368-TrialBalanceC!K368</f>
        <v>0</v>
      </c>
      <c r="I368" s="79">
        <f t="shared" si="102"/>
        <v>0</v>
      </c>
      <c r="J368" s="198">
        <f>SUMIF(Journals!D$14:D$920,TrialBalance!P368,Journals!J$14:J$920)+SUMIF(Journals!E$14:E$920,TrialBalance!P368,Journals!J$14:J$920)</f>
        <v>0</v>
      </c>
      <c r="K368" s="253"/>
      <c r="L368" s="255">
        <f t="shared" si="68"/>
        <v>0</v>
      </c>
      <c r="M368" s="75"/>
      <c r="N368" s="48">
        <f t="shared" si="69"/>
        <v>0</v>
      </c>
      <c r="P368" s="140" t="str">
        <f t="shared" si="93"/>
        <v>8430/000</v>
      </c>
      <c r="Q368" s="70"/>
      <c r="R368" s="31"/>
      <c r="S368" s="71"/>
      <c r="T368" s="51"/>
      <c r="U368" s="31"/>
    </row>
    <row r="369" spans="1:21" x14ac:dyDescent="0.2">
      <c r="A369" s="238"/>
      <c r="B369" s="54" t="s">
        <v>242</v>
      </c>
      <c r="C369" s="243"/>
      <c r="D369" s="250"/>
      <c r="E369" s="251"/>
      <c r="F369" s="132">
        <f>TrialBalanceA!I369-TrialBalanceA!K369</f>
        <v>0</v>
      </c>
      <c r="G369" s="132">
        <f>TrialBalanceB!I369-TrialBalanceB!K369</f>
        <v>0</v>
      </c>
      <c r="H369" s="132">
        <f>TrialBalanceC!I369-TrialBalanceC!K369</f>
        <v>0</v>
      </c>
      <c r="I369" s="79">
        <f t="shared" si="102"/>
        <v>0</v>
      </c>
      <c r="J369" s="198">
        <f>SUMIF(Journals!D$14:D$920,TrialBalance!P369,Journals!J$14:J$920)+SUMIF(Journals!E$14:E$920,TrialBalance!P369,Journals!J$14:J$920)</f>
        <v>0</v>
      </c>
      <c r="K369" s="253"/>
      <c r="L369" s="255">
        <f t="shared" si="68"/>
        <v>0</v>
      </c>
      <c r="M369" s="75"/>
      <c r="N369" s="48">
        <f t="shared" si="69"/>
        <v>0</v>
      </c>
      <c r="P369" s="140" t="str">
        <f t="shared" si="93"/>
        <v>8440/000</v>
      </c>
      <c r="Q369" s="70"/>
      <c r="R369" s="31"/>
      <c r="S369" s="71"/>
      <c r="T369" s="51"/>
      <c r="U369" s="31"/>
    </row>
    <row r="370" spans="1:21" x14ac:dyDescent="0.2">
      <c r="A370" s="238"/>
      <c r="B370" s="54" t="s">
        <v>243</v>
      </c>
      <c r="C370" s="243"/>
      <c r="D370" s="250"/>
      <c r="E370" s="251"/>
      <c r="F370" s="132">
        <f>TrialBalanceA!I370-TrialBalanceA!K370</f>
        <v>0</v>
      </c>
      <c r="G370" s="132">
        <f>TrialBalanceB!I370-TrialBalanceB!K370</f>
        <v>0</v>
      </c>
      <c r="H370" s="132">
        <f>TrialBalanceC!I370-TrialBalanceC!K370</f>
        <v>0</v>
      </c>
      <c r="I370" s="79">
        <f t="shared" si="102"/>
        <v>0</v>
      </c>
      <c r="J370" s="198">
        <f>SUMIF(Journals!D$14:D$920,TrialBalance!P370,Journals!J$14:J$920)+SUMIF(Journals!E$14:E$920,TrialBalance!P370,Journals!J$14:J$920)</f>
        <v>0</v>
      </c>
      <c r="K370" s="253"/>
      <c r="L370" s="255">
        <f t="shared" si="68"/>
        <v>0</v>
      </c>
      <c r="M370" s="75"/>
      <c r="N370" s="48">
        <f t="shared" si="69"/>
        <v>0</v>
      </c>
      <c r="P370" s="140" t="str">
        <f t="shared" si="93"/>
        <v>8450/000</v>
      </c>
      <c r="Q370" s="70"/>
      <c r="R370" s="31"/>
      <c r="S370" s="71"/>
      <c r="T370" s="51"/>
      <c r="U370" s="31"/>
    </row>
    <row r="371" spans="1:21" x14ac:dyDescent="0.2">
      <c r="A371" s="238"/>
      <c r="B371" s="54" t="s">
        <v>126</v>
      </c>
      <c r="C371" s="243"/>
      <c r="D371" s="250"/>
      <c r="E371" s="251"/>
      <c r="F371" s="132">
        <f>TrialBalanceA!I371-TrialBalanceA!K371</f>
        <v>0</v>
      </c>
      <c r="G371" s="132">
        <f>TrialBalanceB!I371-TrialBalanceB!K371</f>
        <v>0</v>
      </c>
      <c r="H371" s="132">
        <f>TrialBalanceC!I371-TrialBalanceC!K371</f>
        <v>0</v>
      </c>
      <c r="I371" s="79">
        <f t="shared" si="102"/>
        <v>0</v>
      </c>
      <c r="J371" s="198">
        <f>SUMIF(Journals!D$14:D$920,TrialBalance!P371,Journals!J$14:J$920)+SUMIF(Journals!E$14:E$920,TrialBalance!P371,Journals!J$14:J$920)</f>
        <v>0</v>
      </c>
      <c r="K371" s="253"/>
      <c r="L371" s="255">
        <f t="shared" si="68"/>
        <v>0</v>
      </c>
      <c r="M371" s="75"/>
      <c r="N371" s="48">
        <f t="shared" si="69"/>
        <v>0</v>
      </c>
      <c r="P371" s="140" t="str">
        <f t="shared" si="93"/>
        <v>8460/000</v>
      </c>
      <c r="Q371" s="70"/>
      <c r="R371" s="31"/>
      <c r="S371" s="71"/>
      <c r="T371" s="51"/>
      <c r="U371" s="31"/>
    </row>
    <row r="372" spans="1:21" x14ac:dyDescent="0.2">
      <c r="A372" s="238"/>
      <c r="B372" s="54" t="s">
        <v>426</v>
      </c>
      <c r="C372" s="246" t="s">
        <v>427</v>
      </c>
      <c r="D372" s="250"/>
      <c r="E372" s="250"/>
      <c r="F372" s="132">
        <f>TrialBalanceA!I372-TrialBalanceA!K372</f>
        <v>0</v>
      </c>
      <c r="G372" s="132">
        <f>TrialBalanceB!I372-TrialBalanceB!K372</f>
        <v>0</v>
      </c>
      <c r="H372" s="132">
        <f>TrialBalanceC!I372-TrialBalanceC!K372</f>
        <v>0</v>
      </c>
      <c r="I372" s="79">
        <f t="shared" si="102"/>
        <v>0</v>
      </c>
      <c r="J372" s="198">
        <f>SUMIF(Journals!D$14:D$920,TrialBalance!P372,Journals!J$14:J$920)+SUMIF(Journals!E$14:E$920,TrialBalance!P372,Journals!J$14:J$920)</f>
        <v>0</v>
      </c>
      <c r="K372" s="253"/>
      <c r="L372" s="255">
        <f t="shared" ref="L372:L400" si="103">ROUND(D372-E372+F372+G372+H372+J372+I372,0)</f>
        <v>0</v>
      </c>
      <c r="M372" s="75"/>
      <c r="N372" s="48">
        <f t="shared" si="69"/>
        <v>0</v>
      </c>
      <c r="P372" s="140" t="str">
        <f t="shared" si="93"/>
        <v>8500/000Cash on hand</v>
      </c>
      <c r="Q372" s="70"/>
      <c r="R372" s="31"/>
      <c r="S372" s="71"/>
      <c r="T372" s="51"/>
      <c r="U372" s="31"/>
    </row>
    <row r="373" spans="1:21" x14ac:dyDescent="0.2">
      <c r="A373" s="238"/>
      <c r="B373" s="54" t="s">
        <v>428</v>
      </c>
      <c r="C373" s="244" t="s">
        <v>287</v>
      </c>
      <c r="D373" s="250"/>
      <c r="E373" s="251"/>
      <c r="F373" s="132"/>
      <c r="G373" s="132"/>
      <c r="H373" s="132"/>
      <c r="I373" s="79"/>
      <c r="J373" s="198">
        <f>SUMIF(Journals!D$14:D$920,TrialBalance!P373,Journals!J$14:J$920)+SUMIF(Journals!E$14:E$920,TrialBalance!P373,Journals!J$14:J$920)</f>
        <v>0</v>
      </c>
      <c r="K373" s="253"/>
      <c r="L373" s="255">
        <f t="shared" si="103"/>
        <v>0</v>
      </c>
      <c r="M373" s="75"/>
      <c r="N373" s="48">
        <f t="shared" si="69"/>
        <v>0</v>
      </c>
      <c r="P373" s="140" t="str">
        <f t="shared" ref="P373:P400" si="104">CONCATENATE(B373,C373)</f>
        <v>8900/000SHORT TERM LOANS</v>
      </c>
      <c r="Q373" s="70"/>
      <c r="R373" s="31"/>
      <c r="S373" s="71"/>
      <c r="T373" s="51"/>
      <c r="U373" s="31"/>
    </row>
    <row r="374" spans="1:21" x14ac:dyDescent="0.2">
      <c r="A374" s="238"/>
      <c r="B374" s="54" t="s">
        <v>429</v>
      </c>
      <c r="C374" s="243"/>
      <c r="D374" s="250"/>
      <c r="E374" s="251"/>
      <c r="F374" s="132">
        <f>TrialBalanceA!I374-TrialBalanceA!K374</f>
        <v>0</v>
      </c>
      <c r="G374" s="132">
        <f>TrialBalanceB!I374-TrialBalanceB!K374</f>
        <v>0</v>
      </c>
      <c r="H374" s="132">
        <f>TrialBalanceC!I374-TrialBalanceC!K374</f>
        <v>0</v>
      </c>
      <c r="I374" s="79">
        <f>N374</f>
        <v>0</v>
      </c>
      <c r="J374" s="198">
        <f>SUMIF(Journals!D$14:D$920,TrialBalance!P374,Journals!J$14:J$920)+SUMIF(Journals!E$14:E$920,TrialBalance!P374,Journals!J$14:J$920)</f>
        <v>0</v>
      </c>
      <c r="K374" s="253"/>
      <c r="L374" s="255">
        <f t="shared" si="103"/>
        <v>0</v>
      </c>
      <c r="M374" s="75"/>
      <c r="N374" s="48">
        <f t="shared" si="69"/>
        <v>0</v>
      </c>
      <c r="P374" s="140" t="str">
        <f t="shared" si="104"/>
        <v>8900/001</v>
      </c>
      <c r="Q374" s="72"/>
      <c r="R374" s="31"/>
      <c r="S374" s="71"/>
      <c r="T374" s="51"/>
      <c r="U374" s="31"/>
    </row>
    <row r="375" spans="1:21" x14ac:dyDescent="0.2">
      <c r="A375" s="238"/>
      <c r="B375" s="54" t="s">
        <v>430</v>
      </c>
      <c r="C375" s="243"/>
      <c r="D375" s="250"/>
      <c r="E375" s="251"/>
      <c r="F375" s="132">
        <f>TrialBalanceA!I375-TrialBalanceA!K375</f>
        <v>0</v>
      </c>
      <c r="G375" s="132">
        <f>TrialBalanceB!I375-TrialBalanceB!K375</f>
        <v>0</v>
      </c>
      <c r="H375" s="132">
        <f>TrialBalanceC!I375-TrialBalanceC!K375</f>
        <v>0</v>
      </c>
      <c r="I375" s="79">
        <f>N375</f>
        <v>0</v>
      </c>
      <c r="J375" s="198">
        <f>SUMIF(Journals!D$14:D$920,TrialBalance!P375,Journals!J$14:J$920)+SUMIF(Journals!E$14:E$920,TrialBalance!P375,Journals!J$14:J$920)</f>
        <v>0</v>
      </c>
      <c r="K375" s="253"/>
      <c r="L375" s="255">
        <f t="shared" si="103"/>
        <v>0</v>
      </c>
      <c r="M375" s="75"/>
      <c r="N375" s="48">
        <f t="shared" si="69"/>
        <v>0</v>
      </c>
      <c r="P375" s="140" t="str">
        <f t="shared" si="104"/>
        <v>8900/002</v>
      </c>
      <c r="Q375" s="72"/>
      <c r="R375" s="31"/>
      <c r="S375" s="71"/>
      <c r="T375" s="51"/>
      <c r="U375" s="31"/>
    </row>
    <row r="376" spans="1:21" x14ac:dyDescent="0.2">
      <c r="A376" s="238"/>
      <c r="B376" s="54" t="s">
        <v>431</v>
      </c>
      <c r="C376" s="243"/>
      <c r="D376" s="251"/>
      <c r="E376" s="251"/>
      <c r="F376" s="132">
        <f>TrialBalanceA!I376-TrialBalanceA!K376</f>
        <v>0</v>
      </c>
      <c r="G376" s="132">
        <f>TrialBalanceB!I376-TrialBalanceB!K376</f>
        <v>0</v>
      </c>
      <c r="H376" s="132">
        <f>TrialBalanceC!I376-TrialBalanceC!K376</f>
        <v>0</v>
      </c>
      <c r="I376" s="79">
        <f>N376</f>
        <v>0</v>
      </c>
      <c r="J376" s="198">
        <f>SUMIF(Journals!D$14:D$920,TrialBalance!P376,Journals!J$14:J$920)+SUMIF(Journals!E$14:E$920,TrialBalance!P376,Journals!J$14:J$920)</f>
        <v>0</v>
      </c>
      <c r="K376" s="253"/>
      <c r="L376" s="255">
        <f t="shared" si="103"/>
        <v>0</v>
      </c>
      <c r="M376" s="75"/>
      <c r="N376" s="48">
        <f t="shared" si="69"/>
        <v>0</v>
      </c>
      <c r="P376" s="140" t="str">
        <f t="shared" si="104"/>
        <v>8900/003</v>
      </c>
      <c r="Q376" s="72"/>
      <c r="R376" s="31"/>
      <c r="S376" s="71"/>
      <c r="T376" s="51"/>
      <c r="U376" s="31"/>
    </row>
    <row r="377" spans="1:21" x14ac:dyDescent="0.2">
      <c r="A377" s="238"/>
      <c r="B377" s="54" t="s">
        <v>432</v>
      </c>
      <c r="C377" s="239" t="s">
        <v>255</v>
      </c>
      <c r="D377" s="251"/>
      <c r="E377" s="251"/>
      <c r="F377" s="132"/>
      <c r="G377" s="132"/>
      <c r="H377" s="132"/>
      <c r="I377" s="79">
        <f>N377</f>
        <v>0</v>
      </c>
      <c r="J377" s="198">
        <f>SUMIF(Journals!D$14:D$920,TrialBalance!P377,Journals!J$14:J$920)+SUMIF(Journals!E$14:E$920,TrialBalance!P377,Journals!J$14:J$920)</f>
        <v>0</v>
      </c>
      <c r="K377" s="253"/>
      <c r="L377" s="255">
        <f t="shared" si="103"/>
        <v>0</v>
      </c>
      <c r="M377" s="75"/>
      <c r="N377" s="48">
        <f t="shared" si="69"/>
        <v>0</v>
      </c>
      <c r="P377" s="140" t="str">
        <f t="shared" si="104"/>
        <v>8900/004Short term portion of long term loans</v>
      </c>
      <c r="Q377" s="70"/>
      <c r="R377" s="31"/>
      <c r="S377" s="71"/>
      <c r="T377" s="51"/>
      <c r="U377" s="31"/>
    </row>
    <row r="378" spans="1:21" x14ac:dyDescent="0.2">
      <c r="A378" s="238"/>
      <c r="B378" s="54" t="s">
        <v>433</v>
      </c>
      <c r="C378" s="239" t="s">
        <v>434</v>
      </c>
      <c r="D378" s="252"/>
      <c r="E378" s="251"/>
      <c r="F378" s="132"/>
      <c r="G378" s="132"/>
      <c r="H378" s="132"/>
      <c r="I378" s="79"/>
      <c r="J378" s="198">
        <f>SUMIF(Journals!D$14:D$920,TrialBalance!P378,Journals!J$14:J$920)+SUMIF(Journals!E$14:E$920,TrialBalance!P378,Journals!J$14:J$920)</f>
        <v>0</v>
      </c>
      <c r="K378" s="254" t="s">
        <v>588</v>
      </c>
      <c r="L378" s="255">
        <f t="shared" si="103"/>
        <v>0</v>
      </c>
      <c r="M378" s="75"/>
      <c r="N378" s="48">
        <f t="shared" si="69"/>
        <v>0</v>
      </c>
      <c r="P378" s="140" t="str">
        <f t="shared" si="104"/>
        <v>9000/000CREDITORS</v>
      </c>
      <c r="Q378" s="70"/>
      <c r="R378" s="31"/>
      <c r="S378" s="71"/>
      <c r="T378" s="51"/>
      <c r="U378" s="31"/>
    </row>
    <row r="379" spans="1:21" x14ac:dyDescent="0.2">
      <c r="A379" s="238"/>
      <c r="B379" s="54" t="s">
        <v>435</v>
      </c>
      <c r="C379" s="240" t="s">
        <v>436</v>
      </c>
      <c r="D379" s="252"/>
      <c r="E379" s="251"/>
      <c r="F379" s="132">
        <f>TrialBalanceA!I379-TrialBalanceA!K379</f>
        <v>0</v>
      </c>
      <c r="G379" s="132">
        <f>TrialBalanceB!I379-TrialBalanceB!K379</f>
        <v>0</v>
      </c>
      <c r="H379" s="132">
        <f>TrialBalanceC!I379-TrialBalanceC!K379</f>
        <v>0</v>
      </c>
      <c r="I379" s="79">
        <f>N379</f>
        <v>0</v>
      </c>
      <c r="J379" s="198">
        <f>SUMIF(Journals!D$14:D$920,TrialBalance!P379,Journals!J$14:J$920)+SUMIF(Journals!E$14:E$920,TrialBalance!P379,Journals!J$14:J$920)</f>
        <v>0</v>
      </c>
      <c r="K379" s="253"/>
      <c r="L379" s="255">
        <f t="shared" si="103"/>
        <v>0</v>
      </c>
      <c r="M379" s="75"/>
      <c r="N379" s="48">
        <f t="shared" ref="N379:N401" si="105">ROUND(SUM(A379),0)</f>
        <v>0</v>
      </c>
      <c r="P379" s="140" t="str">
        <f t="shared" si="104"/>
        <v>9010/000Trade creditors</v>
      </c>
      <c r="Q379" s="72"/>
      <c r="R379" s="31"/>
      <c r="S379" s="71"/>
      <c r="T379" s="51"/>
      <c r="U379" s="31"/>
    </row>
    <row r="380" spans="1:21" x14ac:dyDescent="0.2">
      <c r="A380" s="238"/>
      <c r="B380" s="54" t="s">
        <v>437</v>
      </c>
      <c r="C380" s="242" t="s">
        <v>579</v>
      </c>
      <c r="D380" s="252"/>
      <c r="E380" s="251"/>
      <c r="F380" s="132">
        <f>TrialBalanceA!I380-TrialBalanceA!K380</f>
        <v>0</v>
      </c>
      <c r="G380" s="132">
        <f>TrialBalanceB!I380-TrialBalanceB!K380</f>
        <v>0</v>
      </c>
      <c r="H380" s="132">
        <f>TrialBalanceC!I380-TrialBalanceC!K380</f>
        <v>0</v>
      </c>
      <c r="I380" s="79">
        <f>N380</f>
        <v>0</v>
      </c>
      <c r="J380" s="198">
        <f>SUMIF(Journals!D$14:D$920,TrialBalance!P380,Journals!J$14:J$920)+SUMIF(Journals!E$14:E$920,TrialBalance!P380,Journals!J$14:J$920)</f>
        <v>0</v>
      </c>
      <c r="K380" s="253"/>
      <c r="L380" s="255">
        <f t="shared" si="103"/>
        <v>0</v>
      </c>
      <c r="M380" s="75"/>
      <c r="N380" s="48">
        <f t="shared" si="105"/>
        <v>0</v>
      </c>
      <c r="P380" s="140" t="str">
        <f t="shared" si="104"/>
        <v>9200/000Sundry suppliers</v>
      </c>
      <c r="Q380" s="70"/>
      <c r="R380" s="31"/>
      <c r="S380" s="71"/>
      <c r="T380" s="51"/>
      <c r="U380" s="31"/>
    </row>
    <row r="381" spans="1:21" x14ac:dyDescent="0.2">
      <c r="A381" s="238"/>
      <c r="B381" s="54" t="s">
        <v>438</v>
      </c>
      <c r="C381" s="242" t="s">
        <v>753</v>
      </c>
      <c r="D381" s="252"/>
      <c r="E381" s="251"/>
      <c r="F381" s="132">
        <f>TrialBalanceA!I381-TrialBalanceA!K381</f>
        <v>0</v>
      </c>
      <c r="G381" s="132">
        <f>TrialBalanceB!I381-TrialBalanceB!K381</f>
        <v>0</v>
      </c>
      <c r="H381" s="132">
        <f>TrialBalanceC!I381-TrialBalanceC!K381</f>
        <v>0</v>
      </c>
      <c r="I381" s="79">
        <f>N381</f>
        <v>0</v>
      </c>
      <c r="J381" s="198">
        <f>SUMIF(Journals!D$14:D$920,TrialBalance!P381,Journals!J$14:J$920)+SUMIF(Journals!E$14:E$920,TrialBalance!P381,Journals!J$14:J$920)</f>
        <v>0</v>
      </c>
      <c r="K381" s="253"/>
      <c r="L381" s="255">
        <f t="shared" si="103"/>
        <v>0</v>
      </c>
      <c r="M381" s="75"/>
      <c r="N381" s="48">
        <f t="shared" si="105"/>
        <v>0</v>
      </c>
      <c r="P381" s="140" t="str">
        <f t="shared" si="104"/>
        <v>9200/010Audit and accounting fee accrual</v>
      </c>
      <c r="Q381" s="70"/>
      <c r="R381" s="31"/>
      <c r="S381" s="71"/>
      <c r="T381" s="51"/>
      <c r="U381" s="31"/>
    </row>
    <row r="382" spans="1:21" x14ac:dyDescent="0.2">
      <c r="A382" s="238"/>
      <c r="B382" s="54" t="s">
        <v>439</v>
      </c>
      <c r="C382" s="242" t="s">
        <v>580</v>
      </c>
      <c r="D382" s="252"/>
      <c r="E382" s="251"/>
      <c r="F382" s="132">
        <f>TrialBalanceA!I382-TrialBalanceA!K382</f>
        <v>0</v>
      </c>
      <c r="G382" s="132">
        <f>TrialBalanceB!I382-TrialBalanceB!K382</f>
        <v>0</v>
      </c>
      <c r="H382" s="132">
        <f>TrialBalanceC!I382-TrialBalanceC!K382</f>
        <v>0</v>
      </c>
      <c r="I382" s="79">
        <f>N382</f>
        <v>0</v>
      </c>
      <c r="J382" s="198">
        <f>SUMIF(Journals!D$14:D$920,TrialBalance!P382,Journals!J$14:J$920)+SUMIF(Journals!E$14:E$920,TrialBalance!P382,Journals!J$14:J$920)</f>
        <v>0</v>
      </c>
      <c r="K382" s="253"/>
      <c r="L382" s="255">
        <f t="shared" si="103"/>
        <v>0</v>
      </c>
      <c r="M382" s="75"/>
      <c r="N382" s="48">
        <f t="shared" si="105"/>
        <v>0</v>
      </c>
      <c r="P382" s="140" t="str">
        <f t="shared" si="104"/>
        <v>9200/020Other accruals</v>
      </c>
      <c r="Q382" s="70"/>
      <c r="R382" s="31"/>
      <c r="S382" s="71"/>
      <c r="T382" s="51"/>
      <c r="U382" s="31"/>
    </row>
    <row r="383" spans="1:21" x14ac:dyDescent="0.2">
      <c r="A383" s="238"/>
      <c r="B383" s="54" t="s">
        <v>440</v>
      </c>
      <c r="C383" s="242" t="s">
        <v>749</v>
      </c>
      <c r="D383" s="252"/>
      <c r="E383" s="251"/>
      <c r="F383" s="132">
        <f>TrialBalanceA!I383-TrialBalanceA!K383</f>
        <v>0</v>
      </c>
      <c r="G383" s="132">
        <f>TrialBalanceB!I383-TrialBalanceB!K383</f>
        <v>0</v>
      </c>
      <c r="H383" s="132">
        <f>TrialBalanceC!I383-TrialBalanceC!K383</f>
        <v>0</v>
      </c>
      <c r="I383" s="79">
        <f>N383</f>
        <v>0</v>
      </c>
      <c r="J383" s="198">
        <f>SUMIF(Journals!D$14:D$920,TrialBalance!P383,Journals!J$14:J$920)+SUMIF(Journals!E$14:E$920,TrialBalance!P383,Journals!J$14:J$920)</f>
        <v>0</v>
      </c>
      <c r="K383" s="253"/>
      <c r="L383" s="255">
        <f t="shared" si="103"/>
        <v>0</v>
      </c>
      <c r="M383" s="75"/>
      <c r="N383" s="48">
        <f t="shared" si="105"/>
        <v>0</v>
      </c>
      <c r="P383" s="140" t="str">
        <f t="shared" si="104"/>
        <v>9250/000Salary and wages control</v>
      </c>
      <c r="Q383" s="72"/>
      <c r="R383" s="31"/>
      <c r="S383" s="71"/>
      <c r="T383" s="51"/>
      <c r="U383" s="31"/>
    </row>
    <row r="384" spans="1:21" x14ac:dyDescent="0.2">
      <c r="A384" s="238"/>
      <c r="B384" s="54" t="s">
        <v>338</v>
      </c>
      <c r="C384" s="239" t="s">
        <v>116</v>
      </c>
      <c r="D384" s="250"/>
      <c r="E384" s="251"/>
      <c r="F384" s="132"/>
      <c r="G384" s="132"/>
      <c r="H384" s="132"/>
      <c r="I384" s="79"/>
      <c r="J384" s="198">
        <f>SUMIF(Journals!D$14:D$920,TrialBalance!P384,Journals!J$14:J$920)+SUMIF(Journals!E$14:E$920,TrialBalance!P384,Journals!J$14:J$920)</f>
        <v>0</v>
      </c>
      <c r="K384" s="253"/>
      <c r="L384" s="255">
        <f t="shared" si="103"/>
        <v>0</v>
      </c>
      <c r="M384" s="75"/>
      <c r="N384" s="48">
        <f t="shared" si="105"/>
        <v>0</v>
      </c>
      <c r="P384" s="140" t="str">
        <f t="shared" si="104"/>
        <v>9300/000TAXATION</v>
      </c>
      <c r="Q384" s="70"/>
      <c r="R384" s="31"/>
      <c r="S384" s="71"/>
      <c r="T384" s="51"/>
      <c r="U384" s="31"/>
    </row>
    <row r="385" spans="1:21" x14ac:dyDescent="0.2">
      <c r="A385" s="238"/>
      <c r="B385" s="54" t="s">
        <v>451</v>
      </c>
      <c r="C385" s="240" t="s">
        <v>83</v>
      </c>
      <c r="D385" s="250"/>
      <c r="E385" s="251"/>
      <c r="F385" s="132"/>
      <c r="G385" s="132"/>
      <c r="H385" s="132"/>
      <c r="I385" s="79">
        <f>SUM(N385:N391)</f>
        <v>0</v>
      </c>
      <c r="J385" s="198">
        <f>SUMIF(Journals!D$14:D$920,TrialBalance!P385,Journals!J$14:J$920)+SUMIF(Journals!E$14:E$920,TrialBalance!P385,Journals!J$14:J$920)</f>
        <v>0</v>
      </c>
      <c r="K385" s="253"/>
      <c r="L385" s="255">
        <f t="shared" si="103"/>
        <v>0</v>
      </c>
      <c r="M385" s="75"/>
      <c r="N385" s="48">
        <f t="shared" si="105"/>
        <v>0</v>
      </c>
      <c r="P385" s="140" t="str">
        <f t="shared" si="104"/>
        <v>9300/010Balance b/fwd</v>
      </c>
      <c r="Q385" s="70"/>
      <c r="R385" s="31"/>
      <c r="S385" s="71"/>
      <c r="T385" s="71"/>
      <c r="U385" s="31"/>
    </row>
    <row r="386" spans="1:21" x14ac:dyDescent="0.2">
      <c r="A386" s="238"/>
      <c r="B386" s="54" t="s">
        <v>452</v>
      </c>
      <c r="C386" s="246" t="s">
        <v>123</v>
      </c>
      <c r="D386" s="251"/>
      <c r="E386" s="251"/>
      <c r="F386" s="132">
        <f>TrialBalanceA!I386</f>
        <v>0</v>
      </c>
      <c r="G386" s="132">
        <f>TrialBalanceB!I386</f>
        <v>0</v>
      </c>
      <c r="H386" s="132">
        <f>TrialBalanceC!I386</f>
        <v>0</v>
      </c>
      <c r="I386" s="79"/>
      <c r="J386" s="198">
        <f>SUMIF(Journals!D$14:D$920,TrialBalance!P386,Journals!J$14:J$920)+SUMIF(Journals!E$14:E$920,TrialBalance!P386,Journals!J$14:J$920)</f>
        <v>0</v>
      </c>
      <c r="K386" s="253"/>
      <c r="L386" s="255">
        <f t="shared" si="103"/>
        <v>0</v>
      </c>
      <c r="M386" s="75"/>
      <c r="N386" s="48">
        <f t="shared" si="105"/>
        <v>0</v>
      </c>
      <c r="P386" s="140" t="str">
        <f t="shared" si="104"/>
        <v>9300/020Tax provision this year</v>
      </c>
      <c r="Q386" s="70"/>
      <c r="R386" s="31"/>
      <c r="S386" s="71"/>
      <c r="T386" s="51"/>
      <c r="U386" s="31"/>
    </row>
    <row r="387" spans="1:21" x14ac:dyDescent="0.2">
      <c r="A387" s="238"/>
      <c r="B387" s="54" t="s">
        <v>453</v>
      </c>
      <c r="C387" s="242" t="s">
        <v>834</v>
      </c>
      <c r="D387" s="250"/>
      <c r="E387" s="251"/>
      <c r="F387" s="132">
        <f>TrialBalanceA!I387</f>
        <v>0</v>
      </c>
      <c r="G387" s="132">
        <f>TrialBalanceB!I387</f>
        <v>0</v>
      </c>
      <c r="H387" s="132">
        <f>TrialBalanceC!I387</f>
        <v>0</v>
      </c>
      <c r="I387" s="79"/>
      <c r="J387" s="198">
        <f>SUMIF(Journals!D$14:D$920,TrialBalance!P387,Journals!J$14:J$920)+SUMIF(Journals!E$14:E$920,TrialBalance!P387,Journals!J$14:J$920)</f>
        <v>0</v>
      </c>
      <c r="K387" s="253"/>
      <c r="L387" s="255">
        <f t="shared" si="103"/>
        <v>0</v>
      </c>
      <c r="M387" s="75"/>
      <c r="N387" s="48">
        <f t="shared" si="105"/>
        <v>0</v>
      </c>
      <c r="P387" s="140" t="str">
        <f t="shared" si="104"/>
        <v>9300/030Over-/(Under) provision previous year</v>
      </c>
      <c r="Q387" s="70"/>
      <c r="R387" s="31"/>
      <c r="S387" s="71"/>
      <c r="T387" s="51"/>
      <c r="U387" s="31"/>
    </row>
    <row r="388" spans="1:21" x14ac:dyDescent="0.2">
      <c r="A388" s="238"/>
      <c r="B388" s="54" t="s">
        <v>454</v>
      </c>
      <c r="C388" s="242" t="s">
        <v>835</v>
      </c>
      <c r="D388" s="250"/>
      <c r="E388" s="251"/>
      <c r="F388" s="132">
        <f>TrialBalanceA!I388</f>
        <v>0</v>
      </c>
      <c r="G388" s="132">
        <f>TrialBalanceB!I388</f>
        <v>0</v>
      </c>
      <c r="H388" s="132">
        <f>TrialBalanceC!I388</f>
        <v>0</v>
      </c>
      <c r="I388" s="79"/>
      <c r="J388" s="198">
        <f>SUMIF(Journals!D$14:D$920,TrialBalance!P388,Journals!J$14:J$920)+SUMIF(Journals!E$14:E$920,TrialBalance!P388,Journals!J$14:J$920)</f>
        <v>0</v>
      </c>
      <c r="K388" s="253"/>
      <c r="L388" s="255">
        <f t="shared" si="103"/>
        <v>0</v>
      </c>
      <c r="M388" s="75"/>
      <c r="N388" s="48">
        <f t="shared" si="105"/>
        <v>0</v>
      </c>
      <c r="P388" s="140" t="str">
        <f t="shared" si="104"/>
        <v>9300/040Tax paid/(refund) for previous year provisions</v>
      </c>
      <c r="Q388" s="70"/>
      <c r="R388" s="31"/>
      <c r="S388" s="71"/>
      <c r="T388" s="51"/>
      <c r="U388" s="31"/>
    </row>
    <row r="389" spans="1:21" x14ac:dyDescent="0.2">
      <c r="A389" s="238"/>
      <c r="B389" s="54" t="s">
        <v>455</v>
      </c>
      <c r="C389" s="242" t="s">
        <v>804</v>
      </c>
      <c r="D389" s="250"/>
      <c r="E389" s="251"/>
      <c r="F389" s="132">
        <f>TrialBalanceA!I389</f>
        <v>0</v>
      </c>
      <c r="G389" s="132">
        <f>TrialBalanceB!I389</f>
        <v>0</v>
      </c>
      <c r="H389" s="132">
        <f>TrialBalanceC!I389</f>
        <v>0</v>
      </c>
      <c r="I389" s="79"/>
      <c r="J389" s="198">
        <f>SUMIF(Journals!D$14:D$920,TrialBalance!P389,Journals!J$14:J$920)+SUMIF(Journals!E$14:E$920,TrialBalance!P389,Journals!J$14:J$920)</f>
        <v>0</v>
      </c>
      <c r="K389" s="253"/>
      <c r="L389" s="255">
        <f t="shared" si="103"/>
        <v>0</v>
      </c>
      <c r="M389" s="75"/>
      <c r="N389" s="48">
        <f t="shared" si="105"/>
        <v>0</v>
      </c>
      <c r="P389" s="140" t="str">
        <f t="shared" si="104"/>
        <v>9300/0501st Provisional paid</v>
      </c>
      <c r="Q389" s="70"/>
      <c r="R389" s="31"/>
      <c r="S389" s="71"/>
      <c r="T389" s="51"/>
      <c r="U389" s="31"/>
    </row>
    <row r="390" spans="1:21" x14ac:dyDescent="0.2">
      <c r="A390" s="238"/>
      <c r="B390" s="54" t="s">
        <v>456</v>
      </c>
      <c r="C390" s="242" t="s">
        <v>805</v>
      </c>
      <c r="D390" s="250"/>
      <c r="E390" s="251"/>
      <c r="F390" s="132">
        <f>TrialBalanceA!I390</f>
        <v>0</v>
      </c>
      <c r="G390" s="132">
        <f>TrialBalanceB!I390</f>
        <v>0</v>
      </c>
      <c r="H390" s="132">
        <f>TrialBalanceC!I390</f>
        <v>0</v>
      </c>
      <c r="I390" s="79"/>
      <c r="J390" s="198">
        <f>SUMIF(Journals!D$14:D$920,TrialBalance!P390,Journals!J$14:J$920)+SUMIF(Journals!E$14:E$920,TrialBalance!P390,Journals!J$14:J$920)</f>
        <v>0</v>
      </c>
      <c r="K390" s="253"/>
      <c r="L390" s="255">
        <f t="shared" si="103"/>
        <v>0</v>
      </c>
      <c r="M390" s="75"/>
      <c r="N390" s="48">
        <f t="shared" si="105"/>
        <v>0</v>
      </c>
      <c r="P390" s="140" t="str">
        <f t="shared" si="104"/>
        <v>9300/0602nd Provisional paid</v>
      </c>
      <c r="Q390" s="70"/>
      <c r="R390" s="31"/>
      <c r="S390" s="71"/>
      <c r="T390" s="51"/>
      <c r="U390" s="31"/>
    </row>
    <row r="391" spans="1:21" x14ac:dyDescent="0.2">
      <c r="A391" s="238"/>
      <c r="B391" s="54" t="s">
        <v>457</v>
      </c>
      <c r="C391" s="240" t="s">
        <v>124</v>
      </c>
      <c r="D391" s="250"/>
      <c r="E391" s="251"/>
      <c r="F391" s="132">
        <f>TrialBalanceA!I391</f>
        <v>0</v>
      </c>
      <c r="G391" s="132">
        <f>TrialBalanceB!I391</f>
        <v>0</v>
      </c>
      <c r="H391" s="132">
        <f>TrialBalanceC!I391</f>
        <v>0</v>
      </c>
      <c r="I391" s="79"/>
      <c r="J391" s="198">
        <f>SUMIF(Journals!D$14:D$920,TrialBalance!P391,Journals!J$14:J$920)+SUMIF(Journals!E$14:E$920,TrialBalance!P391,Journals!J$14:J$920)</f>
        <v>0</v>
      </c>
      <c r="K391" s="253"/>
      <c r="L391" s="255">
        <f t="shared" si="103"/>
        <v>0</v>
      </c>
      <c r="M391" s="75"/>
      <c r="N391" s="48">
        <f t="shared" si="105"/>
        <v>0</v>
      </c>
      <c r="P391" s="140" t="str">
        <f t="shared" si="104"/>
        <v>9300/0703rd Provisional paid</v>
      </c>
      <c r="Q391" s="70"/>
      <c r="R391" s="31"/>
      <c r="S391" s="71"/>
      <c r="T391" s="51"/>
      <c r="U391" s="31"/>
    </row>
    <row r="392" spans="1:21" x14ac:dyDescent="0.2">
      <c r="A392" s="238"/>
      <c r="B392" s="54" t="s">
        <v>458</v>
      </c>
      <c r="C392" s="242" t="s">
        <v>836</v>
      </c>
      <c r="D392" s="250"/>
      <c r="E392" s="251"/>
      <c r="F392" s="132"/>
      <c r="G392" s="132"/>
      <c r="H392" s="132"/>
      <c r="I392" s="79">
        <f>N392</f>
        <v>0</v>
      </c>
      <c r="J392" s="198">
        <f>SUMIF(Journals!D$14:D$920,TrialBalance!P392,Journals!J$14:J$920)+SUMIF(Journals!E$14:E$920,TrialBalance!P392,Journals!J$14:J$920)</f>
        <v>0</v>
      </c>
      <c r="K392" s="253"/>
      <c r="L392" s="255">
        <f t="shared" si="103"/>
        <v>0</v>
      </c>
      <c r="M392" s="75"/>
      <c r="N392" s="48">
        <f t="shared" si="105"/>
        <v>0</v>
      </c>
      <c r="P392" s="140" t="str">
        <f t="shared" si="104"/>
        <v>9300/090Dividends' tax provision</v>
      </c>
      <c r="Q392" s="70"/>
      <c r="R392" s="31"/>
      <c r="S392" s="71"/>
      <c r="T392" s="51"/>
      <c r="U392" s="31"/>
    </row>
    <row r="393" spans="1:21" x14ac:dyDescent="0.2">
      <c r="A393" s="238"/>
      <c r="B393" s="54" t="s">
        <v>339</v>
      </c>
      <c r="C393" s="242" t="s">
        <v>566</v>
      </c>
      <c r="D393" s="250"/>
      <c r="E393" s="251"/>
      <c r="F393" s="132"/>
      <c r="G393" s="132"/>
      <c r="H393" s="132"/>
      <c r="I393" s="79">
        <f>N393</f>
        <v>0</v>
      </c>
      <c r="J393" s="198">
        <f>SUMIF(Journals!D$14:D$920,TrialBalance!P393,Journals!J$14:J$920)+SUMIF(Journals!E$14:E$920,TrialBalance!P393,Journals!J$14:J$920)</f>
        <v>0</v>
      </c>
      <c r="K393" s="253"/>
      <c r="L393" s="255">
        <f t="shared" si="103"/>
        <v>0</v>
      </c>
      <c r="M393" s="75"/>
      <c r="N393" s="48">
        <f t="shared" si="105"/>
        <v>0</v>
      </c>
      <c r="P393" s="140" t="str">
        <f t="shared" si="104"/>
        <v>9350/000Dividends payable</v>
      </c>
      <c r="Q393" s="70"/>
      <c r="R393" s="31"/>
      <c r="S393" s="71"/>
      <c r="T393" s="51"/>
      <c r="U393" s="31"/>
    </row>
    <row r="394" spans="1:21" x14ac:dyDescent="0.2">
      <c r="A394" s="238"/>
      <c r="B394" s="54" t="s">
        <v>340</v>
      </c>
      <c r="C394" s="242" t="s">
        <v>567</v>
      </c>
      <c r="D394" s="250"/>
      <c r="E394" s="251"/>
      <c r="F394" s="132">
        <f>TrialBalanceA!I394-TrialBalanceA!K394</f>
        <v>0</v>
      </c>
      <c r="G394" s="132">
        <f>TrialBalanceB!I394-TrialBalanceB!K394</f>
        <v>0</v>
      </c>
      <c r="H394" s="132">
        <f>TrialBalanceC!I394-TrialBalanceC!K394</f>
        <v>0</v>
      </c>
      <c r="I394" s="79">
        <f>N394</f>
        <v>0</v>
      </c>
      <c r="J394" s="198">
        <f>SUMIF(Journals!D$14:D$920,TrialBalance!P394,Journals!J$14:J$920)+SUMIF(Journals!E$14:E$920,TrialBalance!P394,Journals!J$14:J$920)</f>
        <v>0</v>
      </c>
      <c r="K394" s="253"/>
      <c r="L394" s="255">
        <f t="shared" si="103"/>
        <v>0</v>
      </c>
      <c r="M394" s="75"/>
      <c r="N394" s="48">
        <f t="shared" si="105"/>
        <v>0</v>
      </c>
      <c r="P394" s="140" t="str">
        <f t="shared" si="104"/>
        <v>9400/000Provision for future expenses</v>
      </c>
      <c r="Q394" s="70"/>
      <c r="R394" s="31"/>
      <c r="S394" s="71"/>
      <c r="T394" s="51"/>
      <c r="U394" s="31"/>
    </row>
    <row r="395" spans="1:21" x14ac:dyDescent="0.2">
      <c r="A395" s="238"/>
      <c r="B395" s="54" t="s">
        <v>341</v>
      </c>
      <c r="C395" s="242" t="s">
        <v>568</v>
      </c>
      <c r="D395" s="250"/>
      <c r="E395" s="251"/>
      <c r="F395" s="132">
        <f>TrialBalanceA!I395-TrialBalanceA!K395</f>
        <v>0</v>
      </c>
      <c r="G395" s="132">
        <f>TrialBalanceB!I395-TrialBalanceB!K395</f>
        <v>0</v>
      </c>
      <c r="H395" s="132">
        <f>TrialBalanceC!I395-TrialBalanceC!K395</f>
        <v>0</v>
      </c>
      <c r="I395" s="79">
        <f>N395</f>
        <v>0</v>
      </c>
      <c r="J395" s="198">
        <f>SUMIF(Journals!D$14:D$920,TrialBalance!P395,Journals!J$14:J$920)+SUMIF(Journals!E$14:E$920,TrialBalance!P395,Journals!J$14:J$920)</f>
        <v>0</v>
      </c>
      <c r="K395" s="253"/>
      <c r="L395" s="255">
        <f t="shared" si="103"/>
        <v>0</v>
      </c>
      <c r="M395" s="75"/>
      <c r="N395" s="48">
        <f t="shared" si="105"/>
        <v>0</v>
      </c>
      <c r="P395" s="140" t="str">
        <f t="shared" si="104"/>
        <v>9400/010Provision for insurance</v>
      </c>
      <c r="Q395" s="70"/>
      <c r="R395" s="31"/>
      <c r="S395" s="71"/>
      <c r="T395" s="51"/>
      <c r="U395" s="31"/>
    </row>
    <row r="396" spans="1:21" x14ac:dyDescent="0.2">
      <c r="A396" s="238"/>
      <c r="B396" s="54" t="s">
        <v>342</v>
      </c>
      <c r="C396" s="242" t="s">
        <v>569</v>
      </c>
      <c r="D396" s="250"/>
      <c r="E396" s="251"/>
      <c r="F396" s="132">
        <f>TrialBalanceA!I396-TrialBalanceA!K396</f>
        <v>0</v>
      </c>
      <c r="G396" s="132">
        <f>TrialBalanceB!I396-TrialBalanceB!K396</f>
        <v>0</v>
      </c>
      <c r="H396" s="132">
        <f>TrialBalanceC!I396-TrialBalanceC!K396</f>
        <v>0</v>
      </c>
      <c r="I396" s="79">
        <f>N396</f>
        <v>0</v>
      </c>
      <c r="J396" s="198">
        <f>SUMIF(Journals!D$14:D$920,TrialBalance!P396,Journals!J$14:J$920)+SUMIF(Journals!E$14:E$920,TrialBalance!P396,Journals!J$14:J$920)</f>
        <v>0</v>
      </c>
      <c r="K396" s="253"/>
      <c r="L396" s="255">
        <f t="shared" si="103"/>
        <v>0</v>
      </c>
      <c r="M396" s="75"/>
      <c r="N396" s="48">
        <f t="shared" si="105"/>
        <v>0</v>
      </c>
      <c r="P396" s="140" t="str">
        <f t="shared" si="104"/>
        <v>9400/020Provision for salary bonus</v>
      </c>
      <c r="Q396" s="70"/>
      <c r="R396" s="31"/>
      <c r="S396" s="71"/>
      <c r="T396" s="51"/>
      <c r="U396" s="31"/>
    </row>
    <row r="397" spans="1:21" x14ac:dyDescent="0.2">
      <c r="A397" s="238"/>
      <c r="B397" s="54" t="s">
        <v>343</v>
      </c>
      <c r="C397" s="239" t="s">
        <v>344</v>
      </c>
      <c r="D397" s="250"/>
      <c r="E397" s="251"/>
      <c r="F397" s="132"/>
      <c r="G397" s="132"/>
      <c r="H397" s="132"/>
      <c r="I397" s="79"/>
      <c r="J397" s="198">
        <f>SUMIF(Journals!D$14:D$920,TrialBalance!P397,Journals!J$14:J$920)+SUMIF(Journals!E$14:E$920,TrialBalance!P397,Journals!J$14:J$920)</f>
        <v>0</v>
      </c>
      <c r="K397" s="253"/>
      <c r="L397" s="255">
        <f t="shared" si="103"/>
        <v>0</v>
      </c>
      <c r="M397" s="75"/>
      <c r="N397" s="48">
        <f t="shared" si="105"/>
        <v>0</v>
      </c>
      <c r="P397" s="140" t="str">
        <f t="shared" si="104"/>
        <v>9500/000VALUE ADDED TAX</v>
      </c>
      <c r="Q397" s="70"/>
      <c r="R397" s="31"/>
      <c r="S397" s="71"/>
      <c r="T397" s="51"/>
      <c r="U397" s="31"/>
    </row>
    <row r="398" spans="1:21" x14ac:dyDescent="0.2">
      <c r="A398" s="238"/>
      <c r="B398" s="54" t="s">
        <v>345</v>
      </c>
      <c r="C398" s="240" t="s">
        <v>346</v>
      </c>
      <c r="D398" s="251"/>
      <c r="E398" s="250"/>
      <c r="F398" s="132">
        <f>TrialBalanceA!I398-TrialBalanceA!K398</f>
        <v>0</v>
      </c>
      <c r="G398" s="132">
        <f>TrialBalanceB!I398-TrialBalanceB!K398</f>
        <v>0</v>
      </c>
      <c r="H398" s="132">
        <f>TrialBalanceC!I398-TrialBalanceC!K398</f>
        <v>0</v>
      </c>
      <c r="I398" s="79">
        <f>N398</f>
        <v>0</v>
      </c>
      <c r="J398" s="198">
        <f>SUMIF(Journals!D$14:D$920,TrialBalance!P398,Journals!J$14:J$920)+SUMIF(Journals!E$14:E$920,TrialBalance!P398,Journals!J$14:J$920)</f>
        <v>0</v>
      </c>
      <c r="K398" s="254" t="s">
        <v>588</v>
      </c>
      <c r="L398" s="255">
        <f t="shared" si="103"/>
        <v>0</v>
      </c>
      <c r="M398" s="75"/>
      <c r="N398" s="48">
        <f t="shared" si="105"/>
        <v>0</v>
      </c>
      <c r="P398" s="140" t="str">
        <f t="shared" si="104"/>
        <v>9501/000VAT account</v>
      </c>
      <c r="Q398" s="72"/>
      <c r="R398" s="31"/>
      <c r="S398" s="71"/>
      <c r="T398" s="51"/>
      <c r="U398" s="31"/>
    </row>
    <row r="399" spans="1:21" x14ac:dyDescent="0.2">
      <c r="A399" s="238"/>
      <c r="B399" s="54" t="s">
        <v>347</v>
      </c>
      <c r="C399" s="242" t="s">
        <v>619</v>
      </c>
      <c r="D399" s="250"/>
      <c r="E399" s="251"/>
      <c r="F399" s="132"/>
      <c r="G399" s="132"/>
      <c r="H399" s="132"/>
      <c r="I399" s="79"/>
      <c r="J399" s="198">
        <f>SUMIF(Journals!D$14:D$920,TrialBalance!P399,Journals!J$14:J$920)+SUMIF(Journals!E$14:E$920,TrialBalance!P399,Journals!J$14:J$920)</f>
        <v>0</v>
      </c>
      <c r="K399" s="253"/>
      <c r="L399" s="255">
        <f t="shared" si="103"/>
        <v>0</v>
      </c>
      <c r="M399" s="75"/>
      <c r="N399" s="48">
        <f t="shared" si="105"/>
        <v>0</v>
      </c>
      <c r="P399" s="140" t="str">
        <f t="shared" si="104"/>
        <v>9510/000--------------------------------------------------</v>
      </c>
      <c r="Q399" s="70"/>
      <c r="R399" s="31"/>
      <c r="S399" s="71"/>
      <c r="T399" s="51"/>
      <c r="U399" s="31"/>
    </row>
    <row r="400" spans="1:21" x14ac:dyDescent="0.2">
      <c r="A400" s="238"/>
      <c r="B400" s="54" t="s">
        <v>348</v>
      </c>
      <c r="C400" s="239" t="s">
        <v>806</v>
      </c>
      <c r="D400" s="250"/>
      <c r="E400" s="250"/>
      <c r="F400" s="132">
        <f>TrialBalanceA!I400-TrialBalanceA!K400</f>
        <v>0</v>
      </c>
      <c r="G400" s="132">
        <f>TrialBalanceB!I400-TrialBalanceB!K400</f>
        <v>0</v>
      </c>
      <c r="H400" s="132">
        <f>TrialBalanceC!I400-TrialBalanceC!K400</f>
        <v>0</v>
      </c>
      <c r="I400" s="79"/>
      <c r="J400" s="198">
        <f>SUMIF(Journals!D$14:D$920,TrialBalance!P400,Journals!J$14:J$920)+SUMIF(Journals!E$14:E$920,TrialBalance!P400,Journals!J$14:J$920)</f>
        <v>0</v>
      </c>
      <c r="K400" s="253"/>
      <c r="L400" s="255">
        <f t="shared" si="103"/>
        <v>0</v>
      </c>
      <c r="M400" s="75"/>
      <c r="N400" s="48">
        <f t="shared" si="105"/>
        <v>0</v>
      </c>
      <c r="P400" s="140" t="str">
        <f t="shared" si="104"/>
        <v>9990/000Suspense account</v>
      </c>
      <c r="Q400" s="72"/>
      <c r="R400" s="31"/>
      <c r="S400" s="71"/>
      <c r="T400" s="51"/>
      <c r="U400" s="31"/>
    </row>
    <row r="401" spans="1:21" x14ac:dyDescent="0.2">
      <c r="A401" s="238"/>
      <c r="B401" s="54" t="s">
        <v>228</v>
      </c>
      <c r="C401" s="239" t="s">
        <v>228</v>
      </c>
      <c r="D401" s="154"/>
      <c r="E401" s="83"/>
      <c r="F401" s="134"/>
      <c r="G401" s="134"/>
      <c r="H401" s="134"/>
      <c r="I401" s="81"/>
      <c r="J401" s="47"/>
      <c r="K401" s="253"/>
      <c r="L401" s="255"/>
      <c r="M401" s="75"/>
      <c r="N401" s="48">
        <f t="shared" si="105"/>
        <v>0</v>
      </c>
      <c r="P401" s="140">
        <v>0</v>
      </c>
      <c r="Q401" s="70"/>
      <c r="S401" s="46"/>
      <c r="T401" s="46"/>
      <c r="U401" s="31"/>
    </row>
    <row r="402" spans="1:21" x14ac:dyDescent="0.2">
      <c r="A402" s="238"/>
      <c r="B402" s="54" t="s">
        <v>228</v>
      </c>
      <c r="C402" s="55" t="s">
        <v>228</v>
      </c>
      <c r="D402" s="154"/>
      <c r="F402" s="135"/>
      <c r="G402" s="135"/>
      <c r="H402" s="135"/>
      <c r="I402" s="82"/>
      <c r="J402" s="47"/>
      <c r="K402" s="253"/>
      <c r="L402" s="255"/>
      <c r="M402" s="75"/>
      <c r="N402" s="48"/>
      <c r="P402" s="140">
        <v>0</v>
      </c>
      <c r="Q402" s="70"/>
      <c r="S402" s="73"/>
      <c r="T402" s="73"/>
      <c r="U402" s="31"/>
    </row>
    <row r="403" spans="1:21" ht="13.5" thickBot="1" x14ac:dyDescent="0.25">
      <c r="A403" s="41">
        <f>SUM(A5:A401)</f>
        <v>0</v>
      </c>
      <c r="B403" s="54" t="s">
        <v>228</v>
      </c>
      <c r="C403" s="55" t="s">
        <v>228</v>
      </c>
      <c r="D403" s="122">
        <f>SUM(D5:D402)</f>
        <v>0</v>
      </c>
      <c r="E403" s="122">
        <f>SUM(E5:E402)</f>
        <v>0</v>
      </c>
      <c r="F403" s="41">
        <f>SUM(F5:F402)</f>
        <v>0</v>
      </c>
      <c r="G403" s="41">
        <f>SUM(G5:G402)</f>
        <v>0</v>
      </c>
      <c r="H403" s="41">
        <f>SUM(H5:H402)</f>
        <v>0</v>
      </c>
      <c r="I403" s="41">
        <f>SUM(I5:I401)</f>
        <v>0</v>
      </c>
      <c r="J403" s="41">
        <f>ROUND(SUM(J5:J402),2)</f>
        <v>0</v>
      </c>
      <c r="K403" s="123"/>
      <c r="L403" s="122">
        <f>SUM(L5:L402)</f>
        <v>0</v>
      </c>
      <c r="M403" s="122"/>
      <c r="N403" s="41">
        <f>SUM(N5:N402)</f>
        <v>0</v>
      </c>
      <c r="P403" s="140">
        <v>0</v>
      </c>
      <c r="Q403" s="74"/>
      <c r="R403" s="74"/>
      <c r="S403" s="74"/>
      <c r="T403" s="74"/>
      <c r="U403" s="74"/>
    </row>
    <row r="404" spans="1:21" ht="13.5" thickTop="1" x14ac:dyDescent="0.2">
      <c r="A404" s="38"/>
      <c r="B404" s="42"/>
      <c r="C404" s="45"/>
      <c r="D404" s="154"/>
      <c r="F404" s="39"/>
      <c r="G404" s="39"/>
      <c r="H404" s="39"/>
      <c r="I404" s="39"/>
      <c r="J404" s="39"/>
      <c r="K404" s="39"/>
      <c r="L404" s="153"/>
      <c r="M404" s="59"/>
      <c r="N404" s="38"/>
      <c r="S404" s="39"/>
      <c r="T404" s="39"/>
    </row>
    <row r="405" spans="1:21" x14ac:dyDescent="0.2">
      <c r="A405" s="38"/>
      <c r="B405" s="42"/>
      <c r="C405" s="45"/>
      <c r="D405" s="154"/>
      <c r="F405" s="39"/>
      <c r="G405" s="39"/>
      <c r="H405" s="39"/>
      <c r="I405" s="39"/>
      <c r="J405" s="39"/>
      <c r="K405" s="39"/>
      <c r="N405" s="38"/>
      <c r="Q405" s="38"/>
      <c r="R405" s="38"/>
      <c r="S405" s="39"/>
      <c r="T405" s="39"/>
    </row>
    <row r="406" spans="1:21" x14ac:dyDescent="0.2">
      <c r="A406" s="38"/>
      <c r="B406" s="42"/>
      <c r="C406" s="45"/>
      <c r="D406" s="154"/>
      <c r="F406" s="39"/>
      <c r="G406" s="39"/>
      <c r="H406" s="39"/>
      <c r="I406" s="39"/>
      <c r="J406" s="39"/>
      <c r="K406" s="39"/>
      <c r="N406" s="38"/>
      <c r="Q406" s="38"/>
      <c r="S406" s="39"/>
      <c r="T406" s="39"/>
    </row>
    <row r="407" spans="1:21" x14ac:dyDescent="0.2">
      <c r="A407" s="38"/>
      <c r="B407" s="42"/>
      <c r="C407" s="45"/>
      <c r="D407" s="154"/>
      <c r="F407" s="39"/>
      <c r="G407" s="39"/>
      <c r="H407" s="39"/>
      <c r="I407" s="39"/>
      <c r="J407" s="39"/>
      <c r="K407" s="39"/>
      <c r="N407" s="38"/>
      <c r="S407" s="39"/>
      <c r="T407" s="39"/>
    </row>
    <row r="408" spans="1:21" x14ac:dyDescent="0.2">
      <c r="A408" s="38"/>
      <c r="B408" s="42"/>
      <c r="C408" s="45"/>
      <c r="D408" s="154"/>
      <c r="F408" s="39"/>
      <c r="G408" s="39"/>
      <c r="H408" s="39"/>
      <c r="I408" s="39"/>
      <c r="J408" s="39"/>
      <c r="K408" s="39"/>
      <c r="N408" s="38"/>
      <c r="S408" s="39"/>
      <c r="T408" s="39"/>
    </row>
    <row r="409" spans="1:21" x14ac:dyDescent="0.2">
      <c r="A409" s="38"/>
      <c r="B409" s="42"/>
      <c r="C409" s="45"/>
      <c r="D409" s="154"/>
      <c r="F409" s="39"/>
      <c r="G409" s="39"/>
      <c r="H409" s="39"/>
      <c r="I409" s="39"/>
      <c r="J409" s="39"/>
      <c r="K409" s="39"/>
      <c r="N409" s="42"/>
      <c r="S409" s="39"/>
      <c r="T409" s="39"/>
    </row>
    <row r="410" spans="1:21" x14ac:dyDescent="0.2">
      <c r="A410" s="38"/>
      <c r="B410" s="42"/>
      <c r="C410" s="45"/>
      <c r="D410" s="154"/>
      <c r="F410" s="39"/>
      <c r="G410" s="39"/>
      <c r="H410" s="39"/>
      <c r="I410" s="39"/>
      <c r="J410" s="39"/>
      <c r="K410" s="39"/>
      <c r="N410" s="42"/>
      <c r="S410" s="39"/>
      <c r="T410" s="39"/>
    </row>
    <row r="411" spans="1:21" x14ac:dyDescent="0.2">
      <c r="A411" s="38"/>
      <c r="B411" s="42"/>
      <c r="C411" s="45"/>
      <c r="D411" s="154"/>
      <c r="F411" s="39"/>
      <c r="G411" s="39"/>
      <c r="H411" s="39"/>
      <c r="I411" s="39"/>
      <c r="J411" s="39"/>
      <c r="K411" s="39"/>
      <c r="N411" s="42"/>
      <c r="S411" s="39"/>
      <c r="T411" s="39"/>
    </row>
    <row r="412" spans="1:21" x14ac:dyDescent="0.2">
      <c r="A412" s="38"/>
      <c r="B412" s="42"/>
      <c r="C412" s="45"/>
      <c r="F412" s="39"/>
      <c r="G412" s="39"/>
      <c r="H412" s="39"/>
      <c r="I412" s="39"/>
      <c r="J412" s="39"/>
      <c r="K412" s="39"/>
      <c r="N412" s="42"/>
      <c r="S412" s="39"/>
      <c r="T412" s="39"/>
    </row>
    <row r="413" spans="1:21" x14ac:dyDescent="0.2">
      <c r="A413" s="38"/>
      <c r="B413" s="42"/>
      <c r="C413" s="45"/>
      <c r="F413" s="39"/>
      <c r="G413" s="39"/>
      <c r="H413" s="39"/>
      <c r="I413" s="39"/>
      <c r="J413" s="39"/>
      <c r="K413" s="39"/>
      <c r="N413" s="42"/>
      <c r="S413" s="39"/>
      <c r="T413" s="39"/>
    </row>
    <row r="414" spans="1:21" x14ac:dyDescent="0.2">
      <c r="A414" s="38"/>
      <c r="B414" s="42"/>
      <c r="C414" s="45"/>
      <c r="F414" s="39"/>
      <c r="G414" s="39"/>
      <c r="H414" s="39"/>
      <c r="I414" s="39"/>
      <c r="J414" s="39"/>
      <c r="K414" s="39"/>
      <c r="N414" s="42"/>
      <c r="S414" s="39"/>
      <c r="T414" s="39"/>
    </row>
    <row r="415" spans="1:21" x14ac:dyDescent="0.2">
      <c r="A415" s="38"/>
      <c r="B415" s="42"/>
      <c r="C415" s="45"/>
      <c r="F415" s="39"/>
      <c r="G415" s="39"/>
      <c r="H415" s="39"/>
      <c r="I415" s="39"/>
      <c r="J415" s="39"/>
      <c r="K415" s="39"/>
      <c r="N415" s="42"/>
      <c r="S415" s="39"/>
      <c r="T415" s="39"/>
    </row>
    <row r="416" spans="1:21" x14ac:dyDescent="0.2">
      <c r="A416" s="38"/>
      <c r="B416" s="42"/>
      <c r="C416" s="45"/>
      <c r="F416" s="39"/>
      <c r="G416" s="39"/>
      <c r="H416" s="39"/>
      <c r="I416" s="39"/>
      <c r="J416" s="39"/>
      <c r="K416" s="39"/>
      <c r="N416" s="42"/>
      <c r="S416" s="39"/>
      <c r="T416" s="39"/>
    </row>
    <row r="417" spans="1:20" x14ac:dyDescent="0.2">
      <c r="A417" s="38"/>
      <c r="B417" s="42"/>
      <c r="C417" s="45"/>
      <c r="F417" s="39"/>
      <c r="G417" s="39"/>
      <c r="H417" s="39"/>
      <c r="I417" s="39"/>
      <c r="J417" s="39"/>
      <c r="K417" s="39"/>
      <c r="N417" s="42"/>
      <c r="S417" s="39"/>
      <c r="T417" s="39"/>
    </row>
    <row r="418" spans="1:20" x14ac:dyDescent="0.2">
      <c r="A418" s="38"/>
      <c r="B418" s="42"/>
      <c r="C418" s="45"/>
      <c r="F418" s="39"/>
      <c r="G418" s="39"/>
      <c r="H418" s="39"/>
      <c r="I418" s="39"/>
      <c r="J418" s="39"/>
      <c r="K418" s="39"/>
      <c r="N418" s="42"/>
      <c r="S418" s="39" t="s">
        <v>95</v>
      </c>
      <c r="T418" s="39" t="s">
        <v>95</v>
      </c>
    </row>
    <row r="419" spans="1:20" x14ac:dyDescent="0.2">
      <c r="A419" s="38"/>
      <c r="B419" s="42"/>
      <c r="C419" s="45"/>
      <c r="F419" s="39"/>
      <c r="G419" s="39"/>
      <c r="H419" s="39"/>
      <c r="I419" s="39"/>
      <c r="J419" s="39"/>
      <c r="K419" s="39"/>
      <c r="N419" s="42"/>
      <c r="S419" s="39" t="s">
        <v>95</v>
      </c>
      <c r="T419" s="39" t="s">
        <v>95</v>
      </c>
    </row>
    <row r="420" spans="1:20" x14ac:dyDescent="0.2">
      <c r="A420" s="38"/>
      <c r="B420" s="42"/>
      <c r="C420" s="45"/>
      <c r="F420" s="39"/>
      <c r="G420" s="39"/>
      <c r="H420" s="39"/>
      <c r="I420" s="39"/>
      <c r="J420" s="39"/>
      <c r="K420" s="39"/>
      <c r="N420" s="42"/>
      <c r="S420" s="39" t="s">
        <v>95</v>
      </c>
      <c r="T420" s="39" t="s">
        <v>95</v>
      </c>
    </row>
    <row r="421" spans="1:20" x14ac:dyDescent="0.2">
      <c r="A421" s="38"/>
      <c r="B421" s="42"/>
      <c r="C421" s="45"/>
      <c r="F421" s="39"/>
      <c r="G421" s="39"/>
      <c r="H421" s="39"/>
      <c r="I421" s="39"/>
      <c r="J421" s="39"/>
      <c r="K421" s="39"/>
      <c r="N421" s="42"/>
      <c r="S421" s="39" t="s">
        <v>95</v>
      </c>
      <c r="T421" s="39" t="s">
        <v>95</v>
      </c>
    </row>
    <row r="422" spans="1:20" x14ac:dyDescent="0.2">
      <c r="A422" s="38"/>
      <c r="B422" s="42"/>
      <c r="C422" s="45"/>
      <c r="F422" s="39"/>
      <c r="G422" s="39"/>
      <c r="H422" s="39"/>
      <c r="I422" s="39"/>
      <c r="J422" s="39"/>
      <c r="K422" s="39"/>
      <c r="N422" s="42"/>
      <c r="S422" s="39" t="s">
        <v>95</v>
      </c>
      <c r="T422" s="39" t="s">
        <v>95</v>
      </c>
    </row>
    <row r="423" spans="1:20" x14ac:dyDescent="0.2">
      <c r="A423" s="38"/>
      <c r="B423" s="42"/>
      <c r="C423" s="45"/>
      <c r="F423" s="39"/>
      <c r="G423" s="39"/>
      <c r="H423" s="39"/>
      <c r="I423" s="39"/>
      <c r="J423" s="39"/>
      <c r="K423" s="39"/>
      <c r="N423" s="42"/>
      <c r="S423" s="39"/>
      <c r="T423" s="39"/>
    </row>
    <row r="424" spans="1:20" x14ac:dyDescent="0.2">
      <c r="A424" s="38"/>
      <c r="B424" s="42"/>
      <c r="C424" s="45"/>
      <c r="F424" s="39"/>
      <c r="G424" s="39"/>
      <c r="H424" s="39"/>
      <c r="I424" s="39"/>
      <c r="J424" s="39"/>
      <c r="K424" s="39"/>
      <c r="N424" s="42"/>
      <c r="S424" s="39"/>
      <c r="T424" s="39"/>
    </row>
    <row r="425" spans="1:20" x14ac:dyDescent="0.2">
      <c r="A425" s="38"/>
      <c r="B425" s="42"/>
      <c r="C425" s="45"/>
      <c r="F425" s="39"/>
      <c r="G425" s="39"/>
      <c r="H425" s="39"/>
      <c r="I425" s="39"/>
      <c r="J425" s="39"/>
      <c r="K425" s="39"/>
      <c r="N425" s="42"/>
      <c r="S425" s="39"/>
      <c r="T425" s="39"/>
    </row>
    <row r="426" spans="1:20" x14ac:dyDescent="0.2">
      <c r="A426" s="38"/>
      <c r="B426" s="42"/>
      <c r="C426" s="45"/>
      <c r="F426" s="39"/>
      <c r="G426" s="39"/>
      <c r="H426" s="39"/>
      <c r="I426" s="39"/>
      <c r="J426" s="39"/>
      <c r="K426" s="39"/>
      <c r="N426" s="42"/>
      <c r="S426" s="39"/>
      <c r="T426" s="39"/>
    </row>
    <row r="427" spans="1:20" x14ac:dyDescent="0.2">
      <c r="A427" s="38"/>
      <c r="B427" s="42"/>
      <c r="C427" s="45"/>
      <c r="F427" s="39"/>
      <c r="G427" s="39"/>
      <c r="H427" s="39"/>
      <c r="I427" s="39"/>
      <c r="J427" s="39"/>
      <c r="K427" s="39"/>
      <c r="N427" s="42"/>
      <c r="S427" s="39"/>
      <c r="T427" s="39"/>
    </row>
    <row r="428" spans="1:20" x14ac:dyDescent="0.2">
      <c r="A428" s="38"/>
      <c r="B428" s="42"/>
      <c r="C428" s="45"/>
      <c r="F428" s="39"/>
      <c r="G428" s="39"/>
      <c r="H428" s="39"/>
      <c r="I428" s="39"/>
      <c r="J428" s="39"/>
      <c r="K428" s="39"/>
      <c r="N428" s="42"/>
      <c r="S428" s="39"/>
      <c r="T428" s="39"/>
    </row>
    <row r="429" spans="1:20" x14ac:dyDescent="0.2">
      <c r="A429" s="38"/>
      <c r="B429" s="42"/>
      <c r="C429" s="45"/>
      <c r="F429" s="39"/>
      <c r="G429" s="39"/>
      <c r="H429" s="39"/>
      <c r="I429" s="39"/>
      <c r="J429" s="39"/>
      <c r="K429" s="39"/>
      <c r="N429" s="42"/>
      <c r="S429" s="39"/>
      <c r="T429" s="39"/>
    </row>
    <row r="430" spans="1:20" x14ac:dyDescent="0.2">
      <c r="A430" s="38"/>
      <c r="B430" s="42"/>
      <c r="C430" s="45"/>
      <c r="F430" s="39"/>
      <c r="G430" s="39"/>
      <c r="H430" s="39"/>
      <c r="I430" s="39"/>
      <c r="J430" s="39"/>
      <c r="K430" s="39"/>
      <c r="N430" s="42"/>
      <c r="S430" s="39"/>
      <c r="T430" s="39"/>
    </row>
    <row r="431" spans="1:20" x14ac:dyDescent="0.2">
      <c r="A431" s="38"/>
      <c r="B431" s="42"/>
      <c r="C431" s="45"/>
      <c r="F431" s="39"/>
      <c r="G431" s="39"/>
      <c r="H431" s="39"/>
      <c r="I431" s="39"/>
      <c r="J431" s="39"/>
      <c r="K431" s="39"/>
      <c r="N431" s="42"/>
      <c r="S431" s="39"/>
      <c r="T431" s="39"/>
    </row>
    <row r="432" spans="1:20" x14ac:dyDescent="0.2">
      <c r="A432" s="38"/>
      <c r="B432" s="42"/>
      <c r="C432" s="45"/>
      <c r="F432" s="39"/>
      <c r="G432" s="39"/>
      <c r="H432" s="39"/>
      <c r="I432" s="39"/>
      <c r="J432" s="39"/>
      <c r="K432" s="39"/>
      <c r="N432" s="42"/>
      <c r="S432" s="39"/>
      <c r="T432" s="39"/>
    </row>
    <row r="433" spans="1:20" x14ac:dyDescent="0.2">
      <c r="A433" s="38"/>
      <c r="B433" s="42"/>
      <c r="C433" s="45"/>
      <c r="F433" s="39"/>
      <c r="G433" s="39"/>
      <c r="H433" s="39"/>
      <c r="I433" s="39"/>
      <c r="J433" s="39"/>
      <c r="K433" s="39"/>
      <c r="N433" s="42"/>
      <c r="S433" s="39"/>
      <c r="T433" s="39"/>
    </row>
    <row r="434" spans="1:20" x14ac:dyDescent="0.2">
      <c r="A434" s="38"/>
      <c r="B434" s="42"/>
      <c r="C434" s="45"/>
      <c r="F434" s="39"/>
      <c r="G434" s="39"/>
      <c r="H434" s="39"/>
      <c r="I434" s="39"/>
      <c r="J434" s="39"/>
      <c r="K434" s="39"/>
      <c r="N434" s="42"/>
      <c r="S434" s="39"/>
      <c r="T434" s="39"/>
    </row>
    <row r="435" spans="1:20" x14ac:dyDescent="0.2">
      <c r="A435" s="38"/>
      <c r="B435" s="42"/>
      <c r="C435" s="45"/>
      <c r="F435" s="39"/>
      <c r="G435" s="39"/>
      <c r="H435" s="39"/>
      <c r="I435" s="39"/>
      <c r="J435" s="39"/>
      <c r="K435" s="39"/>
      <c r="N435" s="42"/>
      <c r="S435" s="39"/>
      <c r="T435" s="39"/>
    </row>
    <row r="436" spans="1:20" x14ac:dyDescent="0.2">
      <c r="A436" s="38"/>
      <c r="B436" s="42"/>
      <c r="C436" s="45"/>
      <c r="F436" s="39"/>
      <c r="G436" s="39"/>
      <c r="H436" s="39"/>
      <c r="I436" s="39"/>
      <c r="J436" s="39"/>
      <c r="K436" s="39"/>
      <c r="N436" s="42"/>
      <c r="S436" s="39"/>
      <c r="T436" s="39"/>
    </row>
    <row r="437" spans="1:20" x14ac:dyDescent="0.2">
      <c r="A437" s="38"/>
      <c r="B437" s="42"/>
      <c r="C437" s="45"/>
      <c r="J437" s="39"/>
      <c r="K437" s="39"/>
      <c r="N437" s="42"/>
      <c r="S437" s="39"/>
      <c r="T437" s="39"/>
    </row>
    <row r="438" spans="1:20" x14ac:dyDescent="0.2">
      <c r="S438" s="13"/>
      <c r="T438" s="13"/>
    </row>
  </sheetData>
  <sheetProtection algorithmName="SHA-512" hashValue="xFwVXK2ssrRoxm85vrZsh80RoJvBwp3Nso9TWqZ5IKzYkgRMTupFMKbCE5bZJqq77GCXwBVJRlxAdR5TGoeajg==" saltValue="aCoJ4akqoFmVfDnG1rZYqA==" spinCount="100000" sheet="1" objects="1" scenarios="1" formatColumns="0" selectLockedCells="1"/>
  <mergeCells count="3">
    <mergeCell ref="D1:E1"/>
    <mergeCell ref="D2:E2"/>
    <mergeCell ref="P1:Q1"/>
  </mergeCells>
  <phoneticPr fontId="0" type="noConversion"/>
  <hyperlinks>
    <hyperlink ref="B17" location="bank2!A1" display="2000/010" xr:uid="{00000000-0004-0000-0400-000001000000}"/>
    <hyperlink ref="B18" location="bank2!A1" display="2000/011" xr:uid="{00000000-0004-0000-0400-000002000000}"/>
    <hyperlink ref="K184" location="ILoans!A1" display="WP" xr:uid="{DD87B0AE-34D9-4D00-AB47-B83757DB3EF3}"/>
    <hyperlink ref="K201" location="IFree!A1" display="WP" xr:uid="{EBC7A37C-A0A1-4933-9F09-264DF5AE3E05}"/>
    <hyperlink ref="K219" location="DTax!A1" display="WP" xr:uid="{6F3EFCA6-E697-48C3-AA8B-24CB9EC5356F}"/>
    <hyperlink ref="K358" location="Debtors!A1" display="WP" xr:uid="{9F5C3B23-ADE7-47AB-954D-44A0A51647C9}"/>
    <hyperlink ref="K365" location="Bank!A1" display="WP" xr:uid="{25E5B14C-73E5-46CC-9AE7-665F91E823BA}"/>
    <hyperlink ref="K353" location="Stock!A1" display="WP" xr:uid="{E207814A-5583-41E1-A4B9-6710A6A6D009}"/>
    <hyperlink ref="K378" location="Creditors!A1" display="WP" xr:uid="{0153CB00-D817-4D55-81DD-38CAA6BE29AA}"/>
    <hyperlink ref="K398" location="VAT!A1" display="WP" xr:uid="{9BA53581-5C99-4FF7-B937-2B01B6FFB953}"/>
    <hyperlink ref="C35" location="TrialBalanceA!A1" display="TrialBalanceA!A1" xr:uid="{EDCD6B08-328F-40F3-9D50-9D8728744A19}"/>
    <hyperlink ref="C36" location="TrialBalanceB!A1" display="TrialBalanceB!A1" xr:uid="{F1349D03-3DAB-48A5-AD82-78898FFA13F2}"/>
    <hyperlink ref="C37" location="TrialBalanceC!A1" display="TrialBalanceC!A1" xr:uid="{D7F1F677-461D-4B7D-87A2-1EB659545F16}"/>
    <hyperlink ref="F1" location="TrialBalanceA!A1" display="TrialBalanceA!A1" xr:uid="{46423B7F-8CD0-4735-8C55-B76D96406A87}"/>
    <hyperlink ref="G1" location="TrialBalanceB!A1" display="TrialBalanceB!A1" xr:uid="{FB5471B1-34AD-4CD5-B2CF-79406E18853D}"/>
    <hyperlink ref="H1" location="TrialBalanceC!A1" display="TrialBalanceC!A1" xr:uid="{82E5D230-FFCB-4911-840A-2F045CCFDDA8}"/>
    <hyperlink ref="K228" location="FARegister!A1" display="WP" xr:uid="{5BCD2976-2EFF-4A4C-8142-77F58A56FDFE}"/>
    <hyperlink ref="K341" location="'NC Receivables'!A1" display="WP" xr:uid="{FB622B72-1B11-4EAA-9D36-583540A80C84}"/>
    <hyperlink ref="K40" location="Expenses!A1" display="WP" xr:uid="{CB3BDD2B-899A-493D-826A-A5914CECC940}"/>
    <hyperlink ref="K50" location="Expenses!A22" display="WP" xr:uid="{FECFF1A1-097F-42CD-855C-69383FE7C65C}"/>
    <hyperlink ref="B5" location="bank2!A1" display="1000/001" xr:uid="{872DA8B2-6770-48F4-B685-25E00BE2180F}"/>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5"/>
      <c r="I1" s="35"/>
    </row>
    <row r="2" spans="1:13" x14ac:dyDescent="0.25">
      <c r="C2" s="3" t="str">
        <f>Criteria!E9</f>
        <v>HOLDING COMPANY 268 (PROPRIETARY) LIMITED</v>
      </c>
    </row>
    <row r="3" spans="1:13" x14ac:dyDescent="0.25">
      <c r="H3" s="77" t="s">
        <v>81</v>
      </c>
      <c r="I3" s="77"/>
    </row>
    <row r="4" spans="1:13" x14ac:dyDescent="0.25">
      <c r="C4" s="3" t="s">
        <v>80</v>
      </c>
      <c r="D4" s="35" t="str">
        <f>Criteria!E20</f>
        <v>29 FEBRUARY 2024</v>
      </c>
    </row>
    <row r="5" spans="1:13" x14ac:dyDescent="0.25">
      <c r="H5" s="77" t="s">
        <v>82</v>
      </c>
      <c r="I5" s="77"/>
    </row>
    <row r="6" spans="1:13" x14ac:dyDescent="0.25">
      <c r="C6" s="3" t="s">
        <v>168</v>
      </c>
      <c r="H6" s="35"/>
      <c r="I6" s="35"/>
    </row>
    <row r="7" spans="1:13" x14ac:dyDescent="0.25">
      <c r="C7" s="6"/>
      <c r="D7" s="6"/>
      <c r="E7" s="6"/>
      <c r="F7" s="78"/>
      <c r="G7" s="78"/>
      <c r="H7" s="78"/>
      <c r="I7" s="78"/>
    </row>
    <row r="8" spans="1:13" x14ac:dyDescent="0.25">
      <c r="D8" s="8" t="str">
        <f>IF(F8=0," ","OUT OF BALANCE")</f>
        <v xml:space="preserve"> </v>
      </c>
      <c r="E8" s="8"/>
      <c r="F8" s="4">
        <f>ROUND(F484-G484+H484-I484,2)</f>
        <v>0</v>
      </c>
    </row>
    <row r="9" spans="1:13" x14ac:dyDescent="0.25">
      <c r="D9" s="8" t="s">
        <v>292</v>
      </c>
      <c r="E9" s="8"/>
      <c r="F9" s="4">
        <f>F486</f>
        <v>0</v>
      </c>
    </row>
    <row r="10" spans="1:13" x14ac:dyDescent="0.25">
      <c r="D10" s="8"/>
      <c r="E10" s="8"/>
    </row>
    <row r="11" spans="1:13" x14ac:dyDescent="0.25">
      <c r="A11" s="34" t="s">
        <v>269</v>
      </c>
      <c r="F11" s="527"/>
      <c r="G11" s="527"/>
      <c r="H11" s="527"/>
      <c r="I11" s="527"/>
    </row>
    <row r="12" spans="1:13" x14ac:dyDescent="0.25">
      <c r="A12" s="34" t="s">
        <v>663</v>
      </c>
      <c r="F12" s="527" t="s">
        <v>352</v>
      </c>
      <c r="G12" s="527"/>
      <c r="H12" s="527" t="s">
        <v>92</v>
      </c>
      <c r="I12" s="527"/>
    </row>
    <row r="13" spans="1:13" x14ac:dyDescent="0.25">
      <c r="A13" s="34" t="s">
        <v>270</v>
      </c>
      <c r="B13" s="32" t="s">
        <v>700</v>
      </c>
      <c r="C13" s="32" t="s">
        <v>226</v>
      </c>
      <c r="D13" s="32" t="s">
        <v>245</v>
      </c>
      <c r="E13" s="32" t="s">
        <v>416</v>
      </c>
      <c r="F13" s="22" t="s">
        <v>229</v>
      </c>
      <c r="G13" s="22" t="s">
        <v>230</v>
      </c>
      <c r="H13" s="22" t="s">
        <v>229</v>
      </c>
      <c r="I13" s="22" t="s">
        <v>230</v>
      </c>
    </row>
    <row r="14" spans="1:13" x14ac:dyDescent="0.25">
      <c r="A14" s="34"/>
    </row>
    <row r="15" spans="1:13" x14ac:dyDescent="0.25">
      <c r="A15" s="34" t="str">
        <f t="shared" ref="A15:A78" si="0">IF(COUNTIF(K15:M15,"ERROR")&gt;0,"ERROR"," ")</f>
        <v xml:space="preserve"> </v>
      </c>
      <c r="B15" s="5">
        <v>1</v>
      </c>
      <c r="D15" s="33"/>
      <c r="E15" s="33"/>
      <c r="J15" s="14">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x14ac:dyDescent="0.25">
      <c r="A16" s="34" t="str">
        <f t="shared" si="0"/>
        <v xml:space="preserve"> </v>
      </c>
      <c r="B16" s="25"/>
      <c r="D16" s="33"/>
      <c r="E16" s="33"/>
      <c r="J16" s="14">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x14ac:dyDescent="0.25">
      <c r="A17" s="34" t="str">
        <f t="shared" si="0"/>
        <v xml:space="preserve"> </v>
      </c>
      <c r="D17" s="33"/>
      <c r="E17" s="33"/>
      <c r="J17" s="14">
        <f t="shared" si="1"/>
        <v>0</v>
      </c>
      <c r="K17" s="2" t="str">
        <f t="shared" si="2"/>
        <v xml:space="preserve"> </v>
      </c>
      <c r="L17" s="2" t="str">
        <f t="shared" si="3"/>
        <v xml:space="preserve"> </v>
      </c>
      <c r="M17" s="2" t="str">
        <f t="shared" si="4"/>
        <v xml:space="preserve"> </v>
      </c>
    </row>
    <row r="18" spans="1:13" x14ac:dyDescent="0.25">
      <c r="A18" s="34" t="str">
        <f t="shared" si="0"/>
        <v xml:space="preserve"> </v>
      </c>
      <c r="D18" s="33"/>
      <c r="E18" s="33"/>
      <c r="J18" s="14">
        <f t="shared" si="1"/>
        <v>0</v>
      </c>
      <c r="K18" s="2" t="str">
        <f t="shared" si="2"/>
        <v xml:space="preserve"> </v>
      </c>
      <c r="L18" s="2" t="str">
        <f t="shared" si="3"/>
        <v xml:space="preserve"> </v>
      </c>
      <c r="M18" s="2" t="str">
        <f t="shared" si="4"/>
        <v xml:space="preserve"> </v>
      </c>
    </row>
    <row r="19" spans="1:13" x14ac:dyDescent="0.25">
      <c r="A19" s="34" t="str">
        <f t="shared" si="0"/>
        <v xml:space="preserve"> </v>
      </c>
      <c r="D19" s="33"/>
      <c r="E19" s="33"/>
      <c r="J19" s="14">
        <f t="shared" si="1"/>
        <v>0</v>
      </c>
      <c r="K19" s="2" t="str">
        <f t="shared" si="2"/>
        <v xml:space="preserve"> </v>
      </c>
      <c r="L19" s="2" t="str">
        <f t="shared" si="3"/>
        <v xml:space="preserve"> </v>
      </c>
      <c r="M19" s="2" t="str">
        <f t="shared" si="4"/>
        <v xml:space="preserve"> </v>
      </c>
    </row>
    <row r="20" spans="1:13" x14ac:dyDescent="0.25">
      <c r="A20" s="34" t="str">
        <f t="shared" si="0"/>
        <v xml:space="preserve"> </v>
      </c>
      <c r="B20" s="25"/>
      <c r="D20" s="33"/>
      <c r="E20" s="33"/>
      <c r="J20" s="14">
        <f t="shared" si="1"/>
        <v>0</v>
      </c>
      <c r="K20" s="2" t="str">
        <f t="shared" si="2"/>
        <v xml:space="preserve"> </v>
      </c>
      <c r="L20" s="2" t="str">
        <f t="shared" si="3"/>
        <v xml:space="preserve"> </v>
      </c>
      <c r="M20" s="2" t="str">
        <f t="shared" si="4"/>
        <v xml:space="preserve"> </v>
      </c>
    </row>
    <row r="21" spans="1:13" x14ac:dyDescent="0.25">
      <c r="A21" s="34" t="str">
        <f t="shared" si="0"/>
        <v xml:space="preserve"> </v>
      </c>
      <c r="D21" s="33"/>
      <c r="E21" s="33"/>
      <c r="J21" s="14">
        <f t="shared" si="1"/>
        <v>0</v>
      </c>
      <c r="K21" s="2" t="str">
        <f t="shared" si="2"/>
        <v xml:space="preserve"> </v>
      </c>
      <c r="L21" s="2" t="str">
        <f t="shared" si="3"/>
        <v xml:space="preserve"> </v>
      </c>
      <c r="M21" s="2" t="str">
        <f t="shared" si="4"/>
        <v xml:space="preserve"> </v>
      </c>
    </row>
    <row r="22" spans="1:13" x14ac:dyDescent="0.25">
      <c r="A22" s="34" t="str">
        <f t="shared" si="0"/>
        <v xml:space="preserve"> </v>
      </c>
      <c r="D22" s="33"/>
      <c r="E22" s="33"/>
      <c r="J22" s="14">
        <f t="shared" si="1"/>
        <v>0</v>
      </c>
      <c r="K22" s="2" t="str">
        <f t="shared" si="2"/>
        <v xml:space="preserve"> </v>
      </c>
      <c r="L22" s="2" t="str">
        <f t="shared" si="3"/>
        <v xml:space="preserve"> </v>
      </c>
      <c r="M22" s="2" t="str">
        <f t="shared" si="4"/>
        <v xml:space="preserve"> </v>
      </c>
    </row>
    <row r="23" spans="1:13" x14ac:dyDescent="0.25">
      <c r="A23" s="34" t="str">
        <f t="shared" si="0"/>
        <v xml:space="preserve"> </v>
      </c>
      <c r="D23" s="33"/>
      <c r="E23" s="33"/>
      <c r="J23" s="14">
        <f t="shared" si="1"/>
        <v>0</v>
      </c>
      <c r="K23" s="2" t="str">
        <f t="shared" si="2"/>
        <v xml:space="preserve"> </v>
      </c>
      <c r="L23" s="2" t="str">
        <f t="shared" si="3"/>
        <v xml:space="preserve"> </v>
      </c>
      <c r="M23" s="2" t="str">
        <f t="shared" si="4"/>
        <v xml:space="preserve"> </v>
      </c>
    </row>
    <row r="24" spans="1:13" x14ac:dyDescent="0.25">
      <c r="A24" s="34" t="str">
        <f t="shared" si="0"/>
        <v xml:space="preserve"> </v>
      </c>
      <c r="D24" s="33"/>
      <c r="E24" s="33"/>
      <c r="J24" s="14">
        <f t="shared" si="1"/>
        <v>0</v>
      </c>
      <c r="K24" s="2" t="str">
        <f t="shared" si="2"/>
        <v xml:space="preserve"> </v>
      </c>
      <c r="L24" s="2" t="str">
        <f t="shared" si="3"/>
        <v xml:space="preserve"> </v>
      </c>
      <c r="M24" s="2" t="str">
        <f t="shared" si="4"/>
        <v xml:space="preserve"> </v>
      </c>
    </row>
    <row r="25" spans="1:13" x14ac:dyDescent="0.25">
      <c r="A25" s="34" t="str">
        <f t="shared" si="0"/>
        <v xml:space="preserve"> </v>
      </c>
      <c r="B25" s="25"/>
      <c r="D25" s="33"/>
      <c r="E25" s="33"/>
      <c r="J25" s="14">
        <f t="shared" si="1"/>
        <v>0</v>
      </c>
      <c r="K25" s="2" t="str">
        <f t="shared" si="2"/>
        <v xml:space="preserve"> </v>
      </c>
      <c r="L25" s="2" t="str">
        <f t="shared" si="3"/>
        <v xml:space="preserve"> </v>
      </c>
      <c r="M25" s="2" t="str">
        <f t="shared" si="4"/>
        <v xml:space="preserve"> </v>
      </c>
    </row>
    <row r="26" spans="1:13" x14ac:dyDescent="0.25">
      <c r="A26" s="34" t="str">
        <f t="shared" si="0"/>
        <v xml:space="preserve"> </v>
      </c>
      <c r="D26" s="33"/>
      <c r="E26" s="33"/>
      <c r="J26" s="14">
        <f t="shared" si="1"/>
        <v>0</v>
      </c>
      <c r="K26" s="2" t="str">
        <f t="shared" si="2"/>
        <v xml:space="preserve"> </v>
      </c>
      <c r="L26" s="2" t="str">
        <f t="shared" si="3"/>
        <v xml:space="preserve"> </v>
      </c>
      <c r="M26" s="2" t="str">
        <f t="shared" si="4"/>
        <v xml:space="preserve"> </v>
      </c>
    </row>
    <row r="27" spans="1:13" x14ac:dyDescent="0.25">
      <c r="A27" s="34" t="str">
        <f t="shared" si="0"/>
        <v xml:space="preserve"> </v>
      </c>
      <c r="D27" s="33"/>
      <c r="E27" s="33"/>
      <c r="J27" s="14">
        <f t="shared" si="1"/>
        <v>0</v>
      </c>
      <c r="K27" s="2" t="str">
        <f t="shared" si="2"/>
        <v xml:space="preserve"> </v>
      </c>
      <c r="L27" s="2" t="str">
        <f t="shared" si="3"/>
        <v xml:space="preserve"> </v>
      </c>
      <c r="M27" s="2" t="str">
        <f t="shared" si="4"/>
        <v xml:space="preserve"> </v>
      </c>
    </row>
    <row r="28" spans="1:13" x14ac:dyDescent="0.25">
      <c r="A28" s="34" t="str">
        <f t="shared" si="0"/>
        <v xml:space="preserve"> </v>
      </c>
      <c r="D28" s="33"/>
      <c r="E28" s="33"/>
      <c r="J28" s="14">
        <f t="shared" si="1"/>
        <v>0</v>
      </c>
      <c r="K28" s="2" t="str">
        <f t="shared" si="2"/>
        <v xml:space="preserve"> </v>
      </c>
      <c r="L28" s="2" t="str">
        <f t="shared" si="3"/>
        <v xml:space="preserve"> </v>
      </c>
      <c r="M28" s="2" t="str">
        <f t="shared" si="4"/>
        <v xml:space="preserve"> </v>
      </c>
    </row>
    <row r="29" spans="1:13" x14ac:dyDescent="0.25">
      <c r="A29" s="34" t="str">
        <f t="shared" si="0"/>
        <v xml:space="preserve"> </v>
      </c>
      <c r="D29" s="33"/>
      <c r="E29" s="33"/>
      <c r="J29" s="14">
        <f t="shared" si="1"/>
        <v>0</v>
      </c>
      <c r="K29" s="2" t="str">
        <f t="shared" si="2"/>
        <v xml:space="preserve"> </v>
      </c>
      <c r="L29" s="2" t="str">
        <f t="shared" si="3"/>
        <v xml:space="preserve"> </v>
      </c>
      <c r="M29" s="2" t="str">
        <f t="shared" si="4"/>
        <v xml:space="preserve"> </v>
      </c>
    </row>
    <row r="30" spans="1:13" x14ac:dyDescent="0.25">
      <c r="A30" s="34" t="str">
        <f t="shared" si="0"/>
        <v xml:space="preserve"> </v>
      </c>
      <c r="D30" s="33"/>
      <c r="E30" s="33"/>
      <c r="J30" s="14">
        <f t="shared" si="1"/>
        <v>0</v>
      </c>
      <c r="K30" s="2" t="str">
        <f t="shared" si="2"/>
        <v xml:space="preserve"> </v>
      </c>
      <c r="L30" s="2" t="str">
        <f t="shared" si="3"/>
        <v xml:space="preserve"> </v>
      </c>
      <c r="M30" s="2" t="str">
        <f t="shared" si="4"/>
        <v xml:space="preserve"> </v>
      </c>
    </row>
    <row r="31" spans="1:13" x14ac:dyDescent="0.25">
      <c r="A31" s="34" t="str">
        <f t="shared" si="0"/>
        <v xml:space="preserve"> </v>
      </c>
      <c r="D31" s="33"/>
      <c r="E31" s="33"/>
      <c r="J31" s="14">
        <f t="shared" si="1"/>
        <v>0</v>
      </c>
      <c r="K31" s="2" t="str">
        <f t="shared" si="2"/>
        <v xml:space="preserve"> </v>
      </c>
      <c r="L31" s="2" t="str">
        <f t="shared" si="3"/>
        <v xml:space="preserve"> </v>
      </c>
      <c r="M31" s="2" t="str">
        <f t="shared" si="4"/>
        <v xml:space="preserve"> </v>
      </c>
    </row>
    <row r="32" spans="1:13" x14ac:dyDescent="0.25">
      <c r="A32" s="34" t="str">
        <f t="shared" si="0"/>
        <v xml:space="preserve"> </v>
      </c>
      <c r="D32" s="33"/>
      <c r="E32" s="33"/>
      <c r="J32" s="14">
        <f t="shared" si="1"/>
        <v>0</v>
      </c>
      <c r="K32" s="2" t="str">
        <f t="shared" si="2"/>
        <v xml:space="preserve"> </v>
      </c>
      <c r="L32" s="2" t="str">
        <f t="shared" si="3"/>
        <v xml:space="preserve"> </v>
      </c>
      <c r="M32" s="2" t="str">
        <f t="shared" si="4"/>
        <v xml:space="preserve"> </v>
      </c>
    </row>
    <row r="33" spans="1:13" x14ac:dyDescent="0.25">
      <c r="A33" s="34" t="str">
        <f t="shared" si="0"/>
        <v xml:space="preserve"> </v>
      </c>
      <c r="D33" s="33"/>
      <c r="E33" s="33"/>
      <c r="J33" s="14">
        <f t="shared" si="1"/>
        <v>0</v>
      </c>
      <c r="K33" s="2" t="str">
        <f t="shared" si="2"/>
        <v xml:space="preserve"> </v>
      </c>
      <c r="L33" s="2" t="str">
        <f t="shared" si="3"/>
        <v xml:space="preserve"> </v>
      </c>
      <c r="M33" s="2" t="str">
        <f t="shared" si="4"/>
        <v xml:space="preserve"> </v>
      </c>
    </row>
    <row r="34" spans="1:13" x14ac:dyDescent="0.25">
      <c r="A34" s="34" t="str">
        <f t="shared" si="0"/>
        <v xml:space="preserve"> </v>
      </c>
      <c r="D34" s="33"/>
      <c r="E34" s="33"/>
      <c r="J34" s="14">
        <f t="shared" si="1"/>
        <v>0</v>
      </c>
      <c r="K34" s="2" t="str">
        <f t="shared" si="2"/>
        <v xml:space="preserve"> </v>
      </c>
      <c r="L34" s="2" t="str">
        <f t="shared" si="3"/>
        <v xml:space="preserve"> </v>
      </c>
      <c r="M34" s="2" t="str">
        <f t="shared" si="4"/>
        <v xml:space="preserve"> </v>
      </c>
    </row>
    <row r="35" spans="1:13" x14ac:dyDescent="0.25">
      <c r="A35" s="34" t="str">
        <f t="shared" si="0"/>
        <v xml:space="preserve"> </v>
      </c>
      <c r="D35" s="33"/>
      <c r="E35" s="33"/>
      <c r="J35" s="14">
        <f t="shared" si="1"/>
        <v>0</v>
      </c>
      <c r="K35" s="2" t="str">
        <f t="shared" si="2"/>
        <v xml:space="preserve"> </v>
      </c>
      <c r="L35" s="2" t="str">
        <f t="shared" si="3"/>
        <v xml:space="preserve"> </v>
      </c>
      <c r="M35" s="2" t="str">
        <f t="shared" si="4"/>
        <v xml:space="preserve"> </v>
      </c>
    </row>
    <row r="36" spans="1:13" x14ac:dyDescent="0.25">
      <c r="A36" s="34" t="str">
        <f t="shared" si="0"/>
        <v xml:space="preserve"> </v>
      </c>
      <c r="D36" s="33"/>
      <c r="E36" s="33"/>
      <c r="J36" s="14">
        <f t="shared" si="1"/>
        <v>0</v>
      </c>
      <c r="K36" s="2" t="str">
        <f t="shared" si="2"/>
        <v xml:space="preserve"> </v>
      </c>
      <c r="L36" s="2" t="str">
        <f t="shared" si="3"/>
        <v xml:space="preserve"> </v>
      </c>
      <c r="M36" s="2" t="str">
        <f t="shared" si="4"/>
        <v xml:space="preserve"> </v>
      </c>
    </row>
    <row r="37" spans="1:13" x14ac:dyDescent="0.25">
      <c r="A37" s="34" t="str">
        <f t="shared" si="0"/>
        <v xml:space="preserve"> </v>
      </c>
      <c r="D37" s="33"/>
      <c r="E37" s="33"/>
      <c r="J37" s="14">
        <f t="shared" si="1"/>
        <v>0</v>
      </c>
      <c r="K37" s="2" t="str">
        <f t="shared" si="2"/>
        <v xml:space="preserve"> </v>
      </c>
      <c r="L37" s="2" t="str">
        <f t="shared" si="3"/>
        <v xml:space="preserve"> </v>
      </c>
      <c r="M37" s="2" t="str">
        <f t="shared" si="4"/>
        <v xml:space="preserve"> </v>
      </c>
    </row>
    <row r="38" spans="1:13" x14ac:dyDescent="0.25">
      <c r="A38" s="34" t="str">
        <f t="shared" si="0"/>
        <v xml:space="preserve"> </v>
      </c>
      <c r="D38" s="33"/>
      <c r="E38" s="33"/>
      <c r="J38" s="14">
        <f t="shared" si="1"/>
        <v>0</v>
      </c>
      <c r="K38" s="2" t="str">
        <f t="shared" si="2"/>
        <v xml:space="preserve"> </v>
      </c>
      <c r="L38" s="2" t="str">
        <f t="shared" si="3"/>
        <v xml:space="preserve"> </v>
      </c>
      <c r="M38" s="2" t="str">
        <f t="shared" si="4"/>
        <v xml:space="preserve"> </v>
      </c>
    </row>
    <row r="39" spans="1:13" x14ac:dyDescent="0.25">
      <c r="A39" s="34" t="str">
        <f t="shared" si="0"/>
        <v xml:space="preserve"> </v>
      </c>
      <c r="D39" s="33"/>
      <c r="E39" s="33"/>
      <c r="J39" s="14">
        <f t="shared" si="1"/>
        <v>0</v>
      </c>
      <c r="K39" s="2" t="str">
        <f t="shared" si="2"/>
        <v xml:space="preserve"> </v>
      </c>
      <c r="L39" s="2" t="str">
        <f t="shared" si="3"/>
        <v xml:space="preserve"> </v>
      </c>
      <c r="M39" s="2" t="str">
        <f t="shared" si="4"/>
        <v xml:space="preserve"> </v>
      </c>
    </row>
    <row r="40" spans="1:13" x14ac:dyDescent="0.25">
      <c r="A40" s="34" t="str">
        <f t="shared" si="0"/>
        <v xml:space="preserve"> </v>
      </c>
      <c r="D40" s="33"/>
      <c r="E40" s="33"/>
      <c r="J40" s="14">
        <f t="shared" si="1"/>
        <v>0</v>
      </c>
      <c r="K40" s="2" t="str">
        <f t="shared" si="2"/>
        <v xml:space="preserve"> </v>
      </c>
      <c r="L40" s="2" t="str">
        <f t="shared" si="3"/>
        <v xml:space="preserve"> </v>
      </c>
      <c r="M40" s="2" t="str">
        <f t="shared" si="4"/>
        <v xml:space="preserve"> </v>
      </c>
    </row>
    <row r="41" spans="1:13" x14ac:dyDescent="0.25">
      <c r="A41" s="34" t="str">
        <f t="shared" si="0"/>
        <v xml:space="preserve"> </v>
      </c>
      <c r="D41" s="33"/>
      <c r="E41" s="33"/>
      <c r="J41" s="14">
        <f t="shared" si="1"/>
        <v>0</v>
      </c>
      <c r="K41" s="2" t="str">
        <f t="shared" si="2"/>
        <v xml:space="preserve"> </v>
      </c>
      <c r="L41" s="2" t="str">
        <f t="shared" si="3"/>
        <v xml:space="preserve"> </v>
      </c>
      <c r="M41" s="2" t="str">
        <f t="shared" si="4"/>
        <v xml:space="preserve"> </v>
      </c>
    </row>
    <row r="42" spans="1:13" x14ac:dyDescent="0.25">
      <c r="A42" s="34" t="str">
        <f t="shared" si="0"/>
        <v xml:space="preserve"> </v>
      </c>
      <c r="D42" s="33"/>
      <c r="E42" s="33"/>
      <c r="J42" s="14">
        <f t="shared" si="1"/>
        <v>0</v>
      </c>
      <c r="K42" s="2" t="str">
        <f t="shared" si="2"/>
        <v xml:space="preserve"> </v>
      </c>
      <c r="L42" s="2" t="str">
        <f t="shared" si="3"/>
        <v xml:space="preserve"> </v>
      </c>
      <c r="M42" s="2" t="str">
        <f t="shared" si="4"/>
        <v xml:space="preserve"> </v>
      </c>
    </row>
    <row r="43" spans="1:13" x14ac:dyDescent="0.25">
      <c r="A43" s="34" t="str">
        <f t="shared" si="0"/>
        <v xml:space="preserve"> </v>
      </c>
      <c r="D43" s="33"/>
      <c r="E43" s="33"/>
      <c r="J43" s="14">
        <f t="shared" si="1"/>
        <v>0</v>
      </c>
      <c r="K43" s="2" t="str">
        <f t="shared" si="2"/>
        <v xml:space="preserve"> </v>
      </c>
      <c r="L43" s="2" t="str">
        <f t="shared" si="3"/>
        <v xml:space="preserve"> </v>
      </c>
      <c r="M43" s="2" t="str">
        <f t="shared" si="4"/>
        <v xml:space="preserve"> </v>
      </c>
    </row>
    <row r="44" spans="1:13" x14ac:dyDescent="0.25">
      <c r="A44" s="34" t="str">
        <f t="shared" si="0"/>
        <v xml:space="preserve"> </v>
      </c>
      <c r="D44" s="33"/>
      <c r="E44" s="33"/>
      <c r="J44" s="14">
        <f t="shared" si="1"/>
        <v>0</v>
      </c>
      <c r="K44" s="2" t="str">
        <f t="shared" si="2"/>
        <v xml:space="preserve"> </v>
      </c>
      <c r="L44" s="2" t="str">
        <f t="shared" si="3"/>
        <v xml:space="preserve"> </v>
      </c>
      <c r="M44" s="2" t="str">
        <f t="shared" si="4"/>
        <v xml:space="preserve"> </v>
      </c>
    </row>
    <row r="45" spans="1:13" x14ac:dyDescent="0.25">
      <c r="A45" s="34" t="str">
        <f t="shared" si="0"/>
        <v xml:space="preserve"> </v>
      </c>
      <c r="D45" s="33"/>
      <c r="E45" s="33"/>
      <c r="J45" s="14">
        <f t="shared" si="1"/>
        <v>0</v>
      </c>
      <c r="K45" s="2" t="str">
        <f t="shared" si="2"/>
        <v xml:space="preserve"> </v>
      </c>
      <c r="L45" s="2" t="str">
        <f t="shared" si="3"/>
        <v xml:space="preserve"> </v>
      </c>
      <c r="M45" s="2" t="str">
        <f t="shared" si="4"/>
        <v xml:space="preserve"> </v>
      </c>
    </row>
    <row r="46" spans="1:13" x14ac:dyDescent="0.25">
      <c r="A46" s="34" t="str">
        <f t="shared" si="0"/>
        <v xml:space="preserve"> </v>
      </c>
      <c r="D46" s="33"/>
      <c r="E46" s="33"/>
      <c r="J46" s="14">
        <f t="shared" si="1"/>
        <v>0</v>
      </c>
      <c r="K46" s="2" t="str">
        <f t="shared" si="2"/>
        <v xml:space="preserve"> </v>
      </c>
      <c r="L46" s="2" t="str">
        <f t="shared" si="3"/>
        <v xml:space="preserve"> </v>
      </c>
      <c r="M46" s="2" t="str">
        <f t="shared" si="4"/>
        <v xml:space="preserve"> </v>
      </c>
    </row>
    <row r="47" spans="1:13" x14ac:dyDescent="0.25">
      <c r="A47" s="34" t="str">
        <f t="shared" si="0"/>
        <v xml:space="preserve"> </v>
      </c>
      <c r="D47" s="33"/>
      <c r="E47" s="33"/>
      <c r="J47" s="14">
        <f t="shared" si="1"/>
        <v>0</v>
      </c>
      <c r="K47" s="2" t="str">
        <f t="shared" si="2"/>
        <v xml:space="preserve"> </v>
      </c>
      <c r="L47" s="2" t="str">
        <f t="shared" si="3"/>
        <v xml:space="preserve"> </v>
      </c>
      <c r="M47" s="2" t="str">
        <f t="shared" si="4"/>
        <v xml:space="preserve"> </v>
      </c>
    </row>
    <row r="48" spans="1:13" x14ac:dyDescent="0.25">
      <c r="A48" s="34" t="str">
        <f t="shared" si="0"/>
        <v xml:space="preserve"> </v>
      </c>
      <c r="D48" s="33"/>
      <c r="E48" s="33"/>
      <c r="J48" s="14">
        <f t="shared" si="1"/>
        <v>0</v>
      </c>
      <c r="K48" s="2" t="str">
        <f t="shared" si="2"/>
        <v xml:space="preserve"> </v>
      </c>
      <c r="L48" s="2" t="str">
        <f t="shared" si="3"/>
        <v xml:space="preserve"> </v>
      </c>
      <c r="M48" s="2" t="str">
        <f t="shared" si="4"/>
        <v xml:space="preserve"> </v>
      </c>
    </row>
    <row r="49" spans="1:13" x14ac:dyDescent="0.25">
      <c r="A49" s="34" t="str">
        <f t="shared" si="0"/>
        <v xml:space="preserve"> </v>
      </c>
      <c r="D49" s="33"/>
      <c r="E49" s="33"/>
      <c r="J49" s="14">
        <f t="shared" si="1"/>
        <v>0</v>
      </c>
      <c r="K49" s="2" t="str">
        <f t="shared" si="2"/>
        <v xml:space="preserve"> </v>
      </c>
      <c r="L49" s="2" t="str">
        <f t="shared" si="3"/>
        <v xml:space="preserve"> </v>
      </c>
      <c r="M49" s="2" t="str">
        <f t="shared" si="4"/>
        <v xml:space="preserve"> </v>
      </c>
    </row>
    <row r="50" spans="1:13" x14ac:dyDescent="0.25">
      <c r="A50" s="34" t="str">
        <f t="shared" si="0"/>
        <v xml:space="preserve"> </v>
      </c>
      <c r="C50" s="14"/>
      <c r="D50" s="33"/>
      <c r="E50" s="33"/>
      <c r="J50" s="14">
        <f t="shared" si="1"/>
        <v>0</v>
      </c>
      <c r="K50" s="2" t="str">
        <f t="shared" si="2"/>
        <v xml:space="preserve"> </v>
      </c>
      <c r="L50" s="2" t="str">
        <f t="shared" si="3"/>
        <v xml:space="preserve"> </v>
      </c>
      <c r="M50" s="2" t="str">
        <f t="shared" si="4"/>
        <v xml:space="preserve"> </v>
      </c>
    </row>
    <row r="51" spans="1:13" x14ac:dyDescent="0.25">
      <c r="A51" s="34" t="str">
        <f t="shared" si="0"/>
        <v xml:space="preserve"> </v>
      </c>
      <c r="D51" s="33"/>
      <c r="E51" s="33"/>
      <c r="J51" s="14">
        <f t="shared" si="1"/>
        <v>0</v>
      </c>
      <c r="K51" s="2" t="str">
        <f t="shared" si="2"/>
        <v xml:space="preserve"> </v>
      </c>
      <c r="L51" s="2" t="str">
        <f t="shared" si="3"/>
        <v xml:space="preserve"> </v>
      </c>
      <c r="M51" s="2" t="str">
        <f t="shared" si="4"/>
        <v xml:space="preserve"> </v>
      </c>
    </row>
    <row r="52" spans="1:13" x14ac:dyDescent="0.25">
      <c r="A52" s="34" t="str">
        <f t="shared" si="0"/>
        <v xml:space="preserve"> </v>
      </c>
      <c r="C52" s="14"/>
      <c r="D52" s="33"/>
      <c r="E52" s="33"/>
      <c r="J52" s="14">
        <f t="shared" si="1"/>
        <v>0</v>
      </c>
      <c r="K52" s="2" t="str">
        <f t="shared" si="2"/>
        <v xml:space="preserve"> </v>
      </c>
      <c r="L52" s="2" t="str">
        <f t="shared" si="3"/>
        <v xml:space="preserve"> </v>
      </c>
      <c r="M52" s="2" t="str">
        <f t="shared" si="4"/>
        <v xml:space="preserve"> </v>
      </c>
    </row>
    <row r="53" spans="1:13" x14ac:dyDescent="0.25">
      <c r="A53" s="34" t="str">
        <f t="shared" si="0"/>
        <v xml:space="preserve"> </v>
      </c>
      <c r="D53" s="33"/>
      <c r="E53" s="33"/>
      <c r="J53" s="14">
        <f t="shared" si="1"/>
        <v>0</v>
      </c>
      <c r="K53" s="2" t="str">
        <f t="shared" si="2"/>
        <v xml:space="preserve"> </v>
      </c>
      <c r="L53" s="2" t="str">
        <f t="shared" si="3"/>
        <v xml:space="preserve"> </v>
      </c>
      <c r="M53" s="2" t="str">
        <f t="shared" si="4"/>
        <v xml:space="preserve"> </v>
      </c>
    </row>
    <row r="54" spans="1:13" x14ac:dyDescent="0.25">
      <c r="A54" s="34" t="str">
        <f t="shared" si="0"/>
        <v xml:space="preserve"> </v>
      </c>
      <c r="C54" s="14"/>
      <c r="D54" s="33"/>
      <c r="E54" s="33"/>
      <c r="J54" s="14">
        <f t="shared" si="1"/>
        <v>0</v>
      </c>
      <c r="K54" s="2" t="str">
        <f t="shared" si="2"/>
        <v xml:space="preserve"> </v>
      </c>
      <c r="L54" s="2" t="str">
        <f t="shared" si="3"/>
        <v xml:space="preserve"> </v>
      </c>
      <c r="M54" s="2" t="str">
        <f t="shared" si="4"/>
        <v xml:space="preserve"> </v>
      </c>
    </row>
    <row r="55" spans="1:13" x14ac:dyDescent="0.25">
      <c r="A55" s="34" t="str">
        <f t="shared" si="0"/>
        <v xml:space="preserve"> </v>
      </c>
      <c r="D55" s="33"/>
      <c r="E55" s="33"/>
      <c r="J55" s="14">
        <f t="shared" si="1"/>
        <v>0</v>
      </c>
      <c r="K55" s="2" t="str">
        <f t="shared" si="2"/>
        <v xml:space="preserve"> </v>
      </c>
      <c r="L55" s="2" t="str">
        <f t="shared" si="3"/>
        <v xml:space="preserve"> </v>
      </c>
      <c r="M55" s="2" t="str">
        <f t="shared" si="4"/>
        <v xml:space="preserve"> </v>
      </c>
    </row>
    <row r="56" spans="1:13" x14ac:dyDescent="0.25">
      <c r="A56" s="34" t="str">
        <f t="shared" si="0"/>
        <v xml:space="preserve"> </v>
      </c>
      <c r="D56" s="33"/>
      <c r="E56" s="33"/>
      <c r="J56" s="14">
        <f t="shared" si="1"/>
        <v>0</v>
      </c>
      <c r="K56" s="2" t="str">
        <f t="shared" si="2"/>
        <v xml:space="preserve"> </v>
      </c>
      <c r="L56" s="2" t="str">
        <f t="shared" si="3"/>
        <v xml:space="preserve"> </v>
      </c>
      <c r="M56" s="2" t="str">
        <f t="shared" si="4"/>
        <v xml:space="preserve"> </v>
      </c>
    </row>
    <row r="57" spans="1:13" x14ac:dyDescent="0.25">
      <c r="A57" s="34" t="str">
        <f t="shared" si="0"/>
        <v xml:space="preserve"> </v>
      </c>
      <c r="D57" s="33"/>
      <c r="E57" s="33"/>
      <c r="J57" s="14">
        <f t="shared" si="1"/>
        <v>0</v>
      </c>
      <c r="K57" s="2" t="str">
        <f t="shared" si="2"/>
        <v xml:space="preserve"> </v>
      </c>
      <c r="L57" s="2" t="str">
        <f t="shared" si="3"/>
        <v xml:space="preserve"> </v>
      </c>
      <c r="M57" s="2" t="str">
        <f t="shared" si="4"/>
        <v xml:space="preserve"> </v>
      </c>
    </row>
    <row r="58" spans="1:13" x14ac:dyDescent="0.25">
      <c r="A58" s="34" t="str">
        <f t="shared" si="0"/>
        <v xml:space="preserve"> </v>
      </c>
      <c r="D58" s="33"/>
      <c r="E58" s="33"/>
      <c r="J58" s="14">
        <f t="shared" si="1"/>
        <v>0</v>
      </c>
      <c r="K58" s="2" t="str">
        <f t="shared" si="2"/>
        <v xml:space="preserve"> </v>
      </c>
      <c r="L58" s="2" t="str">
        <f t="shared" si="3"/>
        <v xml:space="preserve"> </v>
      </c>
      <c r="M58" s="2" t="str">
        <f t="shared" si="4"/>
        <v xml:space="preserve"> </v>
      </c>
    </row>
    <row r="59" spans="1:13" x14ac:dyDescent="0.25">
      <c r="A59" s="34" t="str">
        <f t="shared" si="0"/>
        <v xml:space="preserve"> </v>
      </c>
      <c r="D59" s="33"/>
      <c r="E59" s="33"/>
      <c r="J59" s="14">
        <f t="shared" si="1"/>
        <v>0</v>
      </c>
      <c r="K59" s="2" t="str">
        <f t="shared" si="2"/>
        <v xml:space="preserve"> </v>
      </c>
      <c r="L59" s="2" t="str">
        <f t="shared" si="3"/>
        <v xml:space="preserve"> </v>
      </c>
      <c r="M59" s="2" t="str">
        <f t="shared" si="4"/>
        <v xml:space="preserve"> </v>
      </c>
    </row>
    <row r="60" spans="1:13" x14ac:dyDescent="0.25">
      <c r="A60" s="34" t="str">
        <f t="shared" si="0"/>
        <v xml:space="preserve"> </v>
      </c>
      <c r="D60" s="33"/>
      <c r="E60" s="33"/>
      <c r="J60" s="14">
        <f t="shared" si="1"/>
        <v>0</v>
      </c>
      <c r="K60" s="2" t="str">
        <f t="shared" si="2"/>
        <v xml:space="preserve"> </v>
      </c>
      <c r="L60" s="2" t="str">
        <f t="shared" si="3"/>
        <v xml:space="preserve"> </v>
      </c>
      <c r="M60" s="2" t="str">
        <f t="shared" si="4"/>
        <v xml:space="preserve"> </v>
      </c>
    </row>
    <row r="61" spans="1:13" x14ac:dyDescent="0.25">
      <c r="A61" s="34" t="str">
        <f t="shared" si="0"/>
        <v xml:space="preserve"> </v>
      </c>
      <c r="D61" s="33"/>
      <c r="E61" s="33"/>
      <c r="J61" s="14">
        <f t="shared" si="1"/>
        <v>0</v>
      </c>
      <c r="K61" s="2" t="str">
        <f t="shared" si="2"/>
        <v xml:space="preserve"> </v>
      </c>
      <c r="L61" s="2" t="str">
        <f t="shared" si="3"/>
        <v xml:space="preserve"> </v>
      </c>
      <c r="M61" s="2" t="str">
        <f t="shared" si="4"/>
        <v xml:space="preserve"> </v>
      </c>
    </row>
    <row r="62" spans="1:13" x14ac:dyDescent="0.25">
      <c r="A62" s="34" t="str">
        <f t="shared" si="0"/>
        <v xml:space="preserve"> </v>
      </c>
      <c r="D62" s="33"/>
      <c r="E62" s="33"/>
      <c r="J62" s="14">
        <f t="shared" si="1"/>
        <v>0</v>
      </c>
      <c r="K62" s="2" t="str">
        <f t="shared" si="2"/>
        <v xml:space="preserve"> </v>
      </c>
      <c r="L62" s="2" t="str">
        <f t="shared" si="3"/>
        <v xml:space="preserve"> </v>
      </c>
      <c r="M62" s="2" t="str">
        <f t="shared" si="4"/>
        <v xml:space="preserve"> </v>
      </c>
    </row>
    <row r="63" spans="1:13" x14ac:dyDescent="0.25">
      <c r="A63" s="34" t="str">
        <f t="shared" si="0"/>
        <v xml:space="preserve"> </v>
      </c>
      <c r="D63" s="33"/>
      <c r="E63" s="33"/>
      <c r="J63" s="14">
        <f t="shared" si="1"/>
        <v>0</v>
      </c>
      <c r="K63" s="2" t="str">
        <f t="shared" si="2"/>
        <v xml:space="preserve"> </v>
      </c>
      <c r="L63" s="2" t="str">
        <f t="shared" si="3"/>
        <v xml:space="preserve"> </v>
      </c>
      <c r="M63" s="2" t="str">
        <f t="shared" si="4"/>
        <v xml:space="preserve"> </v>
      </c>
    </row>
    <row r="64" spans="1:13" x14ac:dyDescent="0.25">
      <c r="A64" s="34" t="str">
        <f t="shared" si="0"/>
        <v xml:space="preserve"> </v>
      </c>
      <c r="D64" s="33"/>
      <c r="E64" s="33"/>
      <c r="J64" s="14">
        <f t="shared" si="1"/>
        <v>0</v>
      </c>
      <c r="K64" s="2" t="str">
        <f t="shared" si="2"/>
        <v xml:space="preserve"> </v>
      </c>
      <c r="L64" s="2" t="str">
        <f t="shared" si="3"/>
        <v xml:space="preserve"> </v>
      </c>
      <c r="M64" s="2" t="str">
        <f t="shared" si="4"/>
        <v xml:space="preserve"> </v>
      </c>
    </row>
    <row r="65" spans="1:13" x14ac:dyDescent="0.25">
      <c r="A65" s="34" t="str">
        <f t="shared" si="0"/>
        <v xml:space="preserve"> </v>
      </c>
      <c r="D65" s="33"/>
      <c r="E65" s="33"/>
      <c r="J65" s="14">
        <f t="shared" si="1"/>
        <v>0</v>
      </c>
      <c r="K65" s="2" t="str">
        <f t="shared" si="2"/>
        <v xml:space="preserve"> </v>
      </c>
      <c r="L65" s="2" t="str">
        <f t="shared" si="3"/>
        <v xml:space="preserve"> </v>
      </c>
      <c r="M65" s="2" t="str">
        <f t="shared" si="4"/>
        <v xml:space="preserve"> </v>
      </c>
    </row>
    <row r="66" spans="1:13" x14ac:dyDescent="0.25">
      <c r="A66" s="34" t="str">
        <f t="shared" si="0"/>
        <v xml:space="preserve"> </v>
      </c>
      <c r="D66" s="33"/>
      <c r="E66" s="33"/>
      <c r="J66" s="14">
        <f t="shared" si="1"/>
        <v>0</v>
      </c>
      <c r="K66" s="2" t="str">
        <f t="shared" si="2"/>
        <v xml:space="preserve"> </v>
      </c>
      <c r="L66" s="2" t="str">
        <f t="shared" si="3"/>
        <v xml:space="preserve"> </v>
      </c>
      <c r="M66" s="2" t="str">
        <f t="shared" si="4"/>
        <v xml:space="preserve"> </v>
      </c>
    </row>
    <row r="67" spans="1:13" x14ac:dyDescent="0.25">
      <c r="A67" s="34" t="str">
        <f t="shared" si="0"/>
        <v xml:space="preserve"> </v>
      </c>
      <c r="D67" s="33"/>
      <c r="E67" s="33"/>
      <c r="J67" s="14">
        <f t="shared" si="1"/>
        <v>0</v>
      </c>
      <c r="K67" s="2" t="str">
        <f t="shared" si="2"/>
        <v xml:space="preserve"> </v>
      </c>
      <c r="L67" s="2" t="str">
        <f t="shared" si="3"/>
        <v xml:space="preserve"> </v>
      </c>
      <c r="M67" s="2" t="str">
        <f t="shared" si="4"/>
        <v xml:space="preserve"> </v>
      </c>
    </row>
    <row r="68" spans="1:13" x14ac:dyDescent="0.25">
      <c r="A68" s="34" t="str">
        <f t="shared" si="0"/>
        <v xml:space="preserve"> </v>
      </c>
      <c r="D68" s="33"/>
      <c r="E68" s="33"/>
      <c r="J68" s="14">
        <f t="shared" si="1"/>
        <v>0</v>
      </c>
      <c r="K68" s="2" t="str">
        <f t="shared" si="2"/>
        <v xml:space="preserve"> </v>
      </c>
      <c r="L68" s="2" t="str">
        <f t="shared" si="3"/>
        <v xml:space="preserve"> </v>
      </c>
      <c r="M68" s="2" t="str">
        <f t="shared" si="4"/>
        <v xml:space="preserve"> </v>
      </c>
    </row>
    <row r="69" spans="1:13" x14ac:dyDescent="0.25">
      <c r="A69" s="34" t="str">
        <f t="shared" si="0"/>
        <v xml:space="preserve"> </v>
      </c>
      <c r="D69" s="33"/>
      <c r="E69" s="33"/>
      <c r="J69" s="14">
        <f>F69-G69+H69-I69</f>
        <v>0</v>
      </c>
      <c r="K69" s="2" t="str">
        <f t="shared" si="2"/>
        <v xml:space="preserve"> </v>
      </c>
      <c r="L69" s="2" t="str">
        <f t="shared" si="3"/>
        <v xml:space="preserve"> </v>
      </c>
      <c r="M69" s="2" t="str">
        <f t="shared" si="4"/>
        <v xml:space="preserve"> </v>
      </c>
    </row>
    <row r="70" spans="1:13" x14ac:dyDescent="0.25">
      <c r="A70" s="34" t="str">
        <f t="shared" si="0"/>
        <v xml:space="preserve"> </v>
      </c>
      <c r="D70" s="33"/>
      <c r="E70" s="33"/>
      <c r="J70" s="14">
        <f>F70-G70+H70-I70</f>
        <v>0</v>
      </c>
      <c r="K70" s="2" t="str">
        <f t="shared" si="2"/>
        <v xml:space="preserve"> </v>
      </c>
      <c r="L70" s="2" t="str">
        <f t="shared" si="3"/>
        <v xml:space="preserve"> </v>
      </c>
      <c r="M70" s="2" t="str">
        <f t="shared" si="4"/>
        <v xml:space="preserve"> </v>
      </c>
    </row>
    <row r="71" spans="1:13" x14ac:dyDescent="0.25">
      <c r="A71" s="34" t="str">
        <f t="shared" si="0"/>
        <v xml:space="preserve"> </v>
      </c>
      <c r="D71" s="33"/>
      <c r="E71" s="33"/>
      <c r="J71" s="14">
        <f t="shared" si="1"/>
        <v>0</v>
      </c>
      <c r="K71" s="2" t="str">
        <f t="shared" si="2"/>
        <v xml:space="preserve"> </v>
      </c>
      <c r="L71" s="2" t="str">
        <f t="shared" si="3"/>
        <v xml:space="preserve"> </v>
      </c>
      <c r="M71" s="2" t="str">
        <f t="shared" si="4"/>
        <v xml:space="preserve"> </v>
      </c>
    </row>
    <row r="72" spans="1:13" x14ac:dyDescent="0.25">
      <c r="A72" s="34" t="str">
        <f t="shared" si="0"/>
        <v xml:space="preserve"> </v>
      </c>
      <c r="D72" s="33"/>
      <c r="E72" s="33"/>
      <c r="J72" s="14">
        <f t="shared" si="1"/>
        <v>0</v>
      </c>
      <c r="K72" s="2" t="str">
        <f t="shared" si="2"/>
        <v xml:space="preserve"> </v>
      </c>
      <c r="L72" s="2" t="str">
        <f t="shared" si="3"/>
        <v xml:space="preserve"> </v>
      </c>
      <c r="M72" s="2" t="str">
        <f t="shared" si="4"/>
        <v xml:space="preserve"> </v>
      </c>
    </row>
    <row r="73" spans="1:13" x14ac:dyDescent="0.25">
      <c r="A73" s="34" t="str">
        <f t="shared" si="0"/>
        <v xml:space="preserve"> </v>
      </c>
      <c r="D73" s="33"/>
      <c r="E73" s="33"/>
      <c r="J73" s="14">
        <f t="shared" si="1"/>
        <v>0</v>
      </c>
      <c r="K73" s="2" t="str">
        <f t="shared" si="2"/>
        <v xml:space="preserve"> </v>
      </c>
      <c r="L73" s="2" t="str">
        <f t="shared" si="3"/>
        <v xml:space="preserve"> </v>
      </c>
      <c r="M73" s="2" t="str">
        <f t="shared" si="4"/>
        <v xml:space="preserve"> </v>
      </c>
    </row>
    <row r="74" spans="1:13" x14ac:dyDescent="0.25">
      <c r="A74" s="34" t="str">
        <f t="shared" si="0"/>
        <v xml:space="preserve"> </v>
      </c>
      <c r="D74" s="33"/>
      <c r="E74" s="33"/>
      <c r="J74" s="14">
        <f t="shared" si="1"/>
        <v>0</v>
      </c>
      <c r="K74" s="2" t="str">
        <f t="shared" si="2"/>
        <v xml:space="preserve"> </v>
      </c>
      <c r="L74" s="2" t="str">
        <f t="shared" si="3"/>
        <v xml:space="preserve"> </v>
      </c>
      <c r="M74" s="2" t="str">
        <f t="shared" si="4"/>
        <v xml:space="preserve"> </v>
      </c>
    </row>
    <row r="75" spans="1:13" x14ac:dyDescent="0.25">
      <c r="A75" s="34" t="str">
        <f t="shared" si="0"/>
        <v xml:space="preserve"> </v>
      </c>
      <c r="D75" s="33"/>
      <c r="E75" s="33"/>
      <c r="J75" s="14">
        <f t="shared" si="1"/>
        <v>0</v>
      </c>
      <c r="K75" s="2" t="str">
        <f t="shared" si="2"/>
        <v xml:space="preserve"> </v>
      </c>
      <c r="L75" s="2" t="str">
        <f t="shared" si="3"/>
        <v xml:space="preserve"> </v>
      </c>
      <c r="M75" s="2" t="str">
        <f t="shared" si="4"/>
        <v xml:space="preserve"> </v>
      </c>
    </row>
    <row r="76" spans="1:13" x14ac:dyDescent="0.25">
      <c r="A76" s="34" t="str">
        <f t="shared" si="0"/>
        <v xml:space="preserve"> </v>
      </c>
      <c r="D76" s="33"/>
      <c r="E76" s="33"/>
      <c r="J76" s="14">
        <f t="shared" si="1"/>
        <v>0</v>
      </c>
      <c r="K76" s="2" t="str">
        <f t="shared" si="2"/>
        <v xml:space="preserve"> </v>
      </c>
      <c r="L76" s="2" t="str">
        <f t="shared" si="3"/>
        <v xml:space="preserve"> </v>
      </c>
      <c r="M76" s="2" t="str">
        <f t="shared" si="4"/>
        <v xml:space="preserve"> </v>
      </c>
    </row>
    <row r="77" spans="1:13" x14ac:dyDescent="0.25">
      <c r="A77" s="34" t="str">
        <f t="shared" si="0"/>
        <v xml:space="preserve"> </v>
      </c>
      <c r="D77" s="33"/>
      <c r="E77" s="33"/>
      <c r="J77" s="14">
        <f t="shared" si="1"/>
        <v>0</v>
      </c>
      <c r="K77" s="2" t="str">
        <f t="shared" si="2"/>
        <v xml:space="preserve"> </v>
      </c>
      <c r="L77" s="2" t="str">
        <f t="shared" si="3"/>
        <v xml:space="preserve"> </v>
      </c>
      <c r="M77" s="2" t="str">
        <f t="shared" si="4"/>
        <v xml:space="preserve"> </v>
      </c>
    </row>
    <row r="78" spans="1:13" x14ac:dyDescent="0.25">
      <c r="A78" s="34" t="str">
        <f t="shared" si="0"/>
        <v xml:space="preserve"> </v>
      </c>
      <c r="D78" s="33"/>
      <c r="E78" s="33"/>
      <c r="J78" s="14">
        <f t="shared" si="1"/>
        <v>0</v>
      </c>
      <c r="K78" s="2" t="str">
        <f t="shared" si="2"/>
        <v xml:space="preserve"> </v>
      </c>
      <c r="L78" s="2" t="str">
        <f t="shared" si="3"/>
        <v xml:space="preserve"> </v>
      </c>
      <c r="M78" s="2" t="str">
        <f t="shared" si="4"/>
        <v xml:space="preserve"> </v>
      </c>
    </row>
    <row r="79" spans="1:13" x14ac:dyDescent="0.25">
      <c r="A79" s="34" t="str">
        <f t="shared" ref="A79:A142" si="5">IF(COUNTIF(K79:M79,"ERROR")&gt;0,"ERROR"," ")</f>
        <v xml:space="preserve"> </v>
      </c>
      <c r="D79" s="33"/>
      <c r="E79" s="33"/>
      <c r="J79" s="14">
        <f t="shared" ref="J79:J142" si="6">F79-G79+H79-I79</f>
        <v>0</v>
      </c>
      <c r="K79" s="2" t="str">
        <f t="shared" si="2"/>
        <v xml:space="preserve"> </v>
      </c>
      <c r="L79" s="2" t="str">
        <f t="shared" si="3"/>
        <v xml:space="preserve"> </v>
      </c>
      <c r="M79" s="2" t="str">
        <f t="shared" si="4"/>
        <v xml:space="preserve"> </v>
      </c>
    </row>
    <row r="80" spans="1:13" x14ac:dyDescent="0.25">
      <c r="A80" s="34" t="str">
        <f t="shared" si="5"/>
        <v xml:space="preserve"> </v>
      </c>
      <c r="D80" s="33"/>
      <c r="E80" s="33"/>
      <c r="J80" s="14">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x14ac:dyDescent="0.25">
      <c r="A81" s="34" t="str">
        <f t="shared" si="5"/>
        <v xml:space="preserve"> </v>
      </c>
      <c r="D81" s="33"/>
      <c r="E81" s="33"/>
      <c r="J81" s="14">
        <f t="shared" si="6"/>
        <v>0</v>
      </c>
      <c r="K81" s="2" t="str">
        <f t="shared" si="7"/>
        <v xml:space="preserve"> </v>
      </c>
      <c r="L81" s="2" t="str">
        <f t="shared" si="8"/>
        <v xml:space="preserve"> </v>
      </c>
      <c r="M81" s="2" t="str">
        <f t="shared" si="9"/>
        <v xml:space="preserve"> </v>
      </c>
    </row>
    <row r="82" spans="1:13" x14ac:dyDescent="0.25">
      <c r="A82" s="34" t="str">
        <f t="shared" si="5"/>
        <v xml:space="preserve"> </v>
      </c>
      <c r="D82" s="33"/>
      <c r="E82" s="33"/>
      <c r="J82" s="14">
        <f t="shared" si="6"/>
        <v>0</v>
      </c>
      <c r="K82" s="2" t="str">
        <f t="shared" si="7"/>
        <v xml:space="preserve"> </v>
      </c>
      <c r="L82" s="2" t="str">
        <f t="shared" si="8"/>
        <v xml:space="preserve"> </v>
      </c>
      <c r="M82" s="2" t="str">
        <f t="shared" si="9"/>
        <v xml:space="preserve"> </v>
      </c>
    </row>
    <row r="83" spans="1:13" x14ac:dyDescent="0.25">
      <c r="A83" s="34" t="str">
        <f t="shared" si="5"/>
        <v xml:space="preserve"> </v>
      </c>
      <c r="D83" s="33"/>
      <c r="E83" s="33"/>
      <c r="J83" s="14">
        <f t="shared" si="6"/>
        <v>0</v>
      </c>
      <c r="K83" s="2" t="str">
        <f t="shared" si="7"/>
        <v xml:space="preserve"> </v>
      </c>
      <c r="L83" s="2" t="str">
        <f t="shared" si="8"/>
        <v xml:space="preserve"> </v>
      </c>
      <c r="M83" s="2" t="str">
        <f t="shared" si="9"/>
        <v xml:space="preserve"> </v>
      </c>
    </row>
    <row r="84" spans="1:13" x14ac:dyDescent="0.25">
      <c r="A84" s="34" t="str">
        <f t="shared" si="5"/>
        <v xml:space="preserve"> </v>
      </c>
      <c r="D84" s="33"/>
      <c r="E84" s="33"/>
      <c r="J84" s="14">
        <f t="shared" si="6"/>
        <v>0</v>
      </c>
      <c r="K84" s="2" t="str">
        <f t="shared" si="7"/>
        <v xml:space="preserve"> </v>
      </c>
      <c r="L84" s="2" t="str">
        <f t="shared" si="8"/>
        <v xml:space="preserve"> </v>
      </c>
      <c r="M84" s="2" t="str">
        <f t="shared" si="9"/>
        <v xml:space="preserve"> </v>
      </c>
    </row>
    <row r="85" spans="1:13" x14ac:dyDescent="0.25">
      <c r="A85" s="34" t="str">
        <f t="shared" si="5"/>
        <v xml:space="preserve"> </v>
      </c>
      <c r="D85" s="33"/>
      <c r="E85" s="33"/>
      <c r="J85" s="14">
        <f t="shared" si="6"/>
        <v>0</v>
      </c>
      <c r="K85" s="2" t="str">
        <f t="shared" si="7"/>
        <v xml:space="preserve"> </v>
      </c>
      <c r="L85" s="2" t="str">
        <f t="shared" si="8"/>
        <v xml:space="preserve"> </v>
      </c>
      <c r="M85" s="2" t="str">
        <f t="shared" si="9"/>
        <v xml:space="preserve"> </v>
      </c>
    </row>
    <row r="86" spans="1:13" x14ac:dyDescent="0.25">
      <c r="A86" s="34" t="str">
        <f t="shared" si="5"/>
        <v xml:space="preserve"> </v>
      </c>
      <c r="D86" s="33"/>
      <c r="E86" s="33"/>
      <c r="J86" s="14">
        <f t="shared" si="6"/>
        <v>0</v>
      </c>
      <c r="K86" s="2" t="str">
        <f t="shared" si="7"/>
        <v xml:space="preserve"> </v>
      </c>
      <c r="L86" s="2" t="str">
        <f t="shared" si="8"/>
        <v xml:space="preserve"> </v>
      </c>
      <c r="M86" s="2" t="str">
        <f t="shared" si="9"/>
        <v xml:space="preserve"> </v>
      </c>
    </row>
    <row r="87" spans="1:13" x14ac:dyDescent="0.25">
      <c r="A87" s="34" t="str">
        <f t="shared" si="5"/>
        <v xml:space="preserve"> </v>
      </c>
      <c r="D87" s="53"/>
      <c r="E87" s="33"/>
      <c r="J87" s="14">
        <f t="shared" si="6"/>
        <v>0</v>
      </c>
      <c r="K87" s="2" t="str">
        <f t="shared" si="7"/>
        <v xml:space="preserve"> </v>
      </c>
      <c r="L87" s="2" t="str">
        <f t="shared" si="8"/>
        <v xml:space="preserve"> </v>
      </c>
      <c r="M87" s="2" t="str">
        <f t="shared" si="9"/>
        <v xml:space="preserve"> </v>
      </c>
    </row>
    <row r="88" spans="1:13" x14ac:dyDescent="0.25">
      <c r="A88" s="34" t="str">
        <f t="shared" si="5"/>
        <v xml:space="preserve"> </v>
      </c>
      <c r="D88" s="33"/>
      <c r="E88" s="33"/>
      <c r="J88" s="14">
        <f t="shared" si="6"/>
        <v>0</v>
      </c>
      <c r="K88" s="2" t="str">
        <f t="shared" si="7"/>
        <v xml:space="preserve"> </v>
      </c>
      <c r="L88" s="2" t="str">
        <f t="shared" si="8"/>
        <v xml:space="preserve"> </v>
      </c>
      <c r="M88" s="2" t="str">
        <f t="shared" si="9"/>
        <v xml:space="preserve"> </v>
      </c>
    </row>
    <row r="89" spans="1:13" x14ac:dyDescent="0.25">
      <c r="A89" s="34" t="str">
        <f t="shared" si="5"/>
        <v xml:space="preserve"> </v>
      </c>
      <c r="D89" s="33"/>
      <c r="E89" s="33"/>
      <c r="J89" s="14">
        <f t="shared" si="6"/>
        <v>0</v>
      </c>
      <c r="K89" s="2" t="str">
        <f t="shared" si="7"/>
        <v xml:space="preserve"> </v>
      </c>
      <c r="L89" s="2" t="str">
        <f t="shared" si="8"/>
        <v xml:space="preserve"> </v>
      </c>
      <c r="M89" s="2" t="str">
        <f t="shared" si="9"/>
        <v xml:space="preserve"> </v>
      </c>
    </row>
    <row r="90" spans="1:13" x14ac:dyDescent="0.25">
      <c r="A90" s="34" t="str">
        <f t="shared" si="5"/>
        <v xml:space="preserve"> </v>
      </c>
      <c r="D90" s="33"/>
      <c r="E90" s="33"/>
      <c r="J90" s="14">
        <f t="shared" si="6"/>
        <v>0</v>
      </c>
      <c r="K90" s="2" t="str">
        <f t="shared" si="7"/>
        <v xml:space="preserve"> </v>
      </c>
      <c r="L90" s="2" t="str">
        <f t="shared" si="8"/>
        <v xml:space="preserve"> </v>
      </c>
      <c r="M90" s="2" t="str">
        <f t="shared" si="9"/>
        <v xml:space="preserve"> </v>
      </c>
    </row>
    <row r="91" spans="1:13" x14ac:dyDescent="0.25">
      <c r="A91" s="34" t="str">
        <f t="shared" si="5"/>
        <v xml:space="preserve"> </v>
      </c>
      <c r="D91" s="33"/>
      <c r="E91" s="33"/>
      <c r="J91" s="14">
        <f t="shared" si="6"/>
        <v>0</v>
      </c>
      <c r="K91" s="2" t="str">
        <f t="shared" si="7"/>
        <v xml:space="preserve"> </v>
      </c>
      <c r="L91" s="2" t="str">
        <f t="shared" si="8"/>
        <v xml:space="preserve"> </v>
      </c>
      <c r="M91" s="2" t="str">
        <f t="shared" si="9"/>
        <v xml:space="preserve"> </v>
      </c>
    </row>
    <row r="92" spans="1:13" x14ac:dyDescent="0.25">
      <c r="A92" s="34" t="str">
        <f t="shared" si="5"/>
        <v xml:space="preserve"> </v>
      </c>
      <c r="D92" s="33"/>
      <c r="E92" s="33"/>
      <c r="J92" s="14">
        <f t="shared" si="6"/>
        <v>0</v>
      </c>
      <c r="K92" s="2" t="str">
        <f t="shared" si="7"/>
        <v xml:space="preserve"> </v>
      </c>
      <c r="L92" s="2" t="str">
        <f t="shared" si="8"/>
        <v xml:space="preserve"> </v>
      </c>
      <c r="M92" s="2" t="str">
        <f t="shared" si="9"/>
        <v xml:space="preserve"> </v>
      </c>
    </row>
    <row r="93" spans="1:13" x14ac:dyDescent="0.25">
      <c r="A93" s="34" t="str">
        <f t="shared" si="5"/>
        <v xml:space="preserve"> </v>
      </c>
      <c r="D93" s="33"/>
      <c r="E93" s="33"/>
      <c r="J93" s="14">
        <f t="shared" si="6"/>
        <v>0</v>
      </c>
      <c r="K93" s="2" t="str">
        <f t="shared" si="7"/>
        <v xml:space="preserve"> </v>
      </c>
      <c r="L93" s="2" t="str">
        <f t="shared" si="8"/>
        <v xml:space="preserve"> </v>
      </c>
      <c r="M93" s="2" t="str">
        <f t="shared" si="9"/>
        <v xml:space="preserve"> </v>
      </c>
    </row>
    <row r="94" spans="1:13" x14ac:dyDescent="0.25">
      <c r="A94" s="34" t="str">
        <f t="shared" si="5"/>
        <v xml:space="preserve"> </v>
      </c>
      <c r="D94" s="33"/>
      <c r="E94" s="33"/>
      <c r="J94" s="14">
        <f t="shared" si="6"/>
        <v>0</v>
      </c>
      <c r="K94" s="2" t="str">
        <f t="shared" si="7"/>
        <v xml:space="preserve"> </v>
      </c>
      <c r="L94" s="2" t="str">
        <f t="shared" si="8"/>
        <v xml:space="preserve"> </v>
      </c>
      <c r="M94" s="2" t="str">
        <f t="shared" si="9"/>
        <v xml:space="preserve"> </v>
      </c>
    </row>
    <row r="95" spans="1:13" x14ac:dyDescent="0.25">
      <c r="A95" s="34" t="str">
        <f t="shared" si="5"/>
        <v xml:space="preserve"> </v>
      </c>
      <c r="D95" s="33"/>
      <c r="E95" s="33"/>
      <c r="J95" s="14">
        <f t="shared" si="6"/>
        <v>0</v>
      </c>
      <c r="K95" s="2" t="str">
        <f t="shared" si="7"/>
        <v xml:space="preserve"> </v>
      </c>
      <c r="L95" s="2" t="str">
        <f t="shared" si="8"/>
        <v xml:space="preserve"> </v>
      </c>
      <c r="M95" s="2" t="str">
        <f t="shared" si="9"/>
        <v xml:space="preserve"> </v>
      </c>
    </row>
    <row r="96" spans="1:13" x14ac:dyDescent="0.25">
      <c r="A96" s="34" t="str">
        <f t="shared" si="5"/>
        <v xml:space="preserve"> </v>
      </c>
      <c r="D96" s="33"/>
      <c r="E96" s="33"/>
      <c r="J96" s="14">
        <f t="shared" si="6"/>
        <v>0</v>
      </c>
      <c r="K96" s="2" t="str">
        <f t="shared" si="7"/>
        <v xml:space="preserve"> </v>
      </c>
      <c r="L96" s="2" t="str">
        <f t="shared" si="8"/>
        <v xml:space="preserve"> </v>
      </c>
      <c r="M96" s="2" t="str">
        <f t="shared" si="9"/>
        <v xml:space="preserve"> </v>
      </c>
    </row>
    <row r="97" spans="1:13" x14ac:dyDescent="0.25">
      <c r="A97" s="34" t="str">
        <f t="shared" si="5"/>
        <v xml:space="preserve"> </v>
      </c>
      <c r="D97" s="33"/>
      <c r="E97" s="33"/>
      <c r="J97" s="14">
        <f t="shared" si="6"/>
        <v>0</v>
      </c>
      <c r="K97" s="2" t="str">
        <f t="shared" si="7"/>
        <v xml:space="preserve"> </v>
      </c>
      <c r="L97" s="2" t="str">
        <f t="shared" si="8"/>
        <v xml:space="preserve"> </v>
      </c>
      <c r="M97" s="2" t="str">
        <f t="shared" si="9"/>
        <v xml:space="preserve"> </v>
      </c>
    </row>
    <row r="98" spans="1:13" x14ac:dyDescent="0.25">
      <c r="A98" s="34" t="str">
        <f t="shared" si="5"/>
        <v xml:space="preserve"> </v>
      </c>
      <c r="D98" s="33"/>
      <c r="E98" s="33"/>
      <c r="J98" s="14">
        <f t="shared" si="6"/>
        <v>0</v>
      </c>
      <c r="K98" s="2" t="str">
        <f t="shared" si="7"/>
        <v xml:space="preserve"> </v>
      </c>
      <c r="L98" s="2" t="str">
        <f t="shared" si="8"/>
        <v xml:space="preserve"> </v>
      </c>
      <c r="M98" s="2" t="str">
        <f t="shared" si="9"/>
        <v xml:space="preserve"> </v>
      </c>
    </row>
    <row r="99" spans="1:13" x14ac:dyDescent="0.25">
      <c r="A99" s="34" t="str">
        <f t="shared" si="5"/>
        <v xml:space="preserve"> </v>
      </c>
      <c r="D99" s="33"/>
      <c r="E99" s="33"/>
      <c r="J99" s="14">
        <f t="shared" si="6"/>
        <v>0</v>
      </c>
      <c r="K99" s="2" t="str">
        <f t="shared" si="7"/>
        <v xml:space="preserve"> </v>
      </c>
      <c r="L99" s="2" t="str">
        <f t="shared" si="8"/>
        <v xml:space="preserve"> </v>
      </c>
      <c r="M99" s="2" t="str">
        <f t="shared" si="9"/>
        <v xml:space="preserve"> </v>
      </c>
    </row>
    <row r="100" spans="1:13" x14ac:dyDescent="0.25">
      <c r="A100" s="34" t="str">
        <f t="shared" si="5"/>
        <v xml:space="preserve"> </v>
      </c>
      <c r="D100" s="33"/>
      <c r="E100" s="33"/>
      <c r="J100" s="14">
        <f t="shared" si="6"/>
        <v>0</v>
      </c>
      <c r="K100" s="2" t="str">
        <f t="shared" si="7"/>
        <v xml:space="preserve"> </v>
      </c>
      <c r="L100" s="2" t="str">
        <f t="shared" si="8"/>
        <v xml:space="preserve"> </v>
      </c>
      <c r="M100" s="2" t="str">
        <f t="shared" si="9"/>
        <v xml:space="preserve"> </v>
      </c>
    </row>
    <row r="101" spans="1:13" x14ac:dyDescent="0.25">
      <c r="A101" s="34" t="str">
        <f t="shared" si="5"/>
        <v xml:space="preserve"> </v>
      </c>
      <c r="D101" s="33"/>
      <c r="E101" s="33"/>
      <c r="J101" s="14">
        <f t="shared" si="6"/>
        <v>0</v>
      </c>
      <c r="K101" s="2" t="str">
        <f t="shared" si="7"/>
        <v xml:space="preserve"> </v>
      </c>
      <c r="L101" s="2" t="str">
        <f t="shared" si="8"/>
        <v xml:space="preserve"> </v>
      </c>
      <c r="M101" s="2" t="str">
        <f t="shared" si="9"/>
        <v xml:space="preserve"> </v>
      </c>
    </row>
    <row r="102" spans="1:13" x14ac:dyDescent="0.25">
      <c r="A102" s="34" t="str">
        <f t="shared" si="5"/>
        <v xml:space="preserve"> </v>
      </c>
      <c r="D102" s="33"/>
      <c r="E102" s="33"/>
      <c r="J102" s="14">
        <f t="shared" si="6"/>
        <v>0</v>
      </c>
      <c r="K102" s="2" t="str">
        <f t="shared" si="7"/>
        <v xml:space="preserve"> </v>
      </c>
      <c r="L102" s="2" t="str">
        <f t="shared" si="8"/>
        <v xml:space="preserve"> </v>
      </c>
      <c r="M102" s="2" t="str">
        <f t="shared" si="9"/>
        <v xml:space="preserve"> </v>
      </c>
    </row>
    <row r="103" spans="1:13" x14ac:dyDescent="0.25">
      <c r="A103" s="34" t="str">
        <f t="shared" si="5"/>
        <v xml:space="preserve"> </v>
      </c>
      <c r="D103" s="33"/>
      <c r="E103" s="33"/>
      <c r="J103" s="14">
        <f t="shared" si="6"/>
        <v>0</v>
      </c>
      <c r="K103" s="2" t="str">
        <f t="shared" si="7"/>
        <v xml:space="preserve"> </v>
      </c>
      <c r="L103" s="2" t="str">
        <f t="shared" si="8"/>
        <v xml:space="preserve"> </v>
      </c>
      <c r="M103" s="2" t="str">
        <f t="shared" si="9"/>
        <v xml:space="preserve"> </v>
      </c>
    </row>
    <row r="104" spans="1:13" x14ac:dyDescent="0.25">
      <c r="A104" s="34" t="str">
        <f t="shared" si="5"/>
        <v xml:space="preserve"> </v>
      </c>
      <c r="D104" s="33"/>
      <c r="E104" s="33"/>
      <c r="J104" s="14">
        <f t="shared" si="6"/>
        <v>0</v>
      </c>
      <c r="K104" s="2" t="str">
        <f t="shared" si="7"/>
        <v xml:space="preserve"> </v>
      </c>
      <c r="L104" s="2" t="str">
        <f t="shared" si="8"/>
        <v xml:space="preserve"> </v>
      </c>
      <c r="M104" s="2" t="str">
        <f t="shared" si="9"/>
        <v xml:space="preserve"> </v>
      </c>
    </row>
    <row r="105" spans="1:13" x14ac:dyDescent="0.25">
      <c r="A105" s="34" t="str">
        <f t="shared" si="5"/>
        <v xml:space="preserve"> </v>
      </c>
      <c r="D105" s="33"/>
      <c r="E105" s="33"/>
      <c r="J105" s="14">
        <f t="shared" si="6"/>
        <v>0</v>
      </c>
      <c r="K105" s="2" t="str">
        <f t="shared" si="7"/>
        <v xml:space="preserve"> </v>
      </c>
      <c r="L105" s="2" t="str">
        <f t="shared" si="8"/>
        <v xml:space="preserve"> </v>
      </c>
      <c r="M105" s="2" t="str">
        <f t="shared" si="9"/>
        <v xml:space="preserve"> </v>
      </c>
    </row>
    <row r="106" spans="1:13" x14ac:dyDescent="0.25">
      <c r="A106" s="34" t="str">
        <f t="shared" si="5"/>
        <v xml:space="preserve"> </v>
      </c>
      <c r="D106" s="33"/>
      <c r="E106" s="33"/>
      <c r="J106" s="14">
        <f t="shared" si="6"/>
        <v>0</v>
      </c>
      <c r="K106" s="2" t="str">
        <f t="shared" si="7"/>
        <v xml:space="preserve"> </v>
      </c>
      <c r="L106" s="2" t="str">
        <f t="shared" si="8"/>
        <v xml:space="preserve"> </v>
      </c>
      <c r="M106" s="2" t="str">
        <f t="shared" si="9"/>
        <v xml:space="preserve"> </v>
      </c>
    </row>
    <row r="107" spans="1:13" x14ac:dyDescent="0.25">
      <c r="A107" s="34" t="str">
        <f t="shared" si="5"/>
        <v xml:space="preserve"> </v>
      </c>
      <c r="D107" s="33"/>
      <c r="E107" s="33"/>
      <c r="J107" s="14">
        <f t="shared" si="6"/>
        <v>0</v>
      </c>
      <c r="K107" s="2" t="str">
        <f t="shared" si="7"/>
        <v xml:space="preserve"> </v>
      </c>
      <c r="L107" s="2" t="str">
        <f t="shared" si="8"/>
        <v xml:space="preserve"> </v>
      </c>
      <c r="M107" s="2" t="str">
        <f t="shared" si="9"/>
        <v xml:space="preserve"> </v>
      </c>
    </row>
    <row r="108" spans="1:13" x14ac:dyDescent="0.25">
      <c r="A108" s="34" t="str">
        <f t="shared" si="5"/>
        <v xml:space="preserve"> </v>
      </c>
      <c r="D108" s="33"/>
      <c r="E108" s="33"/>
      <c r="J108" s="14">
        <f t="shared" si="6"/>
        <v>0</v>
      </c>
      <c r="K108" s="2" t="str">
        <f t="shared" si="7"/>
        <v xml:space="preserve"> </v>
      </c>
      <c r="L108" s="2" t="str">
        <f t="shared" si="8"/>
        <v xml:space="preserve"> </v>
      </c>
      <c r="M108" s="2" t="str">
        <f t="shared" si="9"/>
        <v xml:space="preserve"> </v>
      </c>
    </row>
    <row r="109" spans="1:13" x14ac:dyDescent="0.25">
      <c r="A109" s="34" t="str">
        <f t="shared" si="5"/>
        <v xml:space="preserve"> </v>
      </c>
      <c r="D109" s="33"/>
      <c r="E109" s="33"/>
      <c r="J109" s="14">
        <f t="shared" si="6"/>
        <v>0</v>
      </c>
      <c r="K109" s="2" t="str">
        <f t="shared" si="7"/>
        <v xml:space="preserve"> </v>
      </c>
      <c r="L109" s="2" t="str">
        <f t="shared" si="8"/>
        <v xml:space="preserve"> </v>
      </c>
      <c r="M109" s="2" t="str">
        <f t="shared" si="9"/>
        <v xml:space="preserve"> </v>
      </c>
    </row>
    <row r="110" spans="1:13" x14ac:dyDescent="0.25">
      <c r="A110" s="34" t="str">
        <f t="shared" si="5"/>
        <v xml:space="preserve"> </v>
      </c>
      <c r="B110" s="17"/>
      <c r="D110" s="33"/>
      <c r="E110" s="33"/>
      <c r="J110" s="14">
        <f t="shared" si="6"/>
        <v>0</v>
      </c>
      <c r="K110" s="2" t="str">
        <f t="shared" si="7"/>
        <v xml:space="preserve"> </v>
      </c>
      <c r="L110" s="2" t="str">
        <f t="shared" si="8"/>
        <v xml:space="preserve"> </v>
      </c>
      <c r="M110" s="2" t="str">
        <f t="shared" si="9"/>
        <v xml:space="preserve"> </v>
      </c>
    </row>
    <row r="111" spans="1:13" x14ac:dyDescent="0.25">
      <c r="A111" s="34" t="str">
        <f t="shared" si="5"/>
        <v xml:space="preserve"> </v>
      </c>
      <c r="D111" s="33"/>
      <c r="E111" s="33"/>
      <c r="J111" s="14">
        <f t="shared" si="6"/>
        <v>0</v>
      </c>
      <c r="K111" s="2" t="str">
        <f t="shared" si="7"/>
        <v xml:space="preserve"> </v>
      </c>
      <c r="L111" s="2" t="str">
        <f t="shared" si="8"/>
        <v xml:space="preserve"> </v>
      </c>
      <c r="M111" s="2" t="str">
        <f t="shared" si="9"/>
        <v xml:space="preserve"> </v>
      </c>
    </row>
    <row r="112" spans="1:13" x14ac:dyDescent="0.25">
      <c r="A112" s="34" t="str">
        <f t="shared" si="5"/>
        <v xml:space="preserve"> </v>
      </c>
      <c r="D112" s="33"/>
      <c r="E112" s="33"/>
      <c r="J112" s="14">
        <f t="shared" si="6"/>
        <v>0</v>
      </c>
      <c r="K112" s="2" t="str">
        <f t="shared" si="7"/>
        <v xml:space="preserve"> </v>
      </c>
      <c r="L112" s="2" t="str">
        <f t="shared" si="8"/>
        <v xml:space="preserve"> </v>
      </c>
      <c r="M112" s="2" t="str">
        <f t="shared" si="9"/>
        <v xml:space="preserve"> </v>
      </c>
    </row>
    <row r="113" spans="1:13" x14ac:dyDescent="0.25">
      <c r="A113" s="34" t="str">
        <f t="shared" si="5"/>
        <v xml:space="preserve"> </v>
      </c>
      <c r="D113" s="33"/>
      <c r="E113" s="33"/>
      <c r="J113" s="14">
        <f t="shared" si="6"/>
        <v>0</v>
      </c>
      <c r="K113" s="2" t="str">
        <f t="shared" si="7"/>
        <v xml:space="preserve"> </v>
      </c>
      <c r="L113" s="2" t="str">
        <f t="shared" si="8"/>
        <v xml:space="preserve"> </v>
      </c>
      <c r="M113" s="2" t="str">
        <f t="shared" si="9"/>
        <v xml:space="preserve"> </v>
      </c>
    </row>
    <row r="114" spans="1:13" x14ac:dyDescent="0.25">
      <c r="A114" s="34" t="str">
        <f t="shared" si="5"/>
        <v xml:space="preserve"> </v>
      </c>
      <c r="D114" s="33"/>
      <c r="E114" s="33"/>
      <c r="J114" s="14">
        <f t="shared" si="6"/>
        <v>0</v>
      </c>
      <c r="K114" s="2" t="str">
        <f t="shared" si="7"/>
        <v xml:space="preserve"> </v>
      </c>
      <c r="L114" s="2" t="str">
        <f t="shared" si="8"/>
        <v xml:space="preserve"> </v>
      </c>
      <c r="M114" s="2" t="str">
        <f t="shared" si="9"/>
        <v xml:space="preserve"> </v>
      </c>
    </row>
    <row r="115" spans="1:13" x14ac:dyDescent="0.25">
      <c r="A115" s="34" t="str">
        <f t="shared" si="5"/>
        <v xml:space="preserve"> </v>
      </c>
      <c r="D115" s="33"/>
      <c r="E115" s="33"/>
      <c r="J115" s="14">
        <f t="shared" si="6"/>
        <v>0</v>
      </c>
      <c r="K115" s="2" t="str">
        <f t="shared" si="7"/>
        <v xml:space="preserve"> </v>
      </c>
      <c r="L115" s="2" t="str">
        <f t="shared" si="8"/>
        <v xml:space="preserve"> </v>
      </c>
      <c r="M115" s="2" t="str">
        <f t="shared" si="9"/>
        <v xml:space="preserve"> </v>
      </c>
    </row>
    <row r="116" spans="1:13" x14ac:dyDescent="0.25">
      <c r="A116" s="34" t="str">
        <f t="shared" si="5"/>
        <v xml:space="preserve"> </v>
      </c>
      <c r="D116" s="33"/>
      <c r="E116" s="33"/>
      <c r="J116" s="14">
        <f t="shared" si="6"/>
        <v>0</v>
      </c>
      <c r="K116" s="2" t="str">
        <f t="shared" si="7"/>
        <v xml:space="preserve"> </v>
      </c>
      <c r="L116" s="2" t="str">
        <f t="shared" si="8"/>
        <v xml:space="preserve"> </v>
      </c>
      <c r="M116" s="2" t="str">
        <f t="shared" si="9"/>
        <v xml:space="preserve"> </v>
      </c>
    </row>
    <row r="117" spans="1:13" x14ac:dyDescent="0.25">
      <c r="A117" s="34" t="str">
        <f t="shared" si="5"/>
        <v xml:space="preserve"> </v>
      </c>
      <c r="D117" s="33"/>
      <c r="E117" s="33"/>
      <c r="J117" s="14">
        <f t="shared" si="6"/>
        <v>0</v>
      </c>
      <c r="K117" s="2" t="str">
        <f t="shared" si="7"/>
        <v xml:space="preserve"> </v>
      </c>
      <c r="L117" s="2" t="str">
        <f t="shared" si="8"/>
        <v xml:space="preserve"> </v>
      </c>
      <c r="M117" s="2" t="str">
        <f t="shared" si="9"/>
        <v xml:space="preserve"> </v>
      </c>
    </row>
    <row r="118" spans="1:13" x14ac:dyDescent="0.25">
      <c r="A118" s="34" t="str">
        <f t="shared" si="5"/>
        <v xml:space="preserve"> </v>
      </c>
      <c r="D118" s="33"/>
      <c r="E118" s="33"/>
      <c r="J118" s="14">
        <f t="shared" si="6"/>
        <v>0</v>
      </c>
      <c r="K118" s="2" t="str">
        <f t="shared" si="7"/>
        <v xml:space="preserve"> </v>
      </c>
      <c r="L118" s="2" t="str">
        <f t="shared" si="8"/>
        <v xml:space="preserve"> </v>
      </c>
      <c r="M118" s="2" t="str">
        <f t="shared" si="9"/>
        <v xml:space="preserve"> </v>
      </c>
    </row>
    <row r="119" spans="1:13" x14ac:dyDescent="0.25">
      <c r="A119" s="34" t="str">
        <f t="shared" si="5"/>
        <v xml:space="preserve"> </v>
      </c>
      <c r="D119" s="33"/>
      <c r="E119" s="33"/>
      <c r="J119" s="14">
        <f t="shared" si="6"/>
        <v>0</v>
      </c>
      <c r="K119" s="2" t="str">
        <f t="shared" si="7"/>
        <v xml:space="preserve"> </v>
      </c>
      <c r="L119" s="2" t="str">
        <f t="shared" si="8"/>
        <v xml:space="preserve"> </v>
      </c>
      <c r="M119" s="2" t="str">
        <f t="shared" si="9"/>
        <v xml:space="preserve"> </v>
      </c>
    </row>
    <row r="120" spans="1:13" x14ac:dyDescent="0.25">
      <c r="A120" s="34" t="str">
        <f t="shared" si="5"/>
        <v xml:space="preserve"> </v>
      </c>
      <c r="D120" s="33"/>
      <c r="E120" s="33"/>
      <c r="J120" s="14">
        <f t="shared" si="6"/>
        <v>0</v>
      </c>
      <c r="K120" s="2" t="str">
        <f t="shared" si="7"/>
        <v xml:space="preserve"> </v>
      </c>
      <c r="L120" s="2" t="str">
        <f t="shared" si="8"/>
        <v xml:space="preserve"> </v>
      </c>
      <c r="M120" s="2" t="str">
        <f t="shared" si="9"/>
        <v xml:space="preserve"> </v>
      </c>
    </row>
    <row r="121" spans="1:13" x14ac:dyDescent="0.25">
      <c r="A121" s="34" t="str">
        <f t="shared" si="5"/>
        <v xml:space="preserve"> </v>
      </c>
      <c r="D121" s="33"/>
      <c r="E121" s="33"/>
      <c r="J121" s="14">
        <f t="shared" si="6"/>
        <v>0</v>
      </c>
      <c r="K121" s="2" t="str">
        <f t="shared" si="7"/>
        <v xml:space="preserve"> </v>
      </c>
      <c r="L121" s="2" t="str">
        <f t="shared" si="8"/>
        <v xml:space="preserve"> </v>
      </c>
      <c r="M121" s="2" t="str">
        <f t="shared" si="9"/>
        <v xml:space="preserve"> </v>
      </c>
    </row>
    <row r="122" spans="1:13" x14ac:dyDescent="0.25">
      <c r="A122" s="34" t="str">
        <f t="shared" si="5"/>
        <v xml:space="preserve"> </v>
      </c>
      <c r="D122" s="33"/>
      <c r="E122" s="33"/>
      <c r="J122" s="14">
        <f t="shared" si="6"/>
        <v>0</v>
      </c>
      <c r="K122" s="2" t="str">
        <f t="shared" si="7"/>
        <v xml:space="preserve"> </v>
      </c>
      <c r="L122" s="2" t="str">
        <f t="shared" si="8"/>
        <v xml:space="preserve"> </v>
      </c>
      <c r="M122" s="2" t="str">
        <f t="shared" si="9"/>
        <v xml:space="preserve"> </v>
      </c>
    </row>
    <row r="123" spans="1:13" x14ac:dyDescent="0.25">
      <c r="A123" s="34" t="str">
        <f t="shared" si="5"/>
        <v xml:space="preserve"> </v>
      </c>
      <c r="D123" s="33"/>
      <c r="E123" s="33"/>
      <c r="J123" s="14">
        <f t="shared" si="6"/>
        <v>0</v>
      </c>
      <c r="K123" s="2" t="str">
        <f t="shared" si="7"/>
        <v xml:space="preserve"> </v>
      </c>
      <c r="L123" s="2" t="str">
        <f t="shared" si="8"/>
        <v xml:space="preserve"> </v>
      </c>
      <c r="M123" s="2" t="str">
        <f t="shared" si="9"/>
        <v xml:space="preserve"> </v>
      </c>
    </row>
    <row r="124" spans="1:13" x14ac:dyDescent="0.25">
      <c r="A124" s="34" t="str">
        <f t="shared" si="5"/>
        <v xml:space="preserve"> </v>
      </c>
      <c r="C124" s="40"/>
      <c r="D124" s="33"/>
      <c r="E124" s="33"/>
      <c r="J124" s="14">
        <f t="shared" si="6"/>
        <v>0</v>
      </c>
      <c r="K124" s="2" t="str">
        <f t="shared" si="7"/>
        <v xml:space="preserve"> </v>
      </c>
      <c r="L124" s="2" t="str">
        <f t="shared" si="8"/>
        <v xml:space="preserve"> </v>
      </c>
      <c r="M124" s="2" t="str">
        <f t="shared" si="9"/>
        <v xml:space="preserve"> </v>
      </c>
    </row>
    <row r="125" spans="1:13" x14ac:dyDescent="0.25">
      <c r="A125" s="34" t="str">
        <f t="shared" si="5"/>
        <v xml:space="preserve"> </v>
      </c>
      <c r="D125" s="33"/>
      <c r="E125" s="33"/>
      <c r="J125" s="14">
        <f t="shared" si="6"/>
        <v>0</v>
      </c>
      <c r="K125" s="2" t="str">
        <f t="shared" si="7"/>
        <v xml:space="preserve"> </v>
      </c>
      <c r="L125" s="2" t="str">
        <f t="shared" si="8"/>
        <v xml:space="preserve"> </v>
      </c>
      <c r="M125" s="2" t="str">
        <f t="shared" si="9"/>
        <v xml:space="preserve"> </v>
      </c>
    </row>
    <row r="126" spans="1:13" x14ac:dyDescent="0.25">
      <c r="A126" s="34" t="str">
        <f t="shared" si="5"/>
        <v xml:space="preserve"> </v>
      </c>
      <c r="D126" s="33"/>
      <c r="E126" s="33"/>
      <c r="J126" s="14">
        <f t="shared" si="6"/>
        <v>0</v>
      </c>
      <c r="K126" s="2" t="str">
        <f t="shared" si="7"/>
        <v xml:space="preserve"> </v>
      </c>
      <c r="L126" s="2" t="str">
        <f t="shared" si="8"/>
        <v xml:space="preserve"> </v>
      </c>
      <c r="M126" s="2" t="str">
        <f t="shared" si="9"/>
        <v xml:space="preserve"> </v>
      </c>
    </row>
    <row r="127" spans="1:13" x14ac:dyDescent="0.25">
      <c r="A127" s="34" t="str">
        <f t="shared" si="5"/>
        <v xml:space="preserve"> </v>
      </c>
      <c r="D127" s="33"/>
      <c r="E127" s="33"/>
      <c r="J127" s="14">
        <f t="shared" si="6"/>
        <v>0</v>
      </c>
      <c r="K127" s="2" t="str">
        <f t="shared" si="7"/>
        <v xml:space="preserve"> </v>
      </c>
      <c r="L127" s="2" t="str">
        <f t="shared" si="8"/>
        <v xml:space="preserve"> </v>
      </c>
      <c r="M127" s="2" t="str">
        <f t="shared" si="9"/>
        <v xml:space="preserve"> </v>
      </c>
    </row>
    <row r="128" spans="1:13" x14ac:dyDescent="0.25">
      <c r="A128" s="34" t="str">
        <f t="shared" si="5"/>
        <v xml:space="preserve"> </v>
      </c>
      <c r="D128" s="33"/>
      <c r="E128" s="33"/>
      <c r="J128" s="14">
        <f t="shared" si="6"/>
        <v>0</v>
      </c>
      <c r="K128" s="2" t="str">
        <f t="shared" si="7"/>
        <v xml:space="preserve"> </v>
      </c>
      <c r="L128" s="2" t="str">
        <f t="shared" si="8"/>
        <v xml:space="preserve"> </v>
      </c>
      <c r="M128" s="2" t="str">
        <f t="shared" si="9"/>
        <v xml:space="preserve"> </v>
      </c>
    </row>
    <row r="129" spans="1:13" x14ac:dyDescent="0.25">
      <c r="A129" s="34" t="str">
        <f t="shared" si="5"/>
        <v xml:space="preserve"> </v>
      </c>
      <c r="D129" s="33"/>
      <c r="E129" s="33"/>
      <c r="J129" s="14">
        <f t="shared" si="6"/>
        <v>0</v>
      </c>
      <c r="K129" s="2" t="str">
        <f t="shared" si="7"/>
        <v xml:space="preserve"> </v>
      </c>
      <c r="L129" s="2" t="str">
        <f t="shared" si="8"/>
        <v xml:space="preserve"> </v>
      </c>
      <c r="M129" s="2" t="str">
        <f t="shared" si="9"/>
        <v xml:space="preserve"> </v>
      </c>
    </row>
    <row r="130" spans="1:13" x14ac:dyDescent="0.25">
      <c r="A130" s="34" t="str">
        <f t="shared" si="5"/>
        <v xml:space="preserve"> </v>
      </c>
      <c r="D130" s="33"/>
      <c r="E130" s="33"/>
      <c r="J130" s="14">
        <f t="shared" si="6"/>
        <v>0</v>
      </c>
      <c r="K130" s="2" t="str">
        <f t="shared" si="7"/>
        <v xml:space="preserve"> </v>
      </c>
      <c r="L130" s="2" t="str">
        <f t="shared" si="8"/>
        <v xml:space="preserve"> </v>
      </c>
      <c r="M130" s="2" t="str">
        <f t="shared" si="9"/>
        <v xml:space="preserve"> </v>
      </c>
    </row>
    <row r="131" spans="1:13" x14ac:dyDescent="0.25">
      <c r="A131" s="34" t="str">
        <f t="shared" si="5"/>
        <v xml:space="preserve"> </v>
      </c>
      <c r="D131" s="33"/>
      <c r="E131" s="33"/>
      <c r="J131" s="14">
        <f t="shared" si="6"/>
        <v>0</v>
      </c>
      <c r="K131" s="2" t="str">
        <f t="shared" si="7"/>
        <v xml:space="preserve"> </v>
      </c>
      <c r="L131" s="2" t="str">
        <f t="shared" si="8"/>
        <v xml:space="preserve"> </v>
      </c>
      <c r="M131" s="2" t="str">
        <f t="shared" si="9"/>
        <v xml:space="preserve"> </v>
      </c>
    </row>
    <row r="132" spans="1:13" x14ac:dyDescent="0.25">
      <c r="A132" s="34" t="str">
        <f t="shared" si="5"/>
        <v xml:space="preserve"> </v>
      </c>
      <c r="D132" s="33"/>
      <c r="E132" s="33"/>
      <c r="J132" s="14">
        <f t="shared" si="6"/>
        <v>0</v>
      </c>
      <c r="K132" s="2" t="str">
        <f t="shared" si="7"/>
        <v xml:space="preserve"> </v>
      </c>
      <c r="L132" s="2" t="str">
        <f t="shared" si="8"/>
        <v xml:space="preserve"> </v>
      </c>
      <c r="M132" s="2" t="str">
        <f t="shared" si="9"/>
        <v xml:space="preserve"> </v>
      </c>
    </row>
    <row r="133" spans="1:13" x14ac:dyDescent="0.25">
      <c r="A133" s="34" t="str">
        <f t="shared" si="5"/>
        <v xml:space="preserve"> </v>
      </c>
      <c r="D133" s="33"/>
      <c r="E133" s="33"/>
      <c r="J133" s="14">
        <f t="shared" si="6"/>
        <v>0</v>
      </c>
      <c r="K133" s="2" t="str">
        <f t="shared" si="7"/>
        <v xml:space="preserve"> </v>
      </c>
      <c r="L133" s="2" t="str">
        <f t="shared" si="8"/>
        <v xml:space="preserve"> </v>
      </c>
      <c r="M133" s="2" t="str">
        <f t="shared" si="9"/>
        <v xml:space="preserve"> </v>
      </c>
    </row>
    <row r="134" spans="1:13" x14ac:dyDescent="0.25">
      <c r="A134" s="34" t="str">
        <f t="shared" si="5"/>
        <v xml:space="preserve"> </v>
      </c>
      <c r="D134" s="33"/>
      <c r="E134" s="33"/>
      <c r="J134" s="14">
        <f t="shared" si="6"/>
        <v>0</v>
      </c>
      <c r="K134" s="2" t="str">
        <f t="shared" si="7"/>
        <v xml:space="preserve"> </v>
      </c>
      <c r="L134" s="2" t="str">
        <f t="shared" si="8"/>
        <v xml:space="preserve"> </v>
      </c>
      <c r="M134" s="2" t="str">
        <f t="shared" si="9"/>
        <v xml:space="preserve"> </v>
      </c>
    </row>
    <row r="135" spans="1:13" x14ac:dyDescent="0.25">
      <c r="A135" s="34" t="str">
        <f t="shared" si="5"/>
        <v xml:space="preserve"> </v>
      </c>
      <c r="D135" s="33"/>
      <c r="E135" s="33"/>
      <c r="J135" s="14">
        <f t="shared" si="6"/>
        <v>0</v>
      </c>
      <c r="K135" s="2" t="str">
        <f t="shared" si="7"/>
        <v xml:space="preserve"> </v>
      </c>
      <c r="L135" s="2" t="str">
        <f t="shared" si="8"/>
        <v xml:space="preserve"> </v>
      </c>
      <c r="M135" s="2" t="str">
        <f t="shared" si="9"/>
        <v xml:space="preserve"> </v>
      </c>
    </row>
    <row r="136" spans="1:13" x14ac:dyDescent="0.25">
      <c r="A136" s="34" t="str">
        <f t="shared" si="5"/>
        <v xml:space="preserve"> </v>
      </c>
      <c r="D136" s="33"/>
      <c r="E136" s="33"/>
      <c r="J136" s="14">
        <f t="shared" si="6"/>
        <v>0</v>
      </c>
      <c r="K136" s="2" t="str">
        <f t="shared" si="7"/>
        <v xml:space="preserve"> </v>
      </c>
      <c r="L136" s="2" t="str">
        <f t="shared" si="8"/>
        <v xml:space="preserve"> </v>
      </c>
      <c r="M136" s="2" t="str">
        <f t="shared" si="9"/>
        <v xml:space="preserve"> </v>
      </c>
    </row>
    <row r="137" spans="1:13" x14ac:dyDescent="0.25">
      <c r="A137" s="34" t="str">
        <f t="shared" si="5"/>
        <v xml:space="preserve"> </v>
      </c>
      <c r="D137" s="33"/>
      <c r="E137" s="33"/>
      <c r="J137" s="14">
        <f t="shared" si="6"/>
        <v>0</v>
      </c>
      <c r="K137" s="2" t="str">
        <f t="shared" si="7"/>
        <v xml:space="preserve"> </v>
      </c>
      <c r="L137" s="2" t="str">
        <f t="shared" si="8"/>
        <v xml:space="preserve"> </v>
      </c>
      <c r="M137" s="2" t="str">
        <f t="shared" si="9"/>
        <v xml:space="preserve"> </v>
      </c>
    </row>
    <row r="138" spans="1:13" x14ac:dyDescent="0.25">
      <c r="A138" s="34" t="str">
        <f t="shared" si="5"/>
        <v xml:space="preserve"> </v>
      </c>
      <c r="D138" s="33"/>
      <c r="E138" s="33"/>
      <c r="J138" s="14">
        <f t="shared" si="6"/>
        <v>0</v>
      </c>
      <c r="K138" s="2" t="str">
        <f t="shared" si="7"/>
        <v xml:space="preserve"> </v>
      </c>
      <c r="L138" s="2" t="str">
        <f t="shared" si="8"/>
        <v xml:space="preserve"> </v>
      </c>
      <c r="M138" s="2" t="str">
        <f t="shared" si="9"/>
        <v xml:space="preserve"> </v>
      </c>
    </row>
    <row r="139" spans="1:13" x14ac:dyDescent="0.25">
      <c r="A139" s="34" t="str">
        <f t="shared" si="5"/>
        <v xml:space="preserve"> </v>
      </c>
      <c r="D139" s="33"/>
      <c r="E139" s="33"/>
      <c r="J139" s="14">
        <f t="shared" si="6"/>
        <v>0</v>
      </c>
      <c r="K139" s="2" t="str">
        <f t="shared" si="7"/>
        <v xml:space="preserve"> </v>
      </c>
      <c r="L139" s="2" t="str">
        <f t="shared" si="8"/>
        <v xml:space="preserve"> </v>
      </c>
      <c r="M139" s="2" t="str">
        <f t="shared" si="9"/>
        <v xml:space="preserve"> </v>
      </c>
    </row>
    <row r="140" spans="1:13" x14ac:dyDescent="0.25">
      <c r="A140" s="34" t="str">
        <f t="shared" si="5"/>
        <v xml:space="preserve"> </v>
      </c>
      <c r="D140" s="33"/>
      <c r="E140" s="33"/>
      <c r="J140" s="14">
        <f t="shared" si="6"/>
        <v>0</v>
      </c>
      <c r="K140" s="2" t="str">
        <f t="shared" si="7"/>
        <v xml:space="preserve"> </v>
      </c>
      <c r="L140" s="2" t="str">
        <f t="shared" si="8"/>
        <v xml:space="preserve"> </v>
      </c>
      <c r="M140" s="2" t="str">
        <f t="shared" si="9"/>
        <v xml:space="preserve"> </v>
      </c>
    </row>
    <row r="141" spans="1:13" x14ac:dyDescent="0.25">
      <c r="A141" s="34" t="str">
        <f t="shared" si="5"/>
        <v xml:space="preserve"> </v>
      </c>
      <c r="D141" s="33"/>
      <c r="E141" s="33"/>
      <c r="J141" s="14">
        <f t="shared" si="6"/>
        <v>0</v>
      </c>
      <c r="K141" s="2" t="str">
        <f t="shared" si="7"/>
        <v xml:space="preserve"> </v>
      </c>
      <c r="L141" s="2" t="str">
        <f t="shared" si="8"/>
        <v xml:space="preserve"> </v>
      </c>
      <c r="M141" s="2" t="str">
        <f t="shared" si="9"/>
        <v xml:space="preserve"> </v>
      </c>
    </row>
    <row r="142" spans="1:13" x14ac:dyDescent="0.25">
      <c r="A142" s="34" t="str">
        <f t="shared" si="5"/>
        <v xml:space="preserve"> </v>
      </c>
      <c r="D142" s="33"/>
      <c r="E142" s="33"/>
      <c r="J142" s="14">
        <f t="shared" si="6"/>
        <v>0</v>
      </c>
      <c r="K142" s="2" t="str">
        <f t="shared" si="7"/>
        <v xml:space="preserve"> </v>
      </c>
      <c r="L142" s="2" t="str">
        <f t="shared" si="8"/>
        <v xml:space="preserve"> </v>
      </c>
      <c r="M142" s="2" t="str">
        <f t="shared" si="9"/>
        <v xml:space="preserve"> </v>
      </c>
    </row>
    <row r="143" spans="1:13" x14ac:dyDescent="0.25">
      <c r="A143" s="34" t="str">
        <f t="shared" ref="A143:A206" si="10">IF(COUNTIF(K143:M143,"ERROR")&gt;0,"ERROR"," ")</f>
        <v xml:space="preserve"> </v>
      </c>
      <c r="D143" s="33"/>
      <c r="E143" s="33"/>
      <c r="J143" s="14">
        <f t="shared" ref="J143:J206" si="11">F143-G143+H143-I143</f>
        <v>0</v>
      </c>
      <c r="K143" s="2" t="str">
        <f t="shared" si="7"/>
        <v xml:space="preserve"> </v>
      </c>
      <c r="L143" s="2" t="str">
        <f t="shared" si="8"/>
        <v xml:space="preserve"> </v>
      </c>
      <c r="M143" s="2" t="str">
        <f t="shared" si="9"/>
        <v xml:space="preserve"> </v>
      </c>
    </row>
    <row r="144" spans="1:13" x14ac:dyDescent="0.25">
      <c r="A144" s="34" t="str">
        <f t="shared" si="10"/>
        <v xml:space="preserve"> </v>
      </c>
      <c r="D144" s="33"/>
      <c r="E144" s="33"/>
      <c r="J144" s="14">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x14ac:dyDescent="0.25">
      <c r="A145" s="34" t="str">
        <f t="shared" si="10"/>
        <v xml:space="preserve"> </v>
      </c>
      <c r="D145" s="33"/>
      <c r="E145" s="33"/>
      <c r="J145" s="14">
        <f t="shared" si="11"/>
        <v>0</v>
      </c>
      <c r="K145" s="2" t="str">
        <f t="shared" si="12"/>
        <v xml:space="preserve"> </v>
      </c>
      <c r="L145" s="2" t="str">
        <f t="shared" si="13"/>
        <v xml:space="preserve"> </v>
      </c>
      <c r="M145" s="2" t="str">
        <f t="shared" si="14"/>
        <v xml:space="preserve"> </v>
      </c>
    </row>
    <row r="146" spans="1:13" x14ac:dyDescent="0.25">
      <c r="A146" s="34" t="str">
        <f t="shared" si="10"/>
        <v xml:space="preserve"> </v>
      </c>
      <c r="D146" s="33"/>
      <c r="E146" s="33"/>
      <c r="J146" s="14">
        <f t="shared" si="11"/>
        <v>0</v>
      </c>
      <c r="K146" s="2" t="str">
        <f t="shared" si="12"/>
        <v xml:space="preserve"> </v>
      </c>
      <c r="L146" s="2" t="str">
        <f t="shared" si="13"/>
        <v xml:space="preserve"> </v>
      </c>
      <c r="M146" s="2" t="str">
        <f t="shared" si="14"/>
        <v xml:space="preserve"> </v>
      </c>
    </row>
    <row r="147" spans="1:13" x14ac:dyDescent="0.25">
      <c r="A147" s="34" t="str">
        <f t="shared" si="10"/>
        <v xml:space="preserve"> </v>
      </c>
      <c r="D147" s="33"/>
      <c r="E147" s="33"/>
      <c r="J147" s="14">
        <f t="shared" si="11"/>
        <v>0</v>
      </c>
      <c r="K147" s="2" t="str">
        <f t="shared" si="12"/>
        <v xml:space="preserve"> </v>
      </c>
      <c r="L147" s="2" t="str">
        <f t="shared" si="13"/>
        <v xml:space="preserve"> </v>
      </c>
      <c r="M147" s="2" t="str">
        <f t="shared" si="14"/>
        <v xml:space="preserve"> </v>
      </c>
    </row>
    <row r="148" spans="1:13" x14ac:dyDescent="0.25">
      <c r="A148" s="34" t="str">
        <f t="shared" si="10"/>
        <v xml:space="preserve"> </v>
      </c>
      <c r="D148" s="33"/>
      <c r="E148" s="33"/>
      <c r="J148" s="14">
        <f t="shared" si="11"/>
        <v>0</v>
      </c>
      <c r="K148" s="2" t="str">
        <f t="shared" si="12"/>
        <v xml:space="preserve"> </v>
      </c>
      <c r="L148" s="2" t="str">
        <f t="shared" si="13"/>
        <v xml:space="preserve"> </v>
      </c>
      <c r="M148" s="2" t="str">
        <f t="shared" si="14"/>
        <v xml:space="preserve"> </v>
      </c>
    </row>
    <row r="149" spans="1:13" x14ac:dyDescent="0.25">
      <c r="A149" s="34" t="str">
        <f t="shared" si="10"/>
        <v xml:space="preserve"> </v>
      </c>
      <c r="D149" s="33"/>
      <c r="E149" s="33"/>
      <c r="J149" s="14">
        <f t="shared" si="11"/>
        <v>0</v>
      </c>
      <c r="K149" s="2" t="str">
        <f t="shared" si="12"/>
        <v xml:space="preserve"> </v>
      </c>
      <c r="L149" s="2" t="str">
        <f t="shared" si="13"/>
        <v xml:space="preserve"> </v>
      </c>
      <c r="M149" s="2" t="str">
        <f t="shared" si="14"/>
        <v xml:space="preserve"> </v>
      </c>
    </row>
    <row r="150" spans="1:13" x14ac:dyDescent="0.25">
      <c r="A150" s="34" t="str">
        <f t="shared" si="10"/>
        <v xml:space="preserve"> </v>
      </c>
      <c r="D150" s="33"/>
      <c r="E150" s="33"/>
      <c r="J150" s="14">
        <f t="shared" si="11"/>
        <v>0</v>
      </c>
      <c r="K150" s="2" t="str">
        <f t="shared" si="12"/>
        <v xml:space="preserve"> </v>
      </c>
      <c r="L150" s="2" t="str">
        <f t="shared" si="13"/>
        <v xml:space="preserve"> </v>
      </c>
      <c r="M150" s="2" t="str">
        <f t="shared" si="14"/>
        <v xml:space="preserve"> </v>
      </c>
    </row>
    <row r="151" spans="1:13" x14ac:dyDescent="0.25">
      <c r="A151" s="34" t="str">
        <f t="shared" si="10"/>
        <v xml:space="preserve"> </v>
      </c>
      <c r="D151" s="33"/>
      <c r="E151" s="33"/>
      <c r="J151" s="14">
        <f t="shared" si="11"/>
        <v>0</v>
      </c>
      <c r="K151" s="2" t="str">
        <f t="shared" si="12"/>
        <v xml:space="preserve"> </v>
      </c>
      <c r="L151" s="2" t="str">
        <f t="shared" si="13"/>
        <v xml:space="preserve"> </v>
      </c>
      <c r="M151" s="2" t="str">
        <f t="shared" si="14"/>
        <v xml:space="preserve"> </v>
      </c>
    </row>
    <row r="152" spans="1:13" x14ac:dyDescent="0.25">
      <c r="A152" s="34" t="str">
        <f t="shared" si="10"/>
        <v xml:space="preserve"> </v>
      </c>
      <c r="D152" s="33"/>
      <c r="E152" s="33"/>
      <c r="J152" s="14">
        <f t="shared" si="11"/>
        <v>0</v>
      </c>
      <c r="K152" s="2" t="str">
        <f t="shared" si="12"/>
        <v xml:space="preserve"> </v>
      </c>
      <c r="L152" s="2" t="str">
        <f t="shared" si="13"/>
        <v xml:space="preserve"> </v>
      </c>
      <c r="M152" s="2" t="str">
        <f t="shared" si="14"/>
        <v xml:space="preserve"> </v>
      </c>
    </row>
    <row r="153" spans="1:13" x14ac:dyDescent="0.25">
      <c r="A153" s="34" t="str">
        <f t="shared" si="10"/>
        <v xml:space="preserve"> </v>
      </c>
      <c r="D153" s="33"/>
      <c r="E153" s="33"/>
      <c r="J153" s="14">
        <f t="shared" si="11"/>
        <v>0</v>
      </c>
      <c r="K153" s="2" t="str">
        <f t="shared" si="12"/>
        <v xml:space="preserve"> </v>
      </c>
      <c r="L153" s="2" t="str">
        <f t="shared" si="13"/>
        <v xml:space="preserve"> </v>
      </c>
      <c r="M153" s="2" t="str">
        <f t="shared" si="14"/>
        <v xml:space="preserve"> </v>
      </c>
    </row>
    <row r="154" spans="1:13" x14ac:dyDescent="0.25">
      <c r="A154" s="34" t="str">
        <f t="shared" si="10"/>
        <v xml:space="preserve"> </v>
      </c>
      <c r="D154" s="33"/>
      <c r="E154" s="33"/>
      <c r="J154" s="14">
        <f t="shared" si="11"/>
        <v>0</v>
      </c>
      <c r="K154" s="2" t="str">
        <f t="shared" si="12"/>
        <v xml:space="preserve"> </v>
      </c>
      <c r="L154" s="2" t="str">
        <f t="shared" si="13"/>
        <v xml:space="preserve"> </v>
      </c>
      <c r="M154" s="2" t="str">
        <f t="shared" si="14"/>
        <v xml:space="preserve"> </v>
      </c>
    </row>
    <row r="155" spans="1:13" x14ac:dyDescent="0.25">
      <c r="A155" s="34" t="str">
        <f t="shared" si="10"/>
        <v xml:space="preserve"> </v>
      </c>
      <c r="D155" s="33"/>
      <c r="E155" s="33"/>
      <c r="J155" s="14">
        <f t="shared" si="11"/>
        <v>0</v>
      </c>
      <c r="K155" s="2" t="str">
        <f t="shared" si="12"/>
        <v xml:space="preserve"> </v>
      </c>
      <c r="L155" s="2" t="str">
        <f t="shared" si="13"/>
        <v xml:space="preserve"> </v>
      </c>
      <c r="M155" s="2" t="str">
        <f t="shared" si="14"/>
        <v xml:space="preserve"> </v>
      </c>
    </row>
    <row r="156" spans="1:13" x14ac:dyDescent="0.25">
      <c r="A156" s="34" t="str">
        <f t="shared" si="10"/>
        <v xml:space="preserve"> </v>
      </c>
      <c r="D156" s="33"/>
      <c r="E156" s="33"/>
      <c r="J156" s="14">
        <f t="shared" si="11"/>
        <v>0</v>
      </c>
      <c r="K156" s="2" t="str">
        <f t="shared" si="12"/>
        <v xml:space="preserve"> </v>
      </c>
      <c r="L156" s="2" t="str">
        <f t="shared" si="13"/>
        <v xml:space="preserve"> </v>
      </c>
      <c r="M156" s="2" t="str">
        <f t="shared" si="14"/>
        <v xml:space="preserve"> </v>
      </c>
    </row>
    <row r="157" spans="1:13" x14ac:dyDescent="0.25">
      <c r="A157" s="34" t="str">
        <f t="shared" si="10"/>
        <v xml:space="preserve"> </v>
      </c>
      <c r="D157" s="33"/>
      <c r="E157" s="33"/>
      <c r="J157" s="14">
        <f t="shared" si="11"/>
        <v>0</v>
      </c>
      <c r="K157" s="2" t="str">
        <f t="shared" si="12"/>
        <v xml:space="preserve"> </v>
      </c>
      <c r="L157" s="2" t="str">
        <f t="shared" si="13"/>
        <v xml:space="preserve"> </v>
      </c>
      <c r="M157" s="2" t="str">
        <f t="shared" si="14"/>
        <v xml:space="preserve"> </v>
      </c>
    </row>
    <row r="158" spans="1:13" x14ac:dyDescent="0.25">
      <c r="A158" s="34" t="str">
        <f t="shared" si="10"/>
        <v xml:space="preserve"> </v>
      </c>
      <c r="D158" s="33"/>
      <c r="E158" s="33"/>
      <c r="J158" s="14">
        <f t="shared" si="11"/>
        <v>0</v>
      </c>
      <c r="K158" s="2" t="str">
        <f t="shared" si="12"/>
        <v xml:space="preserve"> </v>
      </c>
      <c r="L158" s="2" t="str">
        <f t="shared" si="13"/>
        <v xml:space="preserve"> </v>
      </c>
      <c r="M158" s="2" t="str">
        <f t="shared" si="14"/>
        <v xml:space="preserve"> </v>
      </c>
    </row>
    <row r="159" spans="1:13" x14ac:dyDescent="0.25">
      <c r="A159" s="34" t="str">
        <f t="shared" si="10"/>
        <v xml:space="preserve"> </v>
      </c>
      <c r="D159" s="33"/>
      <c r="E159" s="33"/>
      <c r="J159" s="14">
        <f t="shared" si="11"/>
        <v>0</v>
      </c>
      <c r="K159" s="2" t="str">
        <f t="shared" si="12"/>
        <v xml:space="preserve"> </v>
      </c>
      <c r="L159" s="2" t="str">
        <f t="shared" si="13"/>
        <v xml:space="preserve"> </v>
      </c>
      <c r="M159" s="2" t="str">
        <f t="shared" si="14"/>
        <v xml:space="preserve"> </v>
      </c>
    </row>
    <row r="160" spans="1:13" x14ac:dyDescent="0.25">
      <c r="A160" s="34" t="str">
        <f t="shared" si="10"/>
        <v xml:space="preserve"> </v>
      </c>
      <c r="D160" s="33"/>
      <c r="E160" s="33"/>
      <c r="J160" s="14">
        <f t="shared" si="11"/>
        <v>0</v>
      </c>
      <c r="K160" s="2" t="str">
        <f t="shared" si="12"/>
        <v xml:space="preserve"> </v>
      </c>
      <c r="L160" s="2" t="str">
        <f t="shared" si="13"/>
        <v xml:space="preserve"> </v>
      </c>
      <c r="M160" s="2" t="str">
        <f t="shared" si="14"/>
        <v xml:space="preserve"> </v>
      </c>
    </row>
    <row r="161" spans="1:13" x14ac:dyDescent="0.25">
      <c r="A161" s="34" t="str">
        <f t="shared" si="10"/>
        <v xml:space="preserve"> </v>
      </c>
      <c r="D161" s="33"/>
      <c r="E161" s="33"/>
      <c r="J161" s="14">
        <f t="shared" si="11"/>
        <v>0</v>
      </c>
      <c r="K161" s="2" t="str">
        <f t="shared" si="12"/>
        <v xml:space="preserve"> </v>
      </c>
      <c r="L161" s="2" t="str">
        <f t="shared" si="13"/>
        <v xml:space="preserve"> </v>
      </c>
      <c r="M161" s="2" t="str">
        <f t="shared" si="14"/>
        <v xml:space="preserve"> </v>
      </c>
    </row>
    <row r="162" spans="1:13" x14ac:dyDescent="0.25">
      <c r="A162" s="34" t="str">
        <f t="shared" si="10"/>
        <v xml:space="preserve"> </v>
      </c>
      <c r="D162" s="33"/>
      <c r="E162" s="33"/>
      <c r="J162" s="14">
        <f t="shared" si="11"/>
        <v>0</v>
      </c>
      <c r="K162" s="2" t="str">
        <f t="shared" si="12"/>
        <v xml:space="preserve"> </v>
      </c>
      <c r="L162" s="2" t="str">
        <f t="shared" si="13"/>
        <v xml:space="preserve"> </v>
      </c>
      <c r="M162" s="2" t="str">
        <f t="shared" si="14"/>
        <v xml:space="preserve"> </v>
      </c>
    </row>
    <row r="163" spans="1:13" x14ac:dyDescent="0.25">
      <c r="A163" s="34" t="str">
        <f t="shared" si="10"/>
        <v xml:space="preserve"> </v>
      </c>
      <c r="D163" s="33"/>
      <c r="E163" s="33"/>
      <c r="J163" s="14">
        <f t="shared" si="11"/>
        <v>0</v>
      </c>
      <c r="K163" s="2" t="str">
        <f t="shared" si="12"/>
        <v xml:space="preserve"> </v>
      </c>
      <c r="L163" s="2" t="str">
        <f t="shared" si="13"/>
        <v xml:space="preserve"> </v>
      </c>
      <c r="M163" s="2" t="str">
        <f t="shared" si="14"/>
        <v xml:space="preserve"> </v>
      </c>
    </row>
    <row r="164" spans="1:13" x14ac:dyDescent="0.25">
      <c r="A164" s="34" t="str">
        <f t="shared" si="10"/>
        <v xml:space="preserve"> </v>
      </c>
      <c r="D164" s="33"/>
      <c r="E164" s="33"/>
      <c r="J164" s="14">
        <f t="shared" si="11"/>
        <v>0</v>
      </c>
      <c r="K164" s="2" t="str">
        <f t="shared" si="12"/>
        <v xml:space="preserve"> </v>
      </c>
      <c r="L164" s="2" t="str">
        <f t="shared" si="13"/>
        <v xml:space="preserve"> </v>
      </c>
      <c r="M164" s="2" t="str">
        <f t="shared" si="14"/>
        <v xml:space="preserve"> </v>
      </c>
    </row>
    <row r="165" spans="1:13" x14ac:dyDescent="0.25">
      <c r="A165" s="34" t="str">
        <f t="shared" si="10"/>
        <v xml:space="preserve"> </v>
      </c>
      <c r="D165" s="33"/>
      <c r="E165" s="33"/>
      <c r="J165" s="14">
        <f t="shared" si="11"/>
        <v>0</v>
      </c>
      <c r="K165" s="2" t="str">
        <f t="shared" si="12"/>
        <v xml:space="preserve"> </v>
      </c>
      <c r="L165" s="2" t="str">
        <f t="shared" si="13"/>
        <v xml:space="preserve"> </v>
      </c>
      <c r="M165" s="2" t="str">
        <f t="shared" si="14"/>
        <v xml:space="preserve"> </v>
      </c>
    </row>
    <row r="166" spans="1:13" x14ac:dyDescent="0.25">
      <c r="A166" s="34" t="str">
        <f t="shared" si="10"/>
        <v xml:space="preserve"> </v>
      </c>
      <c r="D166" s="33"/>
      <c r="E166" s="33"/>
      <c r="J166" s="14">
        <f t="shared" si="11"/>
        <v>0</v>
      </c>
      <c r="K166" s="2" t="str">
        <f t="shared" si="12"/>
        <v xml:space="preserve"> </v>
      </c>
      <c r="L166" s="2" t="str">
        <f t="shared" si="13"/>
        <v xml:space="preserve"> </v>
      </c>
      <c r="M166" s="2" t="str">
        <f t="shared" si="14"/>
        <v xml:space="preserve"> </v>
      </c>
    </row>
    <row r="167" spans="1:13" x14ac:dyDescent="0.25">
      <c r="A167" s="34" t="str">
        <f t="shared" si="10"/>
        <v xml:space="preserve"> </v>
      </c>
      <c r="D167" s="33"/>
      <c r="E167" s="33"/>
      <c r="J167" s="14">
        <f t="shared" si="11"/>
        <v>0</v>
      </c>
      <c r="K167" s="2" t="str">
        <f t="shared" si="12"/>
        <v xml:space="preserve"> </v>
      </c>
      <c r="L167" s="2" t="str">
        <f t="shared" si="13"/>
        <v xml:space="preserve"> </v>
      </c>
      <c r="M167" s="2" t="str">
        <f t="shared" si="14"/>
        <v xml:space="preserve"> </v>
      </c>
    </row>
    <row r="168" spans="1:13" x14ac:dyDescent="0.25">
      <c r="A168" s="34" t="str">
        <f t="shared" si="10"/>
        <v xml:space="preserve"> </v>
      </c>
      <c r="D168" s="33"/>
      <c r="E168" s="33"/>
      <c r="J168" s="14">
        <f t="shared" si="11"/>
        <v>0</v>
      </c>
      <c r="K168" s="2" t="str">
        <f t="shared" si="12"/>
        <v xml:space="preserve"> </v>
      </c>
      <c r="L168" s="2" t="str">
        <f t="shared" si="13"/>
        <v xml:space="preserve"> </v>
      </c>
      <c r="M168" s="2" t="str">
        <f t="shared" si="14"/>
        <v xml:space="preserve"> </v>
      </c>
    </row>
    <row r="169" spans="1:13" x14ac:dyDescent="0.25">
      <c r="A169" s="34" t="str">
        <f t="shared" si="10"/>
        <v xml:space="preserve"> </v>
      </c>
      <c r="D169" s="33"/>
      <c r="E169" s="33"/>
      <c r="J169" s="14">
        <f t="shared" si="11"/>
        <v>0</v>
      </c>
      <c r="K169" s="2" t="str">
        <f t="shared" si="12"/>
        <v xml:space="preserve"> </v>
      </c>
      <c r="L169" s="2" t="str">
        <f t="shared" si="13"/>
        <v xml:space="preserve"> </v>
      </c>
      <c r="M169" s="2" t="str">
        <f t="shared" si="14"/>
        <v xml:space="preserve"> </v>
      </c>
    </row>
    <row r="170" spans="1:13" x14ac:dyDescent="0.25">
      <c r="A170" s="34" t="str">
        <f t="shared" si="10"/>
        <v xml:space="preserve"> </v>
      </c>
      <c r="D170" s="33"/>
      <c r="E170" s="33"/>
      <c r="J170" s="14">
        <f t="shared" si="11"/>
        <v>0</v>
      </c>
      <c r="K170" s="2" t="str">
        <f t="shared" si="12"/>
        <v xml:space="preserve"> </v>
      </c>
      <c r="L170" s="2" t="str">
        <f t="shared" si="13"/>
        <v xml:space="preserve"> </v>
      </c>
      <c r="M170" s="2" t="str">
        <f t="shared" si="14"/>
        <v xml:space="preserve"> </v>
      </c>
    </row>
    <row r="171" spans="1:13" x14ac:dyDescent="0.25">
      <c r="A171" s="34" t="str">
        <f t="shared" si="10"/>
        <v xml:space="preserve"> </v>
      </c>
      <c r="D171" s="33"/>
      <c r="E171" s="33"/>
      <c r="J171" s="14">
        <f t="shared" si="11"/>
        <v>0</v>
      </c>
      <c r="K171" s="2" t="str">
        <f t="shared" si="12"/>
        <v xml:space="preserve"> </v>
      </c>
      <c r="L171" s="2" t="str">
        <f t="shared" si="13"/>
        <v xml:space="preserve"> </v>
      </c>
      <c r="M171" s="2" t="str">
        <f t="shared" si="14"/>
        <v xml:space="preserve"> </v>
      </c>
    </row>
    <row r="172" spans="1:13" x14ac:dyDescent="0.25">
      <c r="A172" s="34" t="str">
        <f t="shared" si="10"/>
        <v xml:space="preserve"> </v>
      </c>
      <c r="D172" s="33"/>
      <c r="E172" s="33"/>
      <c r="J172" s="14">
        <f t="shared" si="11"/>
        <v>0</v>
      </c>
      <c r="K172" s="2" t="str">
        <f t="shared" si="12"/>
        <v xml:space="preserve"> </v>
      </c>
      <c r="L172" s="2" t="str">
        <f t="shared" si="13"/>
        <v xml:space="preserve"> </v>
      </c>
      <c r="M172" s="2" t="str">
        <f t="shared" si="14"/>
        <v xml:space="preserve"> </v>
      </c>
    </row>
    <row r="173" spans="1:13" x14ac:dyDescent="0.25">
      <c r="A173" s="34" t="str">
        <f t="shared" si="10"/>
        <v xml:space="preserve"> </v>
      </c>
      <c r="D173" s="33"/>
      <c r="E173" s="33"/>
      <c r="J173" s="14">
        <f t="shared" si="11"/>
        <v>0</v>
      </c>
      <c r="K173" s="2" t="str">
        <f t="shared" si="12"/>
        <v xml:space="preserve"> </v>
      </c>
      <c r="L173" s="2" t="str">
        <f t="shared" si="13"/>
        <v xml:space="preserve"> </v>
      </c>
      <c r="M173" s="2" t="str">
        <f t="shared" si="14"/>
        <v xml:space="preserve"> </v>
      </c>
    </row>
    <row r="174" spans="1:13" x14ac:dyDescent="0.25">
      <c r="A174" s="34" t="str">
        <f t="shared" si="10"/>
        <v xml:space="preserve"> </v>
      </c>
      <c r="D174" s="33"/>
      <c r="E174" s="33"/>
      <c r="J174" s="14">
        <f t="shared" si="11"/>
        <v>0</v>
      </c>
      <c r="K174" s="2" t="str">
        <f t="shared" si="12"/>
        <v xml:space="preserve"> </v>
      </c>
      <c r="L174" s="2" t="str">
        <f t="shared" si="13"/>
        <v xml:space="preserve"> </v>
      </c>
      <c r="M174" s="2" t="str">
        <f t="shared" si="14"/>
        <v xml:space="preserve"> </v>
      </c>
    </row>
    <row r="175" spans="1:13" x14ac:dyDescent="0.25">
      <c r="A175" s="34" t="str">
        <f t="shared" si="10"/>
        <v xml:space="preserve"> </v>
      </c>
      <c r="D175" s="33"/>
      <c r="E175" s="33"/>
      <c r="J175" s="14">
        <f t="shared" si="11"/>
        <v>0</v>
      </c>
      <c r="K175" s="2" t="str">
        <f t="shared" si="12"/>
        <v xml:space="preserve"> </v>
      </c>
      <c r="L175" s="2" t="str">
        <f t="shared" si="13"/>
        <v xml:space="preserve"> </v>
      </c>
      <c r="M175" s="2" t="str">
        <f t="shared" si="14"/>
        <v xml:space="preserve"> </v>
      </c>
    </row>
    <row r="176" spans="1:13" x14ac:dyDescent="0.25">
      <c r="A176" s="34" t="str">
        <f t="shared" si="10"/>
        <v xml:space="preserve"> </v>
      </c>
      <c r="D176" s="33"/>
      <c r="E176" s="33"/>
      <c r="J176" s="14">
        <f t="shared" si="11"/>
        <v>0</v>
      </c>
      <c r="K176" s="2" t="str">
        <f t="shared" si="12"/>
        <v xml:space="preserve"> </v>
      </c>
      <c r="L176" s="2" t="str">
        <f t="shared" si="13"/>
        <v xml:space="preserve"> </v>
      </c>
      <c r="M176" s="2" t="str">
        <f t="shared" si="14"/>
        <v xml:space="preserve"> </v>
      </c>
    </row>
    <row r="177" spans="1:13" x14ac:dyDescent="0.25">
      <c r="A177" s="34" t="str">
        <f t="shared" si="10"/>
        <v xml:space="preserve"> </v>
      </c>
      <c r="D177" s="33"/>
      <c r="E177" s="33"/>
      <c r="J177" s="14">
        <f t="shared" si="11"/>
        <v>0</v>
      </c>
      <c r="K177" s="2" t="str">
        <f t="shared" si="12"/>
        <v xml:space="preserve"> </v>
      </c>
      <c r="L177" s="2" t="str">
        <f t="shared" si="13"/>
        <v xml:space="preserve"> </v>
      </c>
      <c r="M177" s="2" t="str">
        <f t="shared" si="14"/>
        <v xml:space="preserve"> </v>
      </c>
    </row>
    <row r="178" spans="1:13" x14ac:dyDescent="0.25">
      <c r="A178" s="34" t="str">
        <f t="shared" si="10"/>
        <v xml:space="preserve"> </v>
      </c>
      <c r="D178" s="33"/>
      <c r="E178" s="33"/>
      <c r="J178" s="14">
        <f t="shared" si="11"/>
        <v>0</v>
      </c>
      <c r="K178" s="2" t="str">
        <f t="shared" si="12"/>
        <v xml:space="preserve"> </v>
      </c>
      <c r="L178" s="2" t="str">
        <f t="shared" si="13"/>
        <v xml:space="preserve"> </v>
      </c>
      <c r="M178" s="2" t="str">
        <f t="shared" si="14"/>
        <v xml:space="preserve"> </v>
      </c>
    </row>
    <row r="179" spans="1:13" x14ac:dyDescent="0.25">
      <c r="A179" s="34" t="str">
        <f t="shared" si="10"/>
        <v xml:space="preserve"> </v>
      </c>
      <c r="D179" s="33"/>
      <c r="E179" s="33"/>
      <c r="J179" s="14">
        <f t="shared" si="11"/>
        <v>0</v>
      </c>
      <c r="K179" s="2" t="str">
        <f t="shared" si="12"/>
        <v xml:space="preserve"> </v>
      </c>
      <c r="L179" s="2" t="str">
        <f t="shared" si="13"/>
        <v xml:space="preserve"> </v>
      </c>
      <c r="M179" s="2" t="str">
        <f t="shared" si="14"/>
        <v xml:space="preserve"> </v>
      </c>
    </row>
    <row r="180" spans="1:13" x14ac:dyDescent="0.25">
      <c r="A180" s="34" t="str">
        <f t="shared" si="10"/>
        <v xml:space="preserve"> </v>
      </c>
      <c r="D180" s="33"/>
      <c r="E180" s="33"/>
      <c r="J180" s="14">
        <f t="shared" si="11"/>
        <v>0</v>
      </c>
      <c r="K180" s="2" t="str">
        <f t="shared" si="12"/>
        <v xml:space="preserve"> </v>
      </c>
      <c r="L180" s="2" t="str">
        <f t="shared" si="13"/>
        <v xml:space="preserve"> </v>
      </c>
      <c r="M180" s="2" t="str">
        <f t="shared" si="14"/>
        <v xml:space="preserve"> </v>
      </c>
    </row>
    <row r="181" spans="1:13" x14ac:dyDescent="0.25">
      <c r="A181" s="34" t="str">
        <f t="shared" si="10"/>
        <v xml:space="preserve"> </v>
      </c>
      <c r="D181" s="33"/>
      <c r="E181" s="33"/>
      <c r="J181" s="14">
        <f t="shared" si="11"/>
        <v>0</v>
      </c>
      <c r="K181" s="2" t="str">
        <f t="shared" si="12"/>
        <v xml:space="preserve"> </v>
      </c>
      <c r="L181" s="2" t="str">
        <f t="shared" si="13"/>
        <v xml:space="preserve"> </v>
      </c>
      <c r="M181" s="2" t="str">
        <f t="shared" si="14"/>
        <v xml:space="preserve"> </v>
      </c>
    </row>
    <row r="182" spans="1:13" x14ac:dyDescent="0.25">
      <c r="A182" s="34" t="str">
        <f t="shared" si="10"/>
        <v xml:space="preserve"> </v>
      </c>
      <c r="D182" s="33"/>
      <c r="E182" s="33"/>
      <c r="J182" s="14">
        <f t="shared" si="11"/>
        <v>0</v>
      </c>
      <c r="K182" s="2" t="str">
        <f t="shared" si="12"/>
        <v xml:space="preserve"> </v>
      </c>
      <c r="L182" s="2" t="str">
        <f t="shared" si="13"/>
        <v xml:space="preserve"> </v>
      </c>
      <c r="M182" s="2" t="str">
        <f t="shared" si="14"/>
        <v xml:space="preserve"> </v>
      </c>
    </row>
    <row r="183" spans="1:13" x14ac:dyDescent="0.25">
      <c r="A183" s="34" t="str">
        <f t="shared" si="10"/>
        <v xml:space="preserve"> </v>
      </c>
      <c r="D183" s="33"/>
      <c r="E183" s="33"/>
      <c r="J183" s="14">
        <f t="shared" si="11"/>
        <v>0</v>
      </c>
      <c r="K183" s="2" t="str">
        <f t="shared" si="12"/>
        <v xml:space="preserve"> </v>
      </c>
      <c r="L183" s="2" t="str">
        <f t="shared" si="13"/>
        <v xml:space="preserve"> </v>
      </c>
      <c r="M183" s="2" t="str">
        <f t="shared" si="14"/>
        <v xml:space="preserve"> </v>
      </c>
    </row>
    <row r="184" spans="1:13" x14ac:dyDescent="0.25">
      <c r="A184" s="34" t="str">
        <f t="shared" si="10"/>
        <v xml:space="preserve"> </v>
      </c>
      <c r="D184" s="33"/>
      <c r="E184" s="33"/>
      <c r="J184" s="14">
        <f t="shared" si="11"/>
        <v>0</v>
      </c>
      <c r="K184" s="2" t="str">
        <f t="shared" si="12"/>
        <v xml:space="preserve"> </v>
      </c>
      <c r="L184" s="2" t="str">
        <f t="shared" si="13"/>
        <v xml:space="preserve"> </v>
      </c>
      <c r="M184" s="2" t="str">
        <f t="shared" si="14"/>
        <v xml:space="preserve"> </v>
      </c>
    </row>
    <row r="185" spans="1:13" x14ac:dyDescent="0.25">
      <c r="A185" s="34" t="str">
        <f t="shared" si="10"/>
        <v xml:space="preserve"> </v>
      </c>
      <c r="D185" s="33"/>
      <c r="E185" s="33"/>
      <c r="J185" s="14">
        <f t="shared" si="11"/>
        <v>0</v>
      </c>
      <c r="K185" s="2" t="str">
        <f t="shared" si="12"/>
        <v xml:space="preserve"> </v>
      </c>
      <c r="L185" s="2" t="str">
        <f t="shared" si="13"/>
        <v xml:space="preserve"> </v>
      </c>
      <c r="M185" s="2" t="str">
        <f t="shared" si="14"/>
        <v xml:space="preserve"> </v>
      </c>
    </row>
    <row r="186" spans="1:13" x14ac:dyDescent="0.25">
      <c r="A186" s="34" t="str">
        <f t="shared" si="10"/>
        <v xml:space="preserve"> </v>
      </c>
      <c r="D186" s="33"/>
      <c r="E186" s="33"/>
      <c r="J186" s="14">
        <f t="shared" si="11"/>
        <v>0</v>
      </c>
      <c r="K186" s="2" t="str">
        <f t="shared" si="12"/>
        <v xml:space="preserve"> </v>
      </c>
      <c r="L186" s="2" t="str">
        <f t="shared" si="13"/>
        <v xml:space="preserve"> </v>
      </c>
      <c r="M186" s="2" t="str">
        <f t="shared" si="14"/>
        <v xml:space="preserve"> </v>
      </c>
    </row>
    <row r="187" spans="1:13" x14ac:dyDescent="0.25">
      <c r="A187" s="34" t="str">
        <f t="shared" si="10"/>
        <v xml:space="preserve"> </v>
      </c>
      <c r="D187" s="33"/>
      <c r="E187" s="33"/>
      <c r="J187" s="14">
        <f t="shared" si="11"/>
        <v>0</v>
      </c>
      <c r="K187" s="2" t="str">
        <f t="shared" si="12"/>
        <v xml:space="preserve"> </v>
      </c>
      <c r="L187" s="2" t="str">
        <f t="shared" si="13"/>
        <v xml:space="preserve"> </v>
      </c>
      <c r="M187" s="2" t="str">
        <f t="shared" si="14"/>
        <v xml:space="preserve"> </v>
      </c>
    </row>
    <row r="188" spans="1:13" x14ac:dyDescent="0.25">
      <c r="A188" s="34" t="str">
        <f t="shared" si="10"/>
        <v xml:space="preserve"> </v>
      </c>
      <c r="D188" s="33"/>
      <c r="E188" s="33"/>
      <c r="J188" s="14">
        <f t="shared" si="11"/>
        <v>0</v>
      </c>
      <c r="K188" s="2" t="str">
        <f t="shared" si="12"/>
        <v xml:space="preserve"> </v>
      </c>
      <c r="L188" s="2" t="str">
        <f t="shared" si="13"/>
        <v xml:space="preserve"> </v>
      </c>
      <c r="M188" s="2" t="str">
        <f t="shared" si="14"/>
        <v xml:space="preserve"> </v>
      </c>
    </row>
    <row r="189" spans="1:13" x14ac:dyDescent="0.25">
      <c r="A189" s="34" t="str">
        <f t="shared" si="10"/>
        <v xml:space="preserve"> </v>
      </c>
      <c r="D189" s="33"/>
      <c r="E189" s="33"/>
      <c r="J189" s="14">
        <f t="shared" si="11"/>
        <v>0</v>
      </c>
      <c r="K189" s="2" t="str">
        <f t="shared" si="12"/>
        <v xml:space="preserve"> </v>
      </c>
      <c r="L189" s="2" t="str">
        <f t="shared" si="13"/>
        <v xml:space="preserve"> </v>
      </c>
      <c r="M189" s="2" t="str">
        <f t="shared" si="14"/>
        <v xml:space="preserve"> </v>
      </c>
    </row>
    <row r="190" spans="1:13" x14ac:dyDescent="0.25">
      <c r="A190" s="34" t="str">
        <f t="shared" si="10"/>
        <v xml:space="preserve"> </v>
      </c>
      <c r="D190" s="33"/>
      <c r="E190" s="33"/>
      <c r="J190" s="14">
        <f t="shared" si="11"/>
        <v>0</v>
      </c>
      <c r="K190" s="2" t="str">
        <f t="shared" si="12"/>
        <v xml:space="preserve"> </v>
      </c>
      <c r="L190" s="2" t="str">
        <f t="shared" si="13"/>
        <v xml:space="preserve"> </v>
      </c>
      <c r="M190" s="2" t="str">
        <f t="shared" si="14"/>
        <v xml:space="preserve"> </v>
      </c>
    </row>
    <row r="191" spans="1:13" x14ac:dyDescent="0.25">
      <c r="A191" s="34" t="str">
        <f t="shared" si="10"/>
        <v xml:space="preserve"> </v>
      </c>
      <c r="D191" s="33"/>
      <c r="E191" s="33"/>
      <c r="J191" s="14">
        <f t="shared" si="11"/>
        <v>0</v>
      </c>
      <c r="K191" s="2" t="str">
        <f t="shared" si="12"/>
        <v xml:space="preserve"> </v>
      </c>
      <c r="L191" s="2" t="str">
        <f t="shared" si="13"/>
        <v xml:space="preserve"> </v>
      </c>
      <c r="M191" s="2" t="str">
        <f t="shared" si="14"/>
        <v xml:space="preserve"> </v>
      </c>
    </row>
    <row r="192" spans="1:13" x14ac:dyDescent="0.25">
      <c r="A192" s="34" t="str">
        <f t="shared" si="10"/>
        <v xml:space="preserve"> </v>
      </c>
      <c r="D192" s="33"/>
      <c r="E192" s="33"/>
      <c r="J192" s="14">
        <f t="shared" si="11"/>
        <v>0</v>
      </c>
      <c r="K192" s="2" t="str">
        <f t="shared" si="12"/>
        <v xml:space="preserve"> </v>
      </c>
      <c r="L192" s="2" t="str">
        <f t="shared" si="13"/>
        <v xml:space="preserve"> </v>
      </c>
      <c r="M192" s="2" t="str">
        <f t="shared" si="14"/>
        <v xml:space="preserve"> </v>
      </c>
    </row>
    <row r="193" spans="1:13" x14ac:dyDescent="0.25">
      <c r="A193" s="34" t="str">
        <f t="shared" si="10"/>
        <v xml:space="preserve"> </v>
      </c>
      <c r="D193" s="33"/>
      <c r="E193" s="33"/>
      <c r="J193" s="14">
        <f t="shared" si="11"/>
        <v>0</v>
      </c>
      <c r="K193" s="2" t="str">
        <f t="shared" si="12"/>
        <v xml:space="preserve"> </v>
      </c>
      <c r="L193" s="2" t="str">
        <f t="shared" si="13"/>
        <v xml:space="preserve"> </v>
      </c>
      <c r="M193" s="2" t="str">
        <f t="shared" si="14"/>
        <v xml:space="preserve"> </v>
      </c>
    </row>
    <row r="194" spans="1:13" x14ac:dyDescent="0.25">
      <c r="A194" s="34" t="str">
        <f t="shared" si="10"/>
        <v xml:space="preserve"> </v>
      </c>
      <c r="D194" s="33"/>
      <c r="E194" s="33"/>
      <c r="J194" s="14">
        <f t="shared" si="11"/>
        <v>0</v>
      </c>
      <c r="K194" s="2" t="str">
        <f t="shared" si="12"/>
        <v xml:space="preserve"> </v>
      </c>
      <c r="L194" s="2" t="str">
        <f t="shared" si="13"/>
        <v xml:space="preserve"> </v>
      </c>
      <c r="M194" s="2" t="str">
        <f t="shared" si="14"/>
        <v xml:space="preserve"> </v>
      </c>
    </row>
    <row r="195" spans="1:13" x14ac:dyDescent="0.25">
      <c r="A195" s="34" t="str">
        <f t="shared" si="10"/>
        <v xml:space="preserve"> </v>
      </c>
      <c r="D195" s="33"/>
      <c r="E195" s="33"/>
      <c r="J195" s="14">
        <f t="shared" si="11"/>
        <v>0</v>
      </c>
      <c r="K195" s="2" t="str">
        <f t="shared" si="12"/>
        <v xml:space="preserve"> </v>
      </c>
      <c r="L195" s="2" t="str">
        <f t="shared" si="13"/>
        <v xml:space="preserve"> </v>
      </c>
      <c r="M195" s="2" t="str">
        <f t="shared" si="14"/>
        <v xml:space="preserve"> </v>
      </c>
    </row>
    <row r="196" spans="1:13" x14ac:dyDescent="0.25">
      <c r="A196" s="34" t="str">
        <f t="shared" si="10"/>
        <v xml:space="preserve"> </v>
      </c>
      <c r="D196" s="33"/>
      <c r="E196" s="33"/>
      <c r="J196" s="14">
        <f t="shared" si="11"/>
        <v>0</v>
      </c>
      <c r="K196" s="2" t="str">
        <f t="shared" si="12"/>
        <v xml:space="preserve"> </v>
      </c>
      <c r="L196" s="2" t="str">
        <f t="shared" si="13"/>
        <v xml:space="preserve"> </v>
      </c>
      <c r="M196" s="2" t="str">
        <f t="shared" si="14"/>
        <v xml:space="preserve"> </v>
      </c>
    </row>
    <row r="197" spans="1:13" x14ac:dyDescent="0.25">
      <c r="A197" s="34" t="str">
        <f t="shared" si="10"/>
        <v xml:space="preserve"> </v>
      </c>
      <c r="D197" s="33"/>
      <c r="E197" s="33"/>
      <c r="J197" s="14">
        <f t="shared" si="11"/>
        <v>0</v>
      </c>
      <c r="K197" s="2" t="str">
        <f t="shared" si="12"/>
        <v xml:space="preserve"> </v>
      </c>
      <c r="L197" s="2" t="str">
        <f t="shared" si="13"/>
        <v xml:space="preserve"> </v>
      </c>
      <c r="M197" s="2" t="str">
        <f t="shared" si="14"/>
        <v xml:space="preserve"> </v>
      </c>
    </row>
    <row r="198" spans="1:13" x14ac:dyDescent="0.25">
      <c r="A198" s="34" t="str">
        <f t="shared" si="10"/>
        <v xml:space="preserve"> </v>
      </c>
      <c r="D198" s="33"/>
      <c r="E198" s="33"/>
      <c r="J198" s="14">
        <f t="shared" si="11"/>
        <v>0</v>
      </c>
      <c r="K198" s="2" t="str">
        <f t="shared" si="12"/>
        <v xml:space="preserve"> </v>
      </c>
      <c r="L198" s="2" t="str">
        <f t="shared" si="13"/>
        <v xml:space="preserve"> </v>
      </c>
      <c r="M198" s="2" t="str">
        <f t="shared" si="14"/>
        <v xml:space="preserve"> </v>
      </c>
    </row>
    <row r="199" spans="1:13" x14ac:dyDescent="0.25">
      <c r="A199" s="34" t="str">
        <f t="shared" si="10"/>
        <v xml:space="preserve"> </v>
      </c>
      <c r="D199" s="33"/>
      <c r="E199" s="33"/>
      <c r="J199" s="14">
        <f t="shared" si="11"/>
        <v>0</v>
      </c>
      <c r="K199" s="2" t="str">
        <f t="shared" si="12"/>
        <v xml:space="preserve"> </v>
      </c>
      <c r="L199" s="2" t="str">
        <f t="shared" si="13"/>
        <v xml:space="preserve"> </v>
      </c>
      <c r="M199" s="2" t="str">
        <f t="shared" si="14"/>
        <v xml:space="preserve"> </v>
      </c>
    </row>
    <row r="200" spans="1:13" x14ac:dyDescent="0.25">
      <c r="A200" s="34" t="str">
        <f t="shared" si="10"/>
        <v xml:space="preserve"> </v>
      </c>
      <c r="D200" s="33"/>
      <c r="E200" s="33"/>
      <c r="J200" s="14">
        <f t="shared" si="11"/>
        <v>0</v>
      </c>
      <c r="K200" s="2" t="str">
        <f t="shared" si="12"/>
        <v xml:space="preserve"> </v>
      </c>
      <c r="L200" s="2" t="str">
        <f t="shared" si="13"/>
        <v xml:space="preserve"> </v>
      </c>
      <c r="M200" s="2" t="str">
        <f t="shared" si="14"/>
        <v xml:space="preserve"> </v>
      </c>
    </row>
    <row r="201" spans="1:13" x14ac:dyDescent="0.25">
      <c r="A201" s="34" t="str">
        <f t="shared" si="10"/>
        <v xml:space="preserve"> </v>
      </c>
      <c r="D201" s="33"/>
      <c r="E201" s="33"/>
      <c r="J201" s="14">
        <f t="shared" si="11"/>
        <v>0</v>
      </c>
      <c r="K201" s="2" t="str">
        <f t="shared" si="12"/>
        <v xml:space="preserve"> </v>
      </c>
      <c r="L201" s="2" t="str">
        <f t="shared" si="13"/>
        <v xml:space="preserve"> </v>
      </c>
      <c r="M201" s="2" t="str">
        <f t="shared" si="14"/>
        <v xml:space="preserve"> </v>
      </c>
    </row>
    <row r="202" spans="1:13" x14ac:dyDescent="0.25">
      <c r="A202" s="34" t="str">
        <f t="shared" si="10"/>
        <v xml:space="preserve"> </v>
      </c>
      <c r="D202" s="33"/>
      <c r="E202" s="33"/>
      <c r="J202" s="14">
        <f t="shared" si="11"/>
        <v>0</v>
      </c>
      <c r="K202" s="2" t="str">
        <f t="shared" si="12"/>
        <v xml:space="preserve"> </v>
      </c>
      <c r="L202" s="2" t="str">
        <f t="shared" si="13"/>
        <v xml:space="preserve"> </v>
      </c>
      <c r="M202" s="2" t="str">
        <f t="shared" si="14"/>
        <v xml:space="preserve"> </v>
      </c>
    </row>
    <row r="203" spans="1:13" x14ac:dyDescent="0.25">
      <c r="A203" s="34" t="str">
        <f t="shared" si="10"/>
        <v xml:space="preserve"> </v>
      </c>
      <c r="D203" s="33"/>
      <c r="E203" s="33"/>
      <c r="J203" s="14">
        <f t="shared" si="11"/>
        <v>0</v>
      </c>
      <c r="K203" s="2" t="str">
        <f t="shared" si="12"/>
        <v xml:space="preserve"> </v>
      </c>
      <c r="L203" s="2" t="str">
        <f t="shared" si="13"/>
        <v xml:space="preserve"> </v>
      </c>
      <c r="M203" s="2" t="str">
        <f t="shared" si="14"/>
        <v xml:space="preserve"> </v>
      </c>
    </row>
    <row r="204" spans="1:13" x14ac:dyDescent="0.25">
      <c r="A204" s="34" t="str">
        <f t="shared" si="10"/>
        <v xml:space="preserve"> </v>
      </c>
      <c r="D204" s="33"/>
      <c r="E204" s="33"/>
      <c r="J204" s="14">
        <f t="shared" si="11"/>
        <v>0</v>
      </c>
      <c r="K204" s="2" t="str">
        <f t="shared" si="12"/>
        <v xml:space="preserve"> </v>
      </c>
      <c r="L204" s="2" t="str">
        <f t="shared" si="13"/>
        <v xml:space="preserve"> </v>
      </c>
      <c r="M204" s="2" t="str">
        <f t="shared" si="14"/>
        <v xml:space="preserve"> </v>
      </c>
    </row>
    <row r="205" spans="1:13" x14ac:dyDescent="0.25">
      <c r="A205" s="34" t="str">
        <f t="shared" si="10"/>
        <v xml:space="preserve"> </v>
      </c>
      <c r="D205" s="33"/>
      <c r="E205" s="33"/>
      <c r="J205" s="14">
        <f t="shared" si="11"/>
        <v>0</v>
      </c>
      <c r="K205" s="2" t="str">
        <f t="shared" si="12"/>
        <v xml:space="preserve"> </v>
      </c>
      <c r="L205" s="2" t="str">
        <f t="shared" si="13"/>
        <v xml:space="preserve"> </v>
      </c>
      <c r="M205" s="2" t="str">
        <f t="shared" si="14"/>
        <v xml:space="preserve"> </v>
      </c>
    </row>
    <row r="206" spans="1:13" x14ac:dyDescent="0.25">
      <c r="A206" s="34" t="str">
        <f t="shared" si="10"/>
        <v xml:space="preserve"> </v>
      </c>
      <c r="D206" s="33"/>
      <c r="E206" s="33"/>
      <c r="J206" s="14">
        <f t="shared" si="11"/>
        <v>0</v>
      </c>
      <c r="K206" s="2" t="str">
        <f t="shared" si="12"/>
        <v xml:space="preserve"> </v>
      </c>
      <c r="L206" s="2" t="str">
        <f t="shared" si="13"/>
        <v xml:space="preserve"> </v>
      </c>
      <c r="M206" s="2" t="str">
        <f t="shared" si="14"/>
        <v xml:space="preserve"> </v>
      </c>
    </row>
    <row r="207" spans="1:13" x14ac:dyDescent="0.25">
      <c r="A207" s="34" t="str">
        <f t="shared" ref="A207:A270" si="15">IF(COUNTIF(K207:M207,"ERROR")&gt;0,"ERROR"," ")</f>
        <v xml:space="preserve"> </v>
      </c>
      <c r="D207" s="33"/>
      <c r="E207" s="33"/>
      <c r="J207" s="14">
        <f t="shared" ref="J207:J270" si="16">F207-G207+H207-I207</f>
        <v>0</v>
      </c>
      <c r="K207" s="2" t="str">
        <f t="shared" si="12"/>
        <v xml:space="preserve"> </v>
      </c>
      <c r="L207" s="2" t="str">
        <f t="shared" si="13"/>
        <v xml:space="preserve"> </v>
      </c>
      <c r="M207" s="2" t="str">
        <f t="shared" si="14"/>
        <v xml:space="preserve"> </v>
      </c>
    </row>
    <row r="208" spans="1:13" x14ac:dyDescent="0.25">
      <c r="A208" s="34" t="str">
        <f t="shared" si="15"/>
        <v xml:space="preserve"> </v>
      </c>
      <c r="D208" s="33"/>
      <c r="E208" s="33"/>
      <c r="J208" s="14">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x14ac:dyDescent="0.25">
      <c r="A209" s="34" t="str">
        <f t="shared" si="15"/>
        <v xml:space="preserve"> </v>
      </c>
      <c r="D209" s="33"/>
      <c r="E209" s="33"/>
      <c r="J209" s="14">
        <f t="shared" si="16"/>
        <v>0</v>
      </c>
      <c r="K209" s="2" t="str">
        <f t="shared" si="17"/>
        <v xml:space="preserve"> </v>
      </c>
      <c r="L209" s="2" t="str">
        <f t="shared" si="18"/>
        <v xml:space="preserve"> </v>
      </c>
      <c r="M209" s="2" t="str">
        <f t="shared" si="19"/>
        <v xml:space="preserve"> </v>
      </c>
    </row>
    <row r="210" spans="1:13" x14ac:dyDescent="0.25">
      <c r="A210" s="34" t="str">
        <f t="shared" si="15"/>
        <v xml:space="preserve"> </v>
      </c>
      <c r="D210" s="33"/>
      <c r="E210" s="33"/>
      <c r="J210" s="14">
        <f t="shared" si="16"/>
        <v>0</v>
      </c>
      <c r="K210" s="2" t="str">
        <f t="shared" si="17"/>
        <v xml:space="preserve"> </v>
      </c>
      <c r="L210" s="2" t="str">
        <f t="shared" si="18"/>
        <v xml:space="preserve"> </v>
      </c>
      <c r="M210" s="2" t="str">
        <f t="shared" si="19"/>
        <v xml:space="preserve"> </v>
      </c>
    </row>
    <row r="211" spans="1:13" x14ac:dyDescent="0.25">
      <c r="A211" s="34" t="str">
        <f t="shared" si="15"/>
        <v xml:space="preserve"> </v>
      </c>
      <c r="D211" s="33"/>
      <c r="E211" s="33"/>
      <c r="J211" s="14">
        <f t="shared" si="16"/>
        <v>0</v>
      </c>
      <c r="K211" s="2" t="str">
        <f t="shared" si="17"/>
        <v xml:space="preserve"> </v>
      </c>
      <c r="L211" s="2" t="str">
        <f t="shared" si="18"/>
        <v xml:space="preserve"> </v>
      </c>
      <c r="M211" s="2" t="str">
        <f t="shared" si="19"/>
        <v xml:space="preserve"> </v>
      </c>
    </row>
    <row r="212" spans="1:13" x14ac:dyDescent="0.25">
      <c r="A212" s="34" t="str">
        <f t="shared" si="15"/>
        <v xml:space="preserve"> </v>
      </c>
      <c r="D212" s="33"/>
      <c r="E212" s="33"/>
      <c r="J212" s="14">
        <f t="shared" si="16"/>
        <v>0</v>
      </c>
      <c r="K212" s="2" t="str">
        <f t="shared" si="17"/>
        <v xml:space="preserve"> </v>
      </c>
      <c r="L212" s="2" t="str">
        <f t="shared" si="18"/>
        <v xml:space="preserve"> </v>
      </c>
      <c r="M212" s="2" t="str">
        <f t="shared" si="19"/>
        <v xml:space="preserve"> </v>
      </c>
    </row>
    <row r="213" spans="1:13" x14ac:dyDescent="0.25">
      <c r="A213" s="34" t="str">
        <f t="shared" si="15"/>
        <v xml:space="preserve"> </v>
      </c>
      <c r="D213" s="33"/>
      <c r="E213" s="33"/>
      <c r="J213" s="14">
        <f t="shared" si="16"/>
        <v>0</v>
      </c>
      <c r="K213" s="2" t="str">
        <f t="shared" si="17"/>
        <v xml:space="preserve"> </v>
      </c>
      <c r="L213" s="2" t="str">
        <f t="shared" si="18"/>
        <v xml:space="preserve"> </v>
      </c>
      <c r="M213" s="2" t="str">
        <f t="shared" si="19"/>
        <v xml:space="preserve"> </v>
      </c>
    </row>
    <row r="214" spans="1:13" x14ac:dyDescent="0.25">
      <c r="A214" s="34" t="str">
        <f t="shared" si="15"/>
        <v xml:space="preserve"> </v>
      </c>
      <c r="D214" s="33"/>
      <c r="E214" s="33"/>
      <c r="J214" s="14">
        <f t="shared" si="16"/>
        <v>0</v>
      </c>
      <c r="K214" s="2" t="str">
        <f t="shared" si="17"/>
        <v xml:space="preserve"> </v>
      </c>
      <c r="L214" s="2" t="str">
        <f t="shared" si="18"/>
        <v xml:space="preserve"> </v>
      </c>
      <c r="M214" s="2" t="str">
        <f t="shared" si="19"/>
        <v xml:space="preserve"> </v>
      </c>
    </row>
    <row r="215" spans="1:13" x14ac:dyDescent="0.25">
      <c r="A215" s="34" t="str">
        <f t="shared" si="15"/>
        <v xml:space="preserve"> </v>
      </c>
      <c r="D215" s="33"/>
      <c r="E215" s="33"/>
      <c r="J215" s="14">
        <f t="shared" si="16"/>
        <v>0</v>
      </c>
      <c r="K215" s="2" t="str">
        <f t="shared" si="17"/>
        <v xml:space="preserve"> </v>
      </c>
      <c r="L215" s="2" t="str">
        <f t="shared" si="18"/>
        <v xml:space="preserve"> </v>
      </c>
      <c r="M215" s="2" t="str">
        <f t="shared" si="19"/>
        <v xml:space="preserve"> </v>
      </c>
    </row>
    <row r="216" spans="1:13" x14ac:dyDescent="0.25">
      <c r="A216" s="34" t="str">
        <f t="shared" si="15"/>
        <v xml:space="preserve"> </v>
      </c>
      <c r="D216" s="33"/>
      <c r="E216" s="33"/>
      <c r="J216" s="14">
        <f t="shared" si="16"/>
        <v>0</v>
      </c>
      <c r="K216" s="2" t="str">
        <f t="shared" si="17"/>
        <v xml:space="preserve"> </v>
      </c>
      <c r="L216" s="2" t="str">
        <f t="shared" si="18"/>
        <v xml:space="preserve"> </v>
      </c>
      <c r="M216" s="2" t="str">
        <f t="shared" si="19"/>
        <v xml:space="preserve"> </v>
      </c>
    </row>
    <row r="217" spans="1:13" x14ac:dyDescent="0.25">
      <c r="A217" s="34" t="str">
        <f t="shared" si="15"/>
        <v xml:space="preserve"> </v>
      </c>
      <c r="D217" s="33"/>
      <c r="E217" s="33"/>
      <c r="J217" s="14">
        <f t="shared" si="16"/>
        <v>0</v>
      </c>
      <c r="K217" s="2" t="str">
        <f t="shared" si="17"/>
        <v xml:space="preserve"> </v>
      </c>
      <c r="L217" s="2" t="str">
        <f t="shared" si="18"/>
        <v xml:space="preserve"> </v>
      </c>
      <c r="M217" s="2" t="str">
        <f t="shared" si="19"/>
        <v xml:space="preserve"> </v>
      </c>
    </row>
    <row r="218" spans="1:13" x14ac:dyDescent="0.25">
      <c r="A218" s="34" t="str">
        <f t="shared" si="15"/>
        <v xml:space="preserve"> </v>
      </c>
      <c r="D218" s="33"/>
      <c r="E218" s="33"/>
      <c r="J218" s="14">
        <f t="shared" si="16"/>
        <v>0</v>
      </c>
      <c r="K218" s="2" t="str">
        <f t="shared" si="17"/>
        <v xml:space="preserve"> </v>
      </c>
      <c r="L218" s="2" t="str">
        <f t="shared" si="18"/>
        <v xml:space="preserve"> </v>
      </c>
      <c r="M218" s="2" t="str">
        <f t="shared" si="19"/>
        <v xml:space="preserve"> </v>
      </c>
    </row>
    <row r="219" spans="1:13" x14ac:dyDescent="0.25">
      <c r="A219" s="34" t="str">
        <f t="shared" si="15"/>
        <v xml:space="preserve"> </v>
      </c>
      <c r="D219" s="33"/>
      <c r="E219" s="33"/>
      <c r="J219" s="14">
        <f t="shared" si="16"/>
        <v>0</v>
      </c>
      <c r="K219" s="2" t="str">
        <f t="shared" si="17"/>
        <v xml:space="preserve"> </v>
      </c>
      <c r="L219" s="2" t="str">
        <f t="shared" si="18"/>
        <v xml:space="preserve"> </v>
      </c>
      <c r="M219" s="2" t="str">
        <f t="shared" si="19"/>
        <v xml:space="preserve"> </v>
      </c>
    </row>
    <row r="220" spans="1:13" x14ac:dyDescent="0.25">
      <c r="A220" s="34" t="str">
        <f t="shared" si="15"/>
        <v xml:space="preserve"> </v>
      </c>
      <c r="D220" s="33"/>
      <c r="E220" s="33"/>
      <c r="J220" s="14">
        <f t="shared" si="16"/>
        <v>0</v>
      </c>
      <c r="K220" s="2" t="str">
        <f t="shared" si="17"/>
        <v xml:space="preserve"> </v>
      </c>
      <c r="L220" s="2" t="str">
        <f t="shared" si="18"/>
        <v xml:space="preserve"> </v>
      </c>
      <c r="M220" s="2" t="str">
        <f t="shared" si="19"/>
        <v xml:space="preserve"> </v>
      </c>
    </row>
    <row r="221" spans="1:13" x14ac:dyDescent="0.25">
      <c r="A221" s="34" t="str">
        <f t="shared" si="15"/>
        <v xml:space="preserve"> </v>
      </c>
      <c r="D221" s="33"/>
      <c r="E221" s="33"/>
      <c r="J221" s="14">
        <f t="shared" si="16"/>
        <v>0</v>
      </c>
      <c r="K221" s="2" t="str">
        <f t="shared" si="17"/>
        <v xml:space="preserve"> </v>
      </c>
      <c r="L221" s="2" t="str">
        <f t="shared" si="18"/>
        <v xml:space="preserve"> </v>
      </c>
      <c r="M221" s="2" t="str">
        <f t="shared" si="19"/>
        <v xml:space="preserve"> </v>
      </c>
    </row>
    <row r="222" spans="1:13" x14ac:dyDescent="0.25">
      <c r="A222" s="34" t="str">
        <f t="shared" si="15"/>
        <v xml:space="preserve"> </v>
      </c>
      <c r="D222" s="33"/>
      <c r="E222" s="33"/>
      <c r="J222" s="14">
        <f t="shared" si="16"/>
        <v>0</v>
      </c>
      <c r="K222" s="2" t="str">
        <f t="shared" si="17"/>
        <v xml:space="preserve"> </v>
      </c>
      <c r="L222" s="2" t="str">
        <f t="shared" si="18"/>
        <v xml:space="preserve"> </v>
      </c>
      <c r="M222" s="2" t="str">
        <f t="shared" si="19"/>
        <v xml:space="preserve"> </v>
      </c>
    </row>
    <row r="223" spans="1:13" x14ac:dyDescent="0.25">
      <c r="A223" s="34" t="str">
        <f t="shared" si="15"/>
        <v xml:space="preserve"> </v>
      </c>
      <c r="D223" s="33"/>
      <c r="E223" s="33"/>
      <c r="J223" s="14">
        <f t="shared" si="16"/>
        <v>0</v>
      </c>
      <c r="K223" s="2" t="str">
        <f t="shared" si="17"/>
        <v xml:space="preserve"> </v>
      </c>
      <c r="L223" s="2" t="str">
        <f t="shared" si="18"/>
        <v xml:space="preserve"> </v>
      </c>
      <c r="M223" s="2" t="str">
        <f t="shared" si="19"/>
        <v xml:space="preserve"> </v>
      </c>
    </row>
    <row r="224" spans="1:13" x14ac:dyDescent="0.25">
      <c r="A224" s="34" t="str">
        <f t="shared" si="15"/>
        <v xml:space="preserve"> </v>
      </c>
      <c r="D224" s="33"/>
      <c r="E224" s="33"/>
      <c r="J224" s="14">
        <f t="shared" si="16"/>
        <v>0</v>
      </c>
      <c r="K224" s="2" t="str">
        <f t="shared" si="17"/>
        <v xml:space="preserve"> </v>
      </c>
      <c r="L224" s="2" t="str">
        <f t="shared" si="18"/>
        <v xml:space="preserve"> </v>
      </c>
      <c r="M224" s="2" t="str">
        <f t="shared" si="19"/>
        <v xml:space="preserve"> </v>
      </c>
    </row>
    <row r="225" spans="1:13" x14ac:dyDescent="0.25">
      <c r="A225" s="34" t="str">
        <f t="shared" si="15"/>
        <v xml:space="preserve"> </v>
      </c>
      <c r="D225" s="33"/>
      <c r="E225" s="33"/>
      <c r="J225" s="14">
        <f t="shared" si="16"/>
        <v>0</v>
      </c>
      <c r="K225" s="2" t="str">
        <f t="shared" si="17"/>
        <v xml:space="preserve"> </v>
      </c>
      <c r="L225" s="2" t="str">
        <f t="shared" si="18"/>
        <v xml:space="preserve"> </v>
      </c>
      <c r="M225" s="2" t="str">
        <f t="shared" si="19"/>
        <v xml:space="preserve"> </v>
      </c>
    </row>
    <row r="226" spans="1:13" x14ac:dyDescent="0.25">
      <c r="A226" s="34" t="str">
        <f t="shared" si="15"/>
        <v xml:space="preserve"> </v>
      </c>
      <c r="D226" s="33"/>
      <c r="E226" s="33"/>
      <c r="J226" s="14">
        <f t="shared" si="16"/>
        <v>0</v>
      </c>
      <c r="K226" s="2" t="str">
        <f t="shared" si="17"/>
        <v xml:space="preserve"> </v>
      </c>
      <c r="L226" s="2" t="str">
        <f t="shared" si="18"/>
        <v xml:space="preserve"> </v>
      </c>
      <c r="M226" s="2" t="str">
        <f t="shared" si="19"/>
        <v xml:space="preserve"> </v>
      </c>
    </row>
    <row r="227" spans="1:13" x14ac:dyDescent="0.25">
      <c r="A227" s="34" t="str">
        <f t="shared" si="15"/>
        <v xml:space="preserve"> </v>
      </c>
      <c r="D227" s="33"/>
      <c r="E227" s="33"/>
      <c r="J227" s="14">
        <f t="shared" si="16"/>
        <v>0</v>
      </c>
      <c r="K227" s="2" t="str">
        <f t="shared" si="17"/>
        <v xml:space="preserve"> </v>
      </c>
      <c r="L227" s="2" t="str">
        <f t="shared" si="18"/>
        <v xml:space="preserve"> </v>
      </c>
      <c r="M227" s="2" t="str">
        <f t="shared" si="19"/>
        <v xml:space="preserve"> </v>
      </c>
    </row>
    <row r="228" spans="1:13" x14ac:dyDescent="0.25">
      <c r="A228" s="34" t="str">
        <f t="shared" si="15"/>
        <v xml:space="preserve"> </v>
      </c>
      <c r="D228" s="33"/>
      <c r="E228" s="33"/>
      <c r="J228" s="14">
        <f t="shared" si="16"/>
        <v>0</v>
      </c>
      <c r="K228" s="2" t="str">
        <f t="shared" si="17"/>
        <v xml:space="preserve"> </v>
      </c>
      <c r="L228" s="2" t="str">
        <f t="shared" si="18"/>
        <v xml:space="preserve"> </v>
      </c>
      <c r="M228" s="2" t="str">
        <f t="shared" si="19"/>
        <v xml:space="preserve"> </v>
      </c>
    </row>
    <row r="229" spans="1:13" x14ac:dyDescent="0.25">
      <c r="A229" s="34" t="str">
        <f t="shared" si="15"/>
        <v xml:space="preserve"> </v>
      </c>
      <c r="D229" s="33"/>
      <c r="E229" s="33"/>
      <c r="J229" s="14">
        <f t="shared" si="16"/>
        <v>0</v>
      </c>
      <c r="K229" s="2" t="str">
        <f t="shared" si="17"/>
        <v xml:space="preserve"> </v>
      </c>
      <c r="L229" s="2" t="str">
        <f t="shared" si="18"/>
        <v xml:space="preserve"> </v>
      </c>
      <c r="M229" s="2" t="str">
        <f t="shared" si="19"/>
        <v xml:space="preserve"> </v>
      </c>
    </row>
    <row r="230" spans="1:13" x14ac:dyDescent="0.25">
      <c r="A230" s="34" t="str">
        <f t="shared" si="15"/>
        <v xml:space="preserve"> </v>
      </c>
      <c r="D230" s="33"/>
      <c r="E230" s="33"/>
      <c r="J230" s="14">
        <f t="shared" si="16"/>
        <v>0</v>
      </c>
      <c r="K230" s="2" t="str">
        <f t="shared" si="17"/>
        <v xml:space="preserve"> </v>
      </c>
      <c r="L230" s="2" t="str">
        <f t="shared" si="18"/>
        <v xml:space="preserve"> </v>
      </c>
      <c r="M230" s="2" t="str">
        <f t="shared" si="19"/>
        <v xml:space="preserve"> </v>
      </c>
    </row>
    <row r="231" spans="1:13" x14ac:dyDescent="0.25">
      <c r="A231" s="34" t="str">
        <f t="shared" si="15"/>
        <v xml:space="preserve"> </v>
      </c>
      <c r="D231" s="33"/>
      <c r="E231" s="33"/>
      <c r="J231" s="14">
        <f t="shared" si="16"/>
        <v>0</v>
      </c>
      <c r="K231" s="2" t="str">
        <f t="shared" si="17"/>
        <v xml:space="preserve"> </v>
      </c>
      <c r="L231" s="2" t="str">
        <f t="shared" si="18"/>
        <v xml:space="preserve"> </v>
      </c>
      <c r="M231" s="2" t="str">
        <f t="shared" si="19"/>
        <v xml:space="preserve"> </v>
      </c>
    </row>
    <row r="232" spans="1:13" x14ac:dyDescent="0.25">
      <c r="A232" s="34" t="str">
        <f t="shared" si="15"/>
        <v xml:space="preserve"> </v>
      </c>
      <c r="D232" s="33"/>
      <c r="E232" s="33"/>
      <c r="J232" s="14">
        <f t="shared" si="16"/>
        <v>0</v>
      </c>
      <c r="K232" s="2" t="str">
        <f t="shared" si="17"/>
        <v xml:space="preserve"> </v>
      </c>
      <c r="L232" s="2" t="str">
        <f t="shared" si="18"/>
        <v xml:space="preserve"> </v>
      </c>
      <c r="M232" s="2" t="str">
        <f t="shared" si="19"/>
        <v xml:space="preserve"> </v>
      </c>
    </row>
    <row r="233" spans="1:13" x14ac:dyDescent="0.25">
      <c r="A233" s="34" t="str">
        <f t="shared" si="15"/>
        <v xml:space="preserve"> </v>
      </c>
      <c r="D233" s="33"/>
      <c r="E233" s="33"/>
      <c r="J233" s="14">
        <f t="shared" si="16"/>
        <v>0</v>
      </c>
      <c r="K233" s="2" t="str">
        <f t="shared" si="17"/>
        <v xml:space="preserve"> </v>
      </c>
      <c r="L233" s="2" t="str">
        <f t="shared" si="18"/>
        <v xml:space="preserve"> </v>
      </c>
      <c r="M233" s="2" t="str">
        <f t="shared" si="19"/>
        <v xml:space="preserve"> </v>
      </c>
    </row>
    <row r="234" spans="1:13" x14ac:dyDescent="0.25">
      <c r="A234" s="34" t="str">
        <f t="shared" si="15"/>
        <v xml:space="preserve"> </v>
      </c>
      <c r="D234" s="33"/>
      <c r="E234" s="33"/>
      <c r="J234" s="14">
        <f t="shared" si="16"/>
        <v>0</v>
      </c>
      <c r="K234" s="2" t="str">
        <f t="shared" si="17"/>
        <v xml:space="preserve"> </v>
      </c>
      <c r="L234" s="2" t="str">
        <f t="shared" si="18"/>
        <v xml:space="preserve"> </v>
      </c>
      <c r="M234" s="2" t="str">
        <f t="shared" si="19"/>
        <v xml:space="preserve"> </v>
      </c>
    </row>
    <row r="235" spans="1:13" x14ac:dyDescent="0.25">
      <c r="A235" s="34" t="str">
        <f t="shared" si="15"/>
        <v xml:space="preserve"> </v>
      </c>
      <c r="D235" s="33"/>
      <c r="E235" s="33"/>
      <c r="J235" s="14">
        <f t="shared" si="16"/>
        <v>0</v>
      </c>
      <c r="K235" s="2" t="str">
        <f t="shared" si="17"/>
        <v xml:space="preserve"> </v>
      </c>
      <c r="L235" s="2" t="str">
        <f t="shared" si="18"/>
        <v xml:space="preserve"> </v>
      </c>
      <c r="M235" s="2" t="str">
        <f t="shared" si="19"/>
        <v xml:space="preserve"> </v>
      </c>
    </row>
    <row r="236" spans="1:13" x14ac:dyDescent="0.25">
      <c r="A236" s="34" t="str">
        <f t="shared" si="15"/>
        <v xml:space="preserve"> </v>
      </c>
      <c r="D236" s="33"/>
      <c r="E236" s="33"/>
      <c r="J236" s="14">
        <f t="shared" si="16"/>
        <v>0</v>
      </c>
      <c r="K236" s="2" t="str">
        <f t="shared" si="17"/>
        <v xml:space="preserve"> </v>
      </c>
      <c r="L236" s="2" t="str">
        <f t="shared" si="18"/>
        <v xml:space="preserve"> </v>
      </c>
      <c r="M236" s="2" t="str">
        <f t="shared" si="19"/>
        <v xml:space="preserve"> </v>
      </c>
    </row>
    <row r="237" spans="1:13" x14ac:dyDescent="0.25">
      <c r="A237" s="34" t="str">
        <f t="shared" si="15"/>
        <v xml:space="preserve"> </v>
      </c>
      <c r="D237" s="33"/>
      <c r="E237" s="33"/>
      <c r="J237" s="14">
        <f t="shared" si="16"/>
        <v>0</v>
      </c>
      <c r="K237" s="2" t="str">
        <f t="shared" si="17"/>
        <v xml:space="preserve"> </v>
      </c>
      <c r="L237" s="2" t="str">
        <f t="shared" si="18"/>
        <v xml:space="preserve"> </v>
      </c>
      <c r="M237" s="2" t="str">
        <f t="shared" si="19"/>
        <v xml:space="preserve"> </v>
      </c>
    </row>
    <row r="238" spans="1:13" x14ac:dyDescent="0.25">
      <c r="A238" s="34" t="str">
        <f t="shared" si="15"/>
        <v xml:space="preserve"> </v>
      </c>
      <c r="D238" s="33"/>
      <c r="E238" s="33"/>
      <c r="J238" s="14">
        <f t="shared" si="16"/>
        <v>0</v>
      </c>
      <c r="K238" s="2" t="str">
        <f t="shared" si="17"/>
        <v xml:space="preserve"> </v>
      </c>
      <c r="L238" s="2" t="str">
        <f t="shared" si="18"/>
        <v xml:space="preserve"> </v>
      </c>
      <c r="M238" s="2" t="str">
        <f t="shared" si="19"/>
        <v xml:space="preserve"> </v>
      </c>
    </row>
    <row r="239" spans="1:13" x14ac:dyDescent="0.25">
      <c r="A239" s="34" t="str">
        <f t="shared" si="15"/>
        <v xml:space="preserve"> </v>
      </c>
      <c r="D239" s="33"/>
      <c r="E239" s="33"/>
      <c r="J239" s="14">
        <f t="shared" si="16"/>
        <v>0</v>
      </c>
      <c r="K239" s="2" t="str">
        <f t="shared" si="17"/>
        <v xml:space="preserve"> </v>
      </c>
      <c r="L239" s="2" t="str">
        <f t="shared" si="18"/>
        <v xml:space="preserve"> </v>
      </c>
      <c r="M239" s="2" t="str">
        <f t="shared" si="19"/>
        <v xml:space="preserve"> </v>
      </c>
    </row>
    <row r="240" spans="1:13" x14ac:dyDescent="0.25">
      <c r="A240" s="34" t="str">
        <f t="shared" si="15"/>
        <v xml:space="preserve"> </v>
      </c>
      <c r="D240" s="33"/>
      <c r="E240" s="33"/>
      <c r="J240" s="14">
        <f t="shared" si="16"/>
        <v>0</v>
      </c>
      <c r="K240" s="2" t="str">
        <f t="shared" si="17"/>
        <v xml:space="preserve"> </v>
      </c>
      <c r="L240" s="2" t="str">
        <f t="shared" si="18"/>
        <v xml:space="preserve"> </v>
      </c>
      <c r="M240" s="2" t="str">
        <f t="shared" si="19"/>
        <v xml:space="preserve"> </v>
      </c>
    </row>
    <row r="241" spans="1:13" x14ac:dyDescent="0.25">
      <c r="A241" s="34" t="str">
        <f t="shared" si="15"/>
        <v xml:space="preserve"> </v>
      </c>
      <c r="D241" s="33"/>
      <c r="E241" s="33"/>
      <c r="J241" s="14">
        <f t="shared" si="16"/>
        <v>0</v>
      </c>
      <c r="K241" s="2" t="str">
        <f t="shared" si="17"/>
        <v xml:space="preserve"> </v>
      </c>
      <c r="L241" s="2" t="str">
        <f t="shared" si="18"/>
        <v xml:space="preserve"> </v>
      </c>
      <c r="M241" s="2" t="str">
        <f t="shared" si="19"/>
        <v xml:space="preserve"> </v>
      </c>
    </row>
    <row r="242" spans="1:13" x14ac:dyDescent="0.25">
      <c r="A242" s="34" t="str">
        <f t="shared" si="15"/>
        <v xml:space="preserve"> </v>
      </c>
      <c r="D242" s="33"/>
      <c r="E242" s="33"/>
      <c r="J242" s="14">
        <f t="shared" si="16"/>
        <v>0</v>
      </c>
      <c r="K242" s="2" t="str">
        <f t="shared" si="17"/>
        <v xml:space="preserve"> </v>
      </c>
      <c r="L242" s="2" t="str">
        <f t="shared" si="18"/>
        <v xml:space="preserve"> </v>
      </c>
      <c r="M242" s="2" t="str">
        <f t="shared" si="19"/>
        <v xml:space="preserve"> </v>
      </c>
    </row>
    <row r="243" spans="1:13" x14ac:dyDescent="0.25">
      <c r="A243" s="34" t="str">
        <f t="shared" si="15"/>
        <v xml:space="preserve"> </v>
      </c>
      <c r="D243" s="33"/>
      <c r="E243" s="33"/>
      <c r="J243" s="14">
        <f t="shared" si="16"/>
        <v>0</v>
      </c>
      <c r="K243" s="2" t="str">
        <f t="shared" si="17"/>
        <v xml:space="preserve"> </v>
      </c>
      <c r="L243" s="2" t="str">
        <f t="shared" si="18"/>
        <v xml:space="preserve"> </v>
      </c>
      <c r="M243" s="2" t="str">
        <f t="shared" si="19"/>
        <v xml:space="preserve"> </v>
      </c>
    </row>
    <row r="244" spans="1:13" x14ac:dyDescent="0.25">
      <c r="A244" s="34" t="str">
        <f t="shared" si="15"/>
        <v xml:space="preserve"> </v>
      </c>
      <c r="D244" s="33"/>
      <c r="E244" s="33"/>
      <c r="J244" s="14">
        <f t="shared" si="16"/>
        <v>0</v>
      </c>
      <c r="K244" s="2" t="str">
        <f t="shared" si="17"/>
        <v xml:space="preserve"> </v>
      </c>
      <c r="L244" s="2" t="str">
        <f t="shared" si="18"/>
        <v xml:space="preserve"> </v>
      </c>
      <c r="M244" s="2" t="str">
        <f t="shared" si="19"/>
        <v xml:space="preserve"> </v>
      </c>
    </row>
    <row r="245" spans="1:13" x14ac:dyDescent="0.25">
      <c r="A245" s="34" t="str">
        <f t="shared" si="15"/>
        <v xml:space="preserve"> </v>
      </c>
      <c r="D245" s="33"/>
      <c r="E245" s="33"/>
      <c r="J245" s="14">
        <f t="shared" si="16"/>
        <v>0</v>
      </c>
      <c r="K245" s="2" t="str">
        <f t="shared" si="17"/>
        <v xml:space="preserve"> </v>
      </c>
      <c r="L245" s="2" t="str">
        <f t="shared" si="18"/>
        <v xml:space="preserve"> </v>
      </c>
      <c r="M245" s="2" t="str">
        <f t="shared" si="19"/>
        <v xml:space="preserve"> </v>
      </c>
    </row>
    <row r="246" spans="1:13" x14ac:dyDescent="0.25">
      <c r="A246" s="34" t="str">
        <f t="shared" si="15"/>
        <v xml:space="preserve"> </v>
      </c>
      <c r="D246" s="33"/>
      <c r="E246" s="33"/>
      <c r="J246" s="14">
        <f t="shared" si="16"/>
        <v>0</v>
      </c>
      <c r="K246" s="2" t="str">
        <f t="shared" si="17"/>
        <v xml:space="preserve"> </v>
      </c>
      <c r="L246" s="2" t="str">
        <f t="shared" si="18"/>
        <v xml:space="preserve"> </v>
      </c>
      <c r="M246" s="2" t="str">
        <f t="shared" si="19"/>
        <v xml:space="preserve"> </v>
      </c>
    </row>
    <row r="247" spans="1:13" x14ac:dyDescent="0.25">
      <c r="A247" s="34" t="str">
        <f t="shared" si="15"/>
        <v xml:space="preserve"> </v>
      </c>
      <c r="D247" s="33"/>
      <c r="E247" s="33"/>
      <c r="J247" s="14">
        <f t="shared" si="16"/>
        <v>0</v>
      </c>
      <c r="K247" s="2" t="str">
        <f t="shared" si="17"/>
        <v xml:space="preserve"> </v>
      </c>
      <c r="L247" s="2" t="str">
        <f t="shared" si="18"/>
        <v xml:space="preserve"> </v>
      </c>
      <c r="M247" s="2" t="str">
        <f t="shared" si="19"/>
        <v xml:space="preserve"> </v>
      </c>
    </row>
    <row r="248" spans="1:13" x14ac:dyDescent="0.25">
      <c r="A248" s="34" t="str">
        <f t="shared" si="15"/>
        <v xml:space="preserve"> </v>
      </c>
      <c r="D248" s="33"/>
      <c r="E248" s="33"/>
      <c r="J248" s="14">
        <f t="shared" si="16"/>
        <v>0</v>
      </c>
      <c r="K248" s="2" t="str">
        <f t="shared" si="17"/>
        <v xml:space="preserve"> </v>
      </c>
      <c r="L248" s="2" t="str">
        <f t="shared" si="18"/>
        <v xml:space="preserve"> </v>
      </c>
      <c r="M248" s="2" t="str">
        <f t="shared" si="19"/>
        <v xml:space="preserve"> </v>
      </c>
    </row>
    <row r="249" spans="1:13" x14ac:dyDescent="0.25">
      <c r="A249" s="34" t="str">
        <f t="shared" si="15"/>
        <v xml:space="preserve"> </v>
      </c>
      <c r="D249" s="33"/>
      <c r="E249" s="33"/>
      <c r="J249" s="14">
        <f t="shared" si="16"/>
        <v>0</v>
      </c>
      <c r="K249" s="2" t="str">
        <f t="shared" si="17"/>
        <v xml:space="preserve"> </v>
      </c>
      <c r="L249" s="2" t="str">
        <f t="shared" si="18"/>
        <v xml:space="preserve"> </v>
      </c>
      <c r="M249" s="2" t="str">
        <f t="shared" si="19"/>
        <v xml:space="preserve"> </v>
      </c>
    </row>
    <row r="250" spans="1:13" x14ac:dyDescent="0.25">
      <c r="A250" s="34" t="str">
        <f t="shared" si="15"/>
        <v xml:space="preserve"> </v>
      </c>
      <c r="D250" s="33"/>
      <c r="E250" s="33"/>
      <c r="J250" s="14">
        <f t="shared" si="16"/>
        <v>0</v>
      </c>
      <c r="K250" s="2" t="str">
        <f t="shared" si="17"/>
        <v xml:space="preserve"> </v>
      </c>
      <c r="L250" s="2" t="str">
        <f t="shared" si="18"/>
        <v xml:space="preserve"> </v>
      </c>
      <c r="M250" s="2" t="str">
        <f t="shared" si="19"/>
        <v xml:space="preserve"> </v>
      </c>
    </row>
    <row r="251" spans="1:13" x14ac:dyDescent="0.25">
      <c r="A251" s="34" t="str">
        <f t="shared" si="15"/>
        <v xml:space="preserve"> </v>
      </c>
      <c r="D251" s="33"/>
      <c r="E251" s="33"/>
      <c r="J251" s="14">
        <f t="shared" si="16"/>
        <v>0</v>
      </c>
      <c r="K251" s="2" t="str">
        <f t="shared" si="17"/>
        <v xml:space="preserve"> </v>
      </c>
      <c r="L251" s="2" t="str">
        <f t="shared" si="18"/>
        <v xml:space="preserve"> </v>
      </c>
      <c r="M251" s="2" t="str">
        <f t="shared" si="19"/>
        <v xml:space="preserve"> </v>
      </c>
    </row>
    <row r="252" spans="1:13" x14ac:dyDescent="0.25">
      <c r="A252" s="34" t="str">
        <f t="shared" si="15"/>
        <v xml:space="preserve"> </v>
      </c>
      <c r="D252" s="33"/>
      <c r="E252" s="33"/>
      <c r="J252" s="14">
        <f t="shared" si="16"/>
        <v>0</v>
      </c>
      <c r="K252" s="2" t="str">
        <f t="shared" si="17"/>
        <v xml:space="preserve"> </v>
      </c>
      <c r="L252" s="2" t="str">
        <f t="shared" si="18"/>
        <v xml:space="preserve"> </v>
      </c>
      <c r="M252" s="2" t="str">
        <f t="shared" si="19"/>
        <v xml:space="preserve"> </v>
      </c>
    </row>
    <row r="253" spans="1:13" x14ac:dyDescent="0.25">
      <c r="A253" s="34" t="str">
        <f t="shared" si="15"/>
        <v xml:space="preserve"> </v>
      </c>
      <c r="D253" s="33"/>
      <c r="E253" s="33"/>
      <c r="J253" s="14">
        <f t="shared" si="16"/>
        <v>0</v>
      </c>
      <c r="K253" s="2" t="str">
        <f t="shared" si="17"/>
        <v xml:space="preserve"> </v>
      </c>
      <c r="L253" s="2" t="str">
        <f t="shared" si="18"/>
        <v xml:space="preserve"> </v>
      </c>
      <c r="M253" s="2" t="str">
        <f t="shared" si="19"/>
        <v xml:space="preserve"> </v>
      </c>
    </row>
    <row r="254" spans="1:13" x14ac:dyDescent="0.25">
      <c r="A254" s="34" t="str">
        <f t="shared" si="15"/>
        <v xml:space="preserve"> </v>
      </c>
      <c r="D254" s="33"/>
      <c r="E254" s="33"/>
      <c r="J254" s="14">
        <f t="shared" si="16"/>
        <v>0</v>
      </c>
      <c r="K254" s="2" t="str">
        <f t="shared" si="17"/>
        <v xml:space="preserve"> </v>
      </c>
      <c r="L254" s="2" t="str">
        <f t="shared" si="18"/>
        <v xml:space="preserve"> </v>
      </c>
      <c r="M254" s="2" t="str">
        <f t="shared" si="19"/>
        <v xml:space="preserve"> </v>
      </c>
    </row>
    <row r="255" spans="1:13" x14ac:dyDescent="0.25">
      <c r="A255" s="34" t="str">
        <f t="shared" si="15"/>
        <v xml:space="preserve"> </v>
      </c>
      <c r="D255" s="33"/>
      <c r="E255" s="33"/>
      <c r="J255" s="14">
        <f t="shared" si="16"/>
        <v>0</v>
      </c>
      <c r="K255" s="2" t="str">
        <f t="shared" si="17"/>
        <v xml:space="preserve"> </v>
      </c>
      <c r="L255" s="2" t="str">
        <f t="shared" si="18"/>
        <v xml:space="preserve"> </v>
      </c>
      <c r="M255" s="2" t="str">
        <f t="shared" si="19"/>
        <v xml:space="preserve"> </v>
      </c>
    </row>
    <row r="256" spans="1:13" x14ac:dyDescent="0.25">
      <c r="A256" s="34" t="str">
        <f t="shared" si="15"/>
        <v xml:space="preserve"> </v>
      </c>
      <c r="D256" s="33"/>
      <c r="E256" s="33"/>
      <c r="J256" s="14">
        <f t="shared" si="16"/>
        <v>0</v>
      </c>
      <c r="K256" s="2" t="str">
        <f t="shared" si="17"/>
        <v xml:space="preserve"> </v>
      </c>
      <c r="L256" s="2" t="str">
        <f t="shared" si="18"/>
        <v xml:space="preserve"> </v>
      </c>
      <c r="M256" s="2" t="str">
        <f t="shared" si="19"/>
        <v xml:space="preserve"> </v>
      </c>
    </row>
    <row r="257" spans="1:13" x14ac:dyDescent="0.25">
      <c r="A257" s="34" t="str">
        <f t="shared" si="15"/>
        <v xml:space="preserve"> </v>
      </c>
      <c r="D257" s="33"/>
      <c r="E257" s="33"/>
      <c r="J257" s="14">
        <f t="shared" si="16"/>
        <v>0</v>
      </c>
      <c r="K257" s="2" t="str">
        <f t="shared" si="17"/>
        <v xml:space="preserve"> </v>
      </c>
      <c r="L257" s="2" t="str">
        <f t="shared" si="18"/>
        <v xml:space="preserve"> </v>
      </c>
      <c r="M257" s="2" t="str">
        <f t="shared" si="19"/>
        <v xml:space="preserve"> </v>
      </c>
    </row>
    <row r="258" spans="1:13" x14ac:dyDescent="0.25">
      <c r="A258" s="34" t="str">
        <f t="shared" si="15"/>
        <v xml:space="preserve"> </v>
      </c>
      <c r="D258" s="33"/>
      <c r="E258" s="33"/>
      <c r="J258" s="14">
        <f t="shared" si="16"/>
        <v>0</v>
      </c>
      <c r="K258" s="2" t="str">
        <f t="shared" si="17"/>
        <v xml:space="preserve"> </v>
      </c>
      <c r="L258" s="2" t="str">
        <f t="shared" si="18"/>
        <v xml:space="preserve"> </v>
      </c>
      <c r="M258" s="2" t="str">
        <f t="shared" si="19"/>
        <v xml:space="preserve"> </v>
      </c>
    </row>
    <row r="259" spans="1:13" x14ac:dyDescent="0.25">
      <c r="A259" s="34" t="str">
        <f t="shared" si="15"/>
        <v xml:space="preserve"> </v>
      </c>
      <c r="D259" s="33"/>
      <c r="E259" s="33"/>
      <c r="J259" s="14">
        <f t="shared" si="16"/>
        <v>0</v>
      </c>
      <c r="K259" s="2" t="str">
        <f t="shared" si="17"/>
        <v xml:space="preserve"> </v>
      </c>
      <c r="L259" s="2" t="str">
        <f t="shared" si="18"/>
        <v xml:space="preserve"> </v>
      </c>
      <c r="M259" s="2" t="str">
        <f t="shared" si="19"/>
        <v xml:space="preserve"> </v>
      </c>
    </row>
    <row r="260" spans="1:13" x14ac:dyDescent="0.25">
      <c r="A260" s="34" t="str">
        <f t="shared" si="15"/>
        <v xml:space="preserve"> </v>
      </c>
      <c r="D260" s="33"/>
      <c r="E260" s="33"/>
      <c r="J260" s="14">
        <f t="shared" si="16"/>
        <v>0</v>
      </c>
      <c r="K260" s="2" t="str">
        <f t="shared" si="17"/>
        <v xml:space="preserve"> </v>
      </c>
      <c r="L260" s="2" t="str">
        <f t="shared" si="18"/>
        <v xml:space="preserve"> </v>
      </c>
      <c r="M260" s="2" t="str">
        <f t="shared" si="19"/>
        <v xml:space="preserve"> </v>
      </c>
    </row>
    <row r="261" spans="1:13" x14ac:dyDescent="0.25">
      <c r="A261" s="34" t="str">
        <f t="shared" si="15"/>
        <v xml:space="preserve"> </v>
      </c>
      <c r="D261" s="33"/>
      <c r="E261" s="33"/>
      <c r="J261" s="14">
        <f t="shared" si="16"/>
        <v>0</v>
      </c>
      <c r="K261" s="2" t="str">
        <f t="shared" si="17"/>
        <v xml:space="preserve"> </v>
      </c>
      <c r="L261" s="2" t="str">
        <f t="shared" si="18"/>
        <v xml:space="preserve"> </v>
      </c>
      <c r="M261" s="2" t="str">
        <f t="shared" si="19"/>
        <v xml:space="preserve"> </v>
      </c>
    </row>
    <row r="262" spans="1:13" x14ac:dyDescent="0.25">
      <c r="A262" s="34" t="str">
        <f t="shared" si="15"/>
        <v xml:space="preserve"> </v>
      </c>
      <c r="D262" s="33"/>
      <c r="E262" s="33"/>
      <c r="J262" s="14">
        <f t="shared" si="16"/>
        <v>0</v>
      </c>
      <c r="K262" s="2" t="str">
        <f t="shared" si="17"/>
        <v xml:space="preserve"> </v>
      </c>
      <c r="L262" s="2" t="str">
        <f t="shared" si="18"/>
        <v xml:space="preserve"> </v>
      </c>
      <c r="M262" s="2" t="str">
        <f t="shared" si="19"/>
        <v xml:space="preserve"> </v>
      </c>
    </row>
    <row r="263" spans="1:13" x14ac:dyDescent="0.25">
      <c r="A263" s="34" t="str">
        <f t="shared" si="15"/>
        <v xml:space="preserve"> </v>
      </c>
      <c r="D263" s="33"/>
      <c r="E263" s="33"/>
      <c r="J263" s="14">
        <f t="shared" si="16"/>
        <v>0</v>
      </c>
      <c r="K263" s="2" t="str">
        <f t="shared" si="17"/>
        <v xml:space="preserve"> </v>
      </c>
      <c r="L263" s="2" t="str">
        <f t="shared" si="18"/>
        <v xml:space="preserve"> </v>
      </c>
      <c r="M263" s="2" t="str">
        <f t="shared" si="19"/>
        <v xml:space="preserve"> </v>
      </c>
    </row>
    <row r="264" spans="1:13" x14ac:dyDescent="0.25">
      <c r="A264" s="34" t="str">
        <f t="shared" si="15"/>
        <v xml:space="preserve"> </v>
      </c>
      <c r="D264" s="33"/>
      <c r="E264" s="33"/>
      <c r="J264" s="14">
        <f t="shared" si="16"/>
        <v>0</v>
      </c>
      <c r="K264" s="2" t="str">
        <f t="shared" si="17"/>
        <v xml:space="preserve"> </v>
      </c>
      <c r="L264" s="2" t="str">
        <f t="shared" si="18"/>
        <v xml:space="preserve"> </v>
      </c>
      <c r="M264" s="2" t="str">
        <f t="shared" si="19"/>
        <v xml:space="preserve"> </v>
      </c>
    </row>
    <row r="265" spans="1:13" x14ac:dyDescent="0.25">
      <c r="A265" s="34" t="str">
        <f t="shared" si="15"/>
        <v xml:space="preserve"> </v>
      </c>
      <c r="D265" s="33"/>
      <c r="E265" s="33"/>
      <c r="J265" s="14">
        <f t="shared" si="16"/>
        <v>0</v>
      </c>
      <c r="K265" s="2" t="str">
        <f t="shared" si="17"/>
        <v xml:space="preserve"> </v>
      </c>
      <c r="L265" s="2" t="str">
        <f t="shared" si="18"/>
        <v xml:space="preserve"> </v>
      </c>
      <c r="M265" s="2" t="str">
        <f t="shared" si="19"/>
        <v xml:space="preserve"> </v>
      </c>
    </row>
    <row r="266" spans="1:13" x14ac:dyDescent="0.25">
      <c r="A266" s="34" t="str">
        <f t="shared" si="15"/>
        <v xml:space="preserve"> </v>
      </c>
      <c r="D266" s="33"/>
      <c r="E266" s="33"/>
      <c r="J266" s="14">
        <f t="shared" si="16"/>
        <v>0</v>
      </c>
      <c r="K266" s="2" t="str">
        <f t="shared" si="17"/>
        <v xml:space="preserve"> </v>
      </c>
      <c r="L266" s="2" t="str">
        <f t="shared" si="18"/>
        <v xml:space="preserve"> </v>
      </c>
      <c r="M266" s="2" t="str">
        <f t="shared" si="19"/>
        <v xml:space="preserve"> </v>
      </c>
    </row>
    <row r="267" spans="1:13" x14ac:dyDescent="0.25">
      <c r="A267" s="34" t="str">
        <f t="shared" si="15"/>
        <v xml:space="preserve"> </v>
      </c>
      <c r="D267" s="33"/>
      <c r="E267" s="33"/>
      <c r="J267" s="14">
        <f t="shared" si="16"/>
        <v>0</v>
      </c>
      <c r="K267" s="2" t="str">
        <f t="shared" si="17"/>
        <v xml:space="preserve"> </v>
      </c>
      <c r="L267" s="2" t="str">
        <f t="shared" si="18"/>
        <v xml:space="preserve"> </v>
      </c>
      <c r="M267" s="2" t="str">
        <f t="shared" si="19"/>
        <v xml:space="preserve"> </v>
      </c>
    </row>
    <row r="268" spans="1:13" x14ac:dyDescent="0.25">
      <c r="A268" s="34" t="str">
        <f t="shared" si="15"/>
        <v xml:space="preserve"> </v>
      </c>
      <c r="D268" s="33"/>
      <c r="E268" s="33"/>
      <c r="J268" s="14">
        <f t="shared" si="16"/>
        <v>0</v>
      </c>
      <c r="K268" s="2" t="str">
        <f t="shared" si="17"/>
        <v xml:space="preserve"> </v>
      </c>
      <c r="L268" s="2" t="str">
        <f t="shared" si="18"/>
        <v xml:space="preserve"> </v>
      </c>
      <c r="M268" s="2" t="str">
        <f t="shared" si="19"/>
        <v xml:space="preserve"> </v>
      </c>
    </row>
    <row r="269" spans="1:13" x14ac:dyDescent="0.25">
      <c r="A269" s="34" t="str">
        <f t="shared" si="15"/>
        <v xml:space="preserve"> </v>
      </c>
      <c r="D269" s="33"/>
      <c r="E269" s="33"/>
      <c r="J269" s="14">
        <f t="shared" si="16"/>
        <v>0</v>
      </c>
      <c r="K269" s="2" t="str">
        <f t="shared" si="17"/>
        <v xml:space="preserve"> </v>
      </c>
      <c r="L269" s="2" t="str">
        <f t="shared" si="18"/>
        <v xml:space="preserve"> </v>
      </c>
      <c r="M269" s="2" t="str">
        <f t="shared" si="19"/>
        <v xml:space="preserve"> </v>
      </c>
    </row>
    <row r="270" spans="1:13" x14ac:dyDescent="0.25">
      <c r="A270" s="34" t="str">
        <f t="shared" si="15"/>
        <v xml:space="preserve"> </v>
      </c>
      <c r="D270" s="33"/>
      <c r="E270" s="33"/>
      <c r="J270" s="14">
        <f t="shared" si="16"/>
        <v>0</v>
      </c>
      <c r="K270" s="2" t="str">
        <f t="shared" si="17"/>
        <v xml:space="preserve"> </v>
      </c>
      <c r="L270" s="2" t="str">
        <f t="shared" si="18"/>
        <v xml:space="preserve"> </v>
      </c>
      <c r="M270" s="2" t="str">
        <f t="shared" si="19"/>
        <v xml:space="preserve"> </v>
      </c>
    </row>
    <row r="271" spans="1:13" x14ac:dyDescent="0.25">
      <c r="A271" s="34" t="str">
        <f t="shared" ref="A271:A334" si="20">IF(COUNTIF(K271:M271,"ERROR")&gt;0,"ERROR"," ")</f>
        <v xml:space="preserve"> </v>
      </c>
      <c r="D271" s="33"/>
      <c r="E271" s="33"/>
      <c r="J271" s="14">
        <f t="shared" ref="J271:J334" si="21">F271-G271+H271-I271</f>
        <v>0</v>
      </c>
      <c r="K271" s="2" t="str">
        <f t="shared" si="17"/>
        <v xml:space="preserve"> </v>
      </c>
      <c r="L271" s="2" t="str">
        <f t="shared" si="18"/>
        <v xml:space="preserve"> </v>
      </c>
      <c r="M271" s="2" t="str">
        <f t="shared" si="19"/>
        <v xml:space="preserve"> </v>
      </c>
    </row>
    <row r="272" spans="1:13" x14ac:dyDescent="0.25">
      <c r="A272" s="34" t="str">
        <f t="shared" si="20"/>
        <v xml:space="preserve"> </v>
      </c>
      <c r="D272" s="33"/>
      <c r="E272" s="33"/>
      <c r="J272" s="14">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x14ac:dyDescent="0.25">
      <c r="A273" s="34" t="str">
        <f t="shared" si="20"/>
        <v xml:space="preserve"> </v>
      </c>
      <c r="D273" s="33"/>
      <c r="E273" s="33"/>
      <c r="J273" s="14">
        <f t="shared" si="21"/>
        <v>0</v>
      </c>
      <c r="K273" s="2" t="str">
        <f t="shared" si="22"/>
        <v xml:space="preserve"> </v>
      </c>
      <c r="L273" s="2" t="str">
        <f t="shared" si="23"/>
        <v xml:space="preserve"> </v>
      </c>
      <c r="M273" s="2" t="str">
        <f t="shared" si="24"/>
        <v xml:space="preserve"> </v>
      </c>
    </row>
    <row r="274" spans="1:13" x14ac:dyDescent="0.25">
      <c r="A274" s="34" t="str">
        <f t="shared" si="20"/>
        <v xml:space="preserve"> </v>
      </c>
      <c r="D274" s="33"/>
      <c r="E274" s="33"/>
      <c r="J274" s="14">
        <f t="shared" si="21"/>
        <v>0</v>
      </c>
      <c r="K274" s="2" t="str">
        <f t="shared" si="22"/>
        <v xml:space="preserve"> </v>
      </c>
      <c r="L274" s="2" t="str">
        <f t="shared" si="23"/>
        <v xml:space="preserve"> </v>
      </c>
      <c r="M274" s="2" t="str">
        <f t="shared" si="24"/>
        <v xml:space="preserve"> </v>
      </c>
    </row>
    <row r="275" spans="1:13" x14ac:dyDescent="0.25">
      <c r="A275" s="34" t="str">
        <f t="shared" si="20"/>
        <v xml:space="preserve"> </v>
      </c>
      <c r="D275" s="33"/>
      <c r="E275" s="33"/>
      <c r="J275" s="14">
        <f t="shared" si="21"/>
        <v>0</v>
      </c>
      <c r="K275" s="2" t="str">
        <f t="shared" si="22"/>
        <v xml:space="preserve"> </v>
      </c>
      <c r="L275" s="2" t="str">
        <f t="shared" si="23"/>
        <v xml:space="preserve"> </v>
      </c>
      <c r="M275" s="2" t="str">
        <f t="shared" si="24"/>
        <v xml:space="preserve"> </v>
      </c>
    </row>
    <row r="276" spans="1:13" x14ac:dyDescent="0.25">
      <c r="A276" s="34" t="str">
        <f t="shared" si="20"/>
        <v xml:space="preserve"> </v>
      </c>
      <c r="D276" s="33"/>
      <c r="E276" s="33"/>
      <c r="J276" s="14">
        <f t="shared" si="21"/>
        <v>0</v>
      </c>
      <c r="K276" s="2" t="str">
        <f t="shared" si="22"/>
        <v xml:space="preserve"> </v>
      </c>
      <c r="L276" s="2" t="str">
        <f t="shared" si="23"/>
        <v xml:space="preserve"> </v>
      </c>
      <c r="M276" s="2" t="str">
        <f t="shared" si="24"/>
        <v xml:space="preserve"> </v>
      </c>
    </row>
    <row r="277" spans="1:13" x14ac:dyDescent="0.25">
      <c r="A277" s="34" t="str">
        <f t="shared" si="20"/>
        <v xml:space="preserve"> </v>
      </c>
      <c r="D277" s="33"/>
      <c r="E277" s="33"/>
      <c r="J277" s="14">
        <f t="shared" si="21"/>
        <v>0</v>
      </c>
      <c r="K277" s="2" t="str">
        <f t="shared" si="22"/>
        <v xml:space="preserve"> </v>
      </c>
      <c r="L277" s="2" t="str">
        <f t="shared" si="23"/>
        <v xml:space="preserve"> </v>
      </c>
      <c r="M277" s="2" t="str">
        <f t="shared" si="24"/>
        <v xml:space="preserve"> </v>
      </c>
    </row>
    <row r="278" spans="1:13" x14ac:dyDescent="0.25">
      <c r="A278" s="34" t="str">
        <f t="shared" si="20"/>
        <v xml:space="preserve"> </v>
      </c>
      <c r="D278" s="33"/>
      <c r="E278" s="33"/>
      <c r="J278" s="14">
        <f t="shared" si="21"/>
        <v>0</v>
      </c>
      <c r="K278" s="2" t="str">
        <f t="shared" si="22"/>
        <v xml:space="preserve"> </v>
      </c>
      <c r="L278" s="2" t="str">
        <f t="shared" si="23"/>
        <v xml:space="preserve"> </v>
      </c>
      <c r="M278" s="2" t="str">
        <f t="shared" si="24"/>
        <v xml:space="preserve"> </v>
      </c>
    </row>
    <row r="279" spans="1:13" x14ac:dyDescent="0.25">
      <c r="A279" s="34" t="str">
        <f t="shared" si="20"/>
        <v xml:space="preserve"> </v>
      </c>
      <c r="D279" s="33"/>
      <c r="E279" s="33"/>
      <c r="J279" s="14">
        <f t="shared" si="21"/>
        <v>0</v>
      </c>
      <c r="K279" s="2" t="str">
        <f t="shared" si="22"/>
        <v xml:space="preserve"> </v>
      </c>
      <c r="L279" s="2" t="str">
        <f t="shared" si="23"/>
        <v xml:space="preserve"> </v>
      </c>
      <c r="M279" s="2" t="str">
        <f t="shared" si="24"/>
        <v xml:space="preserve"> </v>
      </c>
    </row>
    <row r="280" spans="1:13" x14ac:dyDescent="0.25">
      <c r="A280" s="34" t="str">
        <f t="shared" si="20"/>
        <v xml:space="preserve"> </v>
      </c>
      <c r="D280" s="33"/>
      <c r="E280" s="33"/>
      <c r="J280" s="14">
        <f t="shared" si="21"/>
        <v>0</v>
      </c>
      <c r="K280" s="2" t="str">
        <f t="shared" si="22"/>
        <v xml:space="preserve"> </v>
      </c>
      <c r="L280" s="2" t="str">
        <f t="shared" si="23"/>
        <v xml:space="preserve"> </v>
      </c>
      <c r="M280" s="2" t="str">
        <f t="shared" si="24"/>
        <v xml:space="preserve"> </v>
      </c>
    </row>
    <row r="281" spans="1:13" x14ac:dyDescent="0.25">
      <c r="A281" s="34" t="str">
        <f t="shared" si="20"/>
        <v xml:space="preserve"> </v>
      </c>
      <c r="D281" s="33"/>
      <c r="E281" s="33"/>
      <c r="J281" s="14">
        <f t="shared" si="21"/>
        <v>0</v>
      </c>
      <c r="K281" s="2" t="str">
        <f t="shared" si="22"/>
        <v xml:space="preserve"> </v>
      </c>
      <c r="L281" s="2" t="str">
        <f t="shared" si="23"/>
        <v xml:space="preserve"> </v>
      </c>
      <c r="M281" s="2" t="str">
        <f t="shared" si="24"/>
        <v xml:space="preserve"> </v>
      </c>
    </row>
    <row r="282" spans="1:13" x14ac:dyDescent="0.25">
      <c r="A282" s="34" t="str">
        <f t="shared" si="20"/>
        <v xml:space="preserve"> </v>
      </c>
      <c r="D282" s="33"/>
      <c r="E282" s="33"/>
      <c r="J282" s="14">
        <f t="shared" si="21"/>
        <v>0</v>
      </c>
      <c r="K282" s="2" t="str">
        <f t="shared" si="22"/>
        <v xml:space="preserve"> </v>
      </c>
      <c r="L282" s="2" t="str">
        <f t="shared" si="23"/>
        <v xml:space="preserve"> </v>
      </c>
      <c r="M282" s="2" t="str">
        <f t="shared" si="24"/>
        <v xml:space="preserve"> </v>
      </c>
    </row>
    <row r="283" spans="1:13" x14ac:dyDescent="0.25">
      <c r="A283" s="34" t="str">
        <f t="shared" si="20"/>
        <v xml:space="preserve"> </v>
      </c>
      <c r="D283" s="33"/>
      <c r="E283" s="33"/>
      <c r="J283" s="14">
        <f t="shared" si="21"/>
        <v>0</v>
      </c>
      <c r="K283" s="2" t="str">
        <f t="shared" si="22"/>
        <v xml:space="preserve"> </v>
      </c>
      <c r="L283" s="2" t="str">
        <f t="shared" si="23"/>
        <v xml:space="preserve"> </v>
      </c>
      <c r="M283" s="2" t="str">
        <f t="shared" si="24"/>
        <v xml:space="preserve"> </v>
      </c>
    </row>
    <row r="284" spans="1:13" x14ac:dyDescent="0.25">
      <c r="A284" s="34" t="str">
        <f t="shared" si="20"/>
        <v xml:space="preserve"> </v>
      </c>
      <c r="D284" s="33"/>
      <c r="E284" s="33"/>
      <c r="J284" s="14">
        <f t="shared" si="21"/>
        <v>0</v>
      </c>
      <c r="K284" s="2" t="str">
        <f t="shared" si="22"/>
        <v xml:space="preserve"> </v>
      </c>
      <c r="L284" s="2" t="str">
        <f t="shared" si="23"/>
        <v xml:space="preserve"> </v>
      </c>
      <c r="M284" s="2" t="str">
        <f t="shared" si="24"/>
        <v xml:space="preserve"> </v>
      </c>
    </row>
    <row r="285" spans="1:13" x14ac:dyDescent="0.25">
      <c r="A285" s="34" t="str">
        <f t="shared" si="20"/>
        <v xml:space="preserve"> </v>
      </c>
      <c r="D285" s="33"/>
      <c r="E285" s="33"/>
      <c r="J285" s="14">
        <f t="shared" si="21"/>
        <v>0</v>
      </c>
      <c r="K285" s="2" t="str">
        <f t="shared" si="22"/>
        <v xml:space="preserve"> </v>
      </c>
      <c r="L285" s="2" t="str">
        <f t="shared" si="23"/>
        <v xml:space="preserve"> </v>
      </c>
      <c r="M285" s="2" t="str">
        <f t="shared" si="24"/>
        <v xml:space="preserve"> </v>
      </c>
    </row>
    <row r="286" spans="1:13" x14ac:dyDescent="0.25">
      <c r="A286" s="34" t="str">
        <f t="shared" si="20"/>
        <v xml:space="preserve"> </v>
      </c>
      <c r="D286" s="33"/>
      <c r="E286" s="33"/>
      <c r="J286" s="14">
        <f t="shared" si="21"/>
        <v>0</v>
      </c>
      <c r="K286" s="2" t="str">
        <f t="shared" si="22"/>
        <v xml:space="preserve"> </v>
      </c>
      <c r="L286" s="2" t="str">
        <f t="shared" si="23"/>
        <v xml:space="preserve"> </v>
      </c>
      <c r="M286" s="2" t="str">
        <f t="shared" si="24"/>
        <v xml:space="preserve"> </v>
      </c>
    </row>
    <row r="287" spans="1:13" x14ac:dyDescent="0.25">
      <c r="A287" s="34" t="str">
        <f t="shared" si="20"/>
        <v xml:space="preserve"> </v>
      </c>
      <c r="D287" s="33"/>
      <c r="E287" s="33"/>
      <c r="J287" s="14">
        <f t="shared" si="21"/>
        <v>0</v>
      </c>
      <c r="K287" s="2" t="str">
        <f t="shared" si="22"/>
        <v xml:space="preserve"> </v>
      </c>
      <c r="L287" s="2" t="str">
        <f t="shared" si="23"/>
        <v xml:space="preserve"> </v>
      </c>
      <c r="M287" s="2" t="str">
        <f t="shared" si="24"/>
        <v xml:space="preserve"> </v>
      </c>
    </row>
    <row r="288" spans="1:13" x14ac:dyDescent="0.25">
      <c r="A288" s="34" t="str">
        <f t="shared" si="20"/>
        <v xml:space="preserve"> </v>
      </c>
      <c r="D288" s="33"/>
      <c r="E288" s="33"/>
      <c r="J288" s="14">
        <f t="shared" si="21"/>
        <v>0</v>
      </c>
      <c r="K288" s="2" t="str">
        <f t="shared" si="22"/>
        <v xml:space="preserve"> </v>
      </c>
      <c r="L288" s="2" t="str">
        <f t="shared" si="23"/>
        <v xml:space="preserve"> </v>
      </c>
      <c r="M288" s="2" t="str">
        <f t="shared" si="24"/>
        <v xml:space="preserve"> </v>
      </c>
    </row>
    <row r="289" spans="1:13" x14ac:dyDescent="0.25">
      <c r="A289" s="34" t="str">
        <f t="shared" si="20"/>
        <v xml:space="preserve"> </v>
      </c>
      <c r="D289" s="33"/>
      <c r="E289" s="33"/>
      <c r="J289" s="14">
        <f t="shared" si="21"/>
        <v>0</v>
      </c>
      <c r="K289" s="2" t="str">
        <f t="shared" si="22"/>
        <v xml:space="preserve"> </v>
      </c>
      <c r="L289" s="2" t="str">
        <f t="shared" si="23"/>
        <v xml:space="preserve"> </v>
      </c>
      <c r="M289" s="2" t="str">
        <f t="shared" si="24"/>
        <v xml:space="preserve"> </v>
      </c>
    </row>
    <row r="290" spans="1:13" x14ac:dyDescent="0.25">
      <c r="A290" s="34" t="str">
        <f t="shared" si="20"/>
        <v xml:space="preserve"> </v>
      </c>
      <c r="D290" s="33"/>
      <c r="E290" s="33"/>
      <c r="J290" s="14">
        <f t="shared" si="21"/>
        <v>0</v>
      </c>
      <c r="K290" s="2" t="str">
        <f t="shared" si="22"/>
        <v xml:space="preserve"> </v>
      </c>
      <c r="L290" s="2" t="str">
        <f t="shared" si="23"/>
        <v xml:space="preserve"> </v>
      </c>
      <c r="M290" s="2" t="str">
        <f t="shared" si="24"/>
        <v xml:space="preserve"> </v>
      </c>
    </row>
    <row r="291" spans="1:13" x14ac:dyDescent="0.25">
      <c r="A291" s="34" t="str">
        <f t="shared" si="20"/>
        <v xml:space="preserve"> </v>
      </c>
      <c r="D291" s="33"/>
      <c r="E291" s="33"/>
      <c r="J291" s="14">
        <f t="shared" si="21"/>
        <v>0</v>
      </c>
      <c r="K291" s="2" t="str">
        <f t="shared" si="22"/>
        <v xml:space="preserve"> </v>
      </c>
      <c r="L291" s="2" t="str">
        <f t="shared" si="23"/>
        <v xml:space="preserve"> </v>
      </c>
      <c r="M291" s="2" t="str">
        <f t="shared" si="24"/>
        <v xml:space="preserve"> </v>
      </c>
    </row>
    <row r="292" spans="1:13" x14ac:dyDescent="0.25">
      <c r="A292" s="34" t="str">
        <f t="shared" si="20"/>
        <v xml:space="preserve"> </v>
      </c>
      <c r="D292" s="33"/>
      <c r="E292" s="33"/>
      <c r="J292" s="14">
        <f t="shared" si="21"/>
        <v>0</v>
      </c>
      <c r="K292" s="2" t="str">
        <f t="shared" si="22"/>
        <v xml:space="preserve"> </v>
      </c>
      <c r="L292" s="2" t="str">
        <f t="shared" si="23"/>
        <v xml:space="preserve"> </v>
      </c>
      <c r="M292" s="2" t="str">
        <f t="shared" si="24"/>
        <v xml:space="preserve"> </v>
      </c>
    </row>
    <row r="293" spans="1:13" x14ac:dyDescent="0.25">
      <c r="A293" s="34" t="str">
        <f t="shared" si="20"/>
        <v xml:space="preserve"> </v>
      </c>
      <c r="D293" s="33"/>
      <c r="E293" s="33"/>
      <c r="J293" s="14">
        <f t="shared" si="21"/>
        <v>0</v>
      </c>
      <c r="K293" s="2" t="str">
        <f t="shared" si="22"/>
        <v xml:space="preserve"> </v>
      </c>
      <c r="L293" s="2" t="str">
        <f t="shared" si="23"/>
        <v xml:space="preserve"> </v>
      </c>
      <c r="M293" s="2" t="str">
        <f t="shared" si="24"/>
        <v xml:space="preserve"> </v>
      </c>
    </row>
    <row r="294" spans="1:13" x14ac:dyDescent="0.25">
      <c r="A294" s="34" t="str">
        <f t="shared" si="20"/>
        <v xml:space="preserve"> </v>
      </c>
      <c r="D294" s="33"/>
      <c r="E294" s="33"/>
      <c r="J294" s="14">
        <f t="shared" si="21"/>
        <v>0</v>
      </c>
      <c r="K294" s="2" t="str">
        <f t="shared" si="22"/>
        <v xml:space="preserve"> </v>
      </c>
      <c r="L294" s="2" t="str">
        <f t="shared" si="23"/>
        <v xml:space="preserve"> </v>
      </c>
      <c r="M294" s="2" t="str">
        <f t="shared" si="24"/>
        <v xml:space="preserve"> </v>
      </c>
    </row>
    <row r="295" spans="1:13" x14ac:dyDescent="0.25">
      <c r="A295" s="34" t="str">
        <f t="shared" si="20"/>
        <v xml:space="preserve"> </v>
      </c>
      <c r="D295" s="33"/>
      <c r="E295" s="33"/>
      <c r="J295" s="14">
        <f t="shared" si="21"/>
        <v>0</v>
      </c>
      <c r="K295" s="2" t="str">
        <f t="shared" si="22"/>
        <v xml:space="preserve"> </v>
      </c>
      <c r="L295" s="2" t="str">
        <f t="shared" si="23"/>
        <v xml:space="preserve"> </v>
      </c>
      <c r="M295" s="2" t="str">
        <f t="shared" si="24"/>
        <v xml:space="preserve"> </v>
      </c>
    </row>
    <row r="296" spans="1:13" x14ac:dyDescent="0.25">
      <c r="A296" s="34" t="str">
        <f t="shared" si="20"/>
        <v xml:space="preserve"> </v>
      </c>
      <c r="D296" s="33"/>
      <c r="E296" s="33"/>
      <c r="J296" s="14">
        <f t="shared" si="21"/>
        <v>0</v>
      </c>
      <c r="K296" s="2" t="str">
        <f t="shared" si="22"/>
        <v xml:space="preserve"> </v>
      </c>
      <c r="L296" s="2" t="str">
        <f t="shared" si="23"/>
        <v xml:space="preserve"> </v>
      </c>
      <c r="M296" s="2" t="str">
        <f t="shared" si="24"/>
        <v xml:space="preserve"> </v>
      </c>
    </row>
    <row r="297" spans="1:13" x14ac:dyDescent="0.25">
      <c r="A297" s="34" t="str">
        <f t="shared" si="20"/>
        <v xml:space="preserve"> </v>
      </c>
      <c r="D297" s="33"/>
      <c r="E297" s="33"/>
      <c r="J297" s="14">
        <f t="shared" si="21"/>
        <v>0</v>
      </c>
      <c r="K297" s="2" t="str">
        <f t="shared" si="22"/>
        <v xml:space="preserve"> </v>
      </c>
      <c r="L297" s="2" t="str">
        <f t="shared" si="23"/>
        <v xml:space="preserve"> </v>
      </c>
      <c r="M297" s="2" t="str">
        <f t="shared" si="24"/>
        <v xml:space="preserve"> </v>
      </c>
    </row>
    <row r="298" spans="1:13" x14ac:dyDescent="0.25">
      <c r="A298" s="34" t="str">
        <f t="shared" si="20"/>
        <v xml:space="preserve"> </v>
      </c>
      <c r="D298" s="33"/>
      <c r="E298" s="33"/>
      <c r="J298" s="14">
        <f t="shared" si="21"/>
        <v>0</v>
      </c>
      <c r="K298" s="2" t="str">
        <f t="shared" si="22"/>
        <v xml:space="preserve"> </v>
      </c>
      <c r="L298" s="2" t="str">
        <f t="shared" si="23"/>
        <v xml:space="preserve"> </v>
      </c>
      <c r="M298" s="2" t="str">
        <f t="shared" si="24"/>
        <v xml:space="preserve"> </v>
      </c>
    </row>
    <row r="299" spans="1:13" x14ac:dyDescent="0.25">
      <c r="A299" s="34" t="str">
        <f t="shared" si="20"/>
        <v xml:space="preserve"> </v>
      </c>
      <c r="D299" s="33"/>
      <c r="E299" s="33"/>
      <c r="J299" s="14">
        <f t="shared" si="21"/>
        <v>0</v>
      </c>
      <c r="K299" s="2" t="str">
        <f t="shared" si="22"/>
        <v xml:space="preserve"> </v>
      </c>
      <c r="L299" s="2" t="str">
        <f t="shared" si="23"/>
        <v xml:space="preserve"> </v>
      </c>
      <c r="M299" s="2" t="str">
        <f t="shared" si="24"/>
        <v xml:space="preserve"> </v>
      </c>
    </row>
    <row r="300" spans="1:13" x14ac:dyDescent="0.25">
      <c r="A300" s="34" t="str">
        <f t="shared" si="20"/>
        <v xml:space="preserve"> </v>
      </c>
      <c r="D300" s="33"/>
      <c r="E300" s="33"/>
      <c r="J300" s="14">
        <f t="shared" si="21"/>
        <v>0</v>
      </c>
      <c r="K300" s="2" t="str">
        <f t="shared" si="22"/>
        <v xml:space="preserve"> </v>
      </c>
      <c r="L300" s="2" t="str">
        <f t="shared" si="23"/>
        <v xml:space="preserve"> </v>
      </c>
      <c r="M300" s="2" t="str">
        <f t="shared" si="24"/>
        <v xml:space="preserve"> </v>
      </c>
    </row>
    <row r="301" spans="1:13" x14ac:dyDescent="0.25">
      <c r="A301" s="34" t="str">
        <f t="shared" si="20"/>
        <v xml:space="preserve"> </v>
      </c>
      <c r="D301" s="33"/>
      <c r="E301" s="33"/>
      <c r="J301" s="14">
        <f t="shared" si="21"/>
        <v>0</v>
      </c>
      <c r="K301" s="2" t="str">
        <f t="shared" si="22"/>
        <v xml:space="preserve"> </v>
      </c>
      <c r="L301" s="2" t="str">
        <f t="shared" si="23"/>
        <v xml:space="preserve"> </v>
      </c>
      <c r="M301" s="2" t="str">
        <f t="shared" si="24"/>
        <v xml:space="preserve"> </v>
      </c>
    </row>
    <row r="302" spans="1:13" x14ac:dyDescent="0.25">
      <c r="A302" s="34" t="str">
        <f t="shared" si="20"/>
        <v xml:space="preserve"> </v>
      </c>
      <c r="D302" s="33"/>
      <c r="E302" s="33"/>
      <c r="J302" s="14">
        <f t="shared" si="21"/>
        <v>0</v>
      </c>
      <c r="K302" s="2" t="str">
        <f t="shared" si="22"/>
        <v xml:space="preserve"> </v>
      </c>
      <c r="L302" s="2" t="str">
        <f t="shared" si="23"/>
        <v xml:space="preserve"> </v>
      </c>
      <c r="M302" s="2" t="str">
        <f t="shared" si="24"/>
        <v xml:space="preserve"> </v>
      </c>
    </row>
    <row r="303" spans="1:13" x14ac:dyDescent="0.25">
      <c r="A303" s="34" t="str">
        <f t="shared" si="20"/>
        <v xml:space="preserve"> </v>
      </c>
      <c r="D303" s="33"/>
      <c r="E303" s="33"/>
      <c r="J303" s="14">
        <f t="shared" si="21"/>
        <v>0</v>
      </c>
      <c r="K303" s="2" t="str">
        <f t="shared" si="22"/>
        <v xml:space="preserve"> </v>
      </c>
      <c r="L303" s="2" t="str">
        <f t="shared" si="23"/>
        <v xml:space="preserve"> </v>
      </c>
      <c r="M303" s="2" t="str">
        <f t="shared" si="24"/>
        <v xml:space="preserve"> </v>
      </c>
    </row>
    <row r="304" spans="1:13" x14ac:dyDescent="0.25">
      <c r="A304" s="34" t="str">
        <f t="shared" si="20"/>
        <v xml:space="preserve"> </v>
      </c>
      <c r="D304" s="33"/>
      <c r="E304" s="33"/>
      <c r="J304" s="14">
        <f t="shared" si="21"/>
        <v>0</v>
      </c>
      <c r="K304" s="2" t="str">
        <f t="shared" si="22"/>
        <v xml:space="preserve"> </v>
      </c>
      <c r="L304" s="2" t="str">
        <f t="shared" si="23"/>
        <v xml:space="preserve"> </v>
      </c>
      <c r="M304" s="2" t="str">
        <f t="shared" si="24"/>
        <v xml:space="preserve"> </v>
      </c>
    </row>
    <row r="305" spans="1:13" x14ac:dyDescent="0.25">
      <c r="A305" s="34" t="str">
        <f t="shared" si="20"/>
        <v xml:space="preserve"> </v>
      </c>
      <c r="D305" s="33"/>
      <c r="E305" s="33"/>
      <c r="J305" s="14">
        <f t="shared" si="21"/>
        <v>0</v>
      </c>
      <c r="K305" s="2" t="str">
        <f t="shared" si="22"/>
        <v xml:space="preserve"> </v>
      </c>
      <c r="L305" s="2" t="str">
        <f t="shared" si="23"/>
        <v xml:space="preserve"> </v>
      </c>
      <c r="M305" s="2" t="str">
        <f t="shared" si="24"/>
        <v xml:space="preserve"> </v>
      </c>
    </row>
    <row r="306" spans="1:13" x14ac:dyDescent="0.25">
      <c r="A306" s="34" t="str">
        <f t="shared" si="20"/>
        <v xml:space="preserve"> </v>
      </c>
      <c r="D306" s="33"/>
      <c r="E306" s="33"/>
      <c r="J306" s="14">
        <f t="shared" si="21"/>
        <v>0</v>
      </c>
      <c r="K306" s="2" t="str">
        <f t="shared" si="22"/>
        <v xml:space="preserve"> </v>
      </c>
      <c r="L306" s="2" t="str">
        <f t="shared" si="23"/>
        <v xml:space="preserve"> </v>
      </c>
      <c r="M306" s="2" t="str">
        <f t="shared" si="24"/>
        <v xml:space="preserve"> </v>
      </c>
    </row>
    <row r="307" spans="1:13" x14ac:dyDescent="0.25">
      <c r="A307" s="34" t="str">
        <f t="shared" si="20"/>
        <v xml:space="preserve"> </v>
      </c>
      <c r="D307" s="33"/>
      <c r="E307" s="33"/>
      <c r="J307" s="14">
        <f t="shared" si="21"/>
        <v>0</v>
      </c>
      <c r="K307" s="2" t="str">
        <f t="shared" si="22"/>
        <v xml:space="preserve"> </v>
      </c>
      <c r="L307" s="2" t="str">
        <f t="shared" si="23"/>
        <v xml:space="preserve"> </v>
      </c>
      <c r="M307" s="2" t="str">
        <f t="shared" si="24"/>
        <v xml:space="preserve"> </v>
      </c>
    </row>
    <row r="308" spans="1:13" x14ac:dyDescent="0.25">
      <c r="A308" s="34" t="str">
        <f t="shared" si="20"/>
        <v xml:space="preserve"> </v>
      </c>
      <c r="D308" s="33"/>
      <c r="E308" s="33"/>
      <c r="J308" s="14">
        <f t="shared" si="21"/>
        <v>0</v>
      </c>
      <c r="K308" s="2" t="str">
        <f t="shared" si="22"/>
        <v xml:space="preserve"> </v>
      </c>
      <c r="L308" s="2" t="str">
        <f t="shared" si="23"/>
        <v xml:space="preserve"> </v>
      </c>
      <c r="M308" s="2" t="str">
        <f t="shared" si="24"/>
        <v xml:space="preserve"> </v>
      </c>
    </row>
    <row r="309" spans="1:13" x14ac:dyDescent="0.25">
      <c r="A309" s="34" t="str">
        <f t="shared" si="20"/>
        <v xml:space="preserve"> </v>
      </c>
      <c r="D309" s="33"/>
      <c r="E309" s="33"/>
      <c r="J309" s="14">
        <f t="shared" si="21"/>
        <v>0</v>
      </c>
      <c r="K309" s="2" t="str">
        <f t="shared" si="22"/>
        <v xml:space="preserve"> </v>
      </c>
      <c r="L309" s="2" t="str">
        <f t="shared" si="23"/>
        <v xml:space="preserve"> </v>
      </c>
      <c r="M309" s="2" t="str">
        <f t="shared" si="24"/>
        <v xml:space="preserve"> </v>
      </c>
    </row>
    <row r="310" spans="1:13" x14ac:dyDescent="0.25">
      <c r="A310" s="34" t="str">
        <f t="shared" si="20"/>
        <v xml:space="preserve"> </v>
      </c>
      <c r="D310" s="33"/>
      <c r="E310" s="33"/>
      <c r="J310" s="14">
        <f t="shared" si="21"/>
        <v>0</v>
      </c>
      <c r="K310" s="2" t="str">
        <f t="shared" si="22"/>
        <v xml:space="preserve"> </v>
      </c>
      <c r="L310" s="2" t="str">
        <f t="shared" si="23"/>
        <v xml:space="preserve"> </v>
      </c>
      <c r="M310" s="2" t="str">
        <f t="shared" si="24"/>
        <v xml:space="preserve"> </v>
      </c>
    </row>
    <row r="311" spans="1:13" x14ac:dyDescent="0.25">
      <c r="A311" s="34" t="str">
        <f t="shared" si="20"/>
        <v xml:space="preserve"> </v>
      </c>
      <c r="D311" s="33"/>
      <c r="E311" s="33"/>
      <c r="J311" s="14">
        <f t="shared" si="21"/>
        <v>0</v>
      </c>
      <c r="K311" s="2" t="str">
        <f t="shared" si="22"/>
        <v xml:space="preserve"> </v>
      </c>
      <c r="L311" s="2" t="str">
        <f t="shared" si="23"/>
        <v xml:space="preserve"> </v>
      </c>
      <c r="M311" s="2" t="str">
        <f t="shared" si="24"/>
        <v xml:space="preserve"> </v>
      </c>
    </row>
    <row r="312" spans="1:13" x14ac:dyDescent="0.25">
      <c r="A312" s="34" t="str">
        <f t="shared" si="20"/>
        <v xml:space="preserve"> </v>
      </c>
      <c r="D312" s="33"/>
      <c r="E312" s="33"/>
      <c r="J312" s="14">
        <f t="shared" si="21"/>
        <v>0</v>
      </c>
      <c r="K312" s="2" t="str">
        <f t="shared" si="22"/>
        <v xml:space="preserve"> </v>
      </c>
      <c r="L312" s="2" t="str">
        <f t="shared" si="23"/>
        <v xml:space="preserve"> </v>
      </c>
      <c r="M312" s="2" t="str">
        <f t="shared" si="24"/>
        <v xml:space="preserve"> </v>
      </c>
    </row>
    <row r="313" spans="1:13" x14ac:dyDescent="0.25">
      <c r="A313" s="34" t="str">
        <f t="shared" si="20"/>
        <v xml:space="preserve"> </v>
      </c>
      <c r="D313" s="33"/>
      <c r="E313" s="33"/>
      <c r="J313" s="14">
        <f t="shared" si="21"/>
        <v>0</v>
      </c>
      <c r="K313" s="2" t="str">
        <f t="shared" si="22"/>
        <v xml:space="preserve"> </v>
      </c>
      <c r="L313" s="2" t="str">
        <f t="shared" si="23"/>
        <v xml:space="preserve"> </v>
      </c>
      <c r="M313" s="2" t="str">
        <f t="shared" si="24"/>
        <v xml:space="preserve"> </v>
      </c>
    </row>
    <row r="314" spans="1:13" x14ac:dyDescent="0.25">
      <c r="A314" s="34" t="str">
        <f t="shared" si="20"/>
        <v xml:space="preserve"> </v>
      </c>
      <c r="D314" s="33"/>
      <c r="E314" s="33"/>
      <c r="J314" s="14">
        <f t="shared" si="21"/>
        <v>0</v>
      </c>
      <c r="K314" s="2" t="str">
        <f t="shared" si="22"/>
        <v xml:space="preserve"> </v>
      </c>
      <c r="L314" s="2" t="str">
        <f t="shared" si="23"/>
        <v xml:space="preserve"> </v>
      </c>
      <c r="M314" s="2" t="str">
        <f t="shared" si="24"/>
        <v xml:space="preserve"> </v>
      </c>
    </row>
    <row r="315" spans="1:13" x14ac:dyDescent="0.25">
      <c r="A315" s="34" t="str">
        <f t="shared" si="20"/>
        <v xml:space="preserve"> </v>
      </c>
      <c r="D315" s="33"/>
      <c r="E315" s="33"/>
      <c r="J315" s="14">
        <f t="shared" si="21"/>
        <v>0</v>
      </c>
      <c r="K315" s="2" t="str">
        <f t="shared" si="22"/>
        <v xml:space="preserve"> </v>
      </c>
      <c r="L315" s="2" t="str">
        <f t="shared" si="23"/>
        <v xml:space="preserve"> </v>
      </c>
      <c r="M315" s="2" t="str">
        <f t="shared" si="24"/>
        <v xml:space="preserve"> </v>
      </c>
    </row>
    <row r="316" spans="1:13" x14ac:dyDescent="0.25">
      <c r="A316" s="34" t="str">
        <f t="shared" si="20"/>
        <v xml:space="preserve"> </v>
      </c>
      <c r="D316" s="33"/>
      <c r="E316" s="33"/>
      <c r="J316" s="14">
        <f t="shared" si="21"/>
        <v>0</v>
      </c>
      <c r="K316" s="2" t="str">
        <f t="shared" si="22"/>
        <v xml:space="preserve"> </v>
      </c>
      <c r="L316" s="2" t="str">
        <f t="shared" si="23"/>
        <v xml:space="preserve"> </v>
      </c>
      <c r="M316" s="2" t="str">
        <f t="shared" si="24"/>
        <v xml:space="preserve"> </v>
      </c>
    </row>
    <row r="317" spans="1:13" x14ac:dyDescent="0.25">
      <c r="A317" s="34" t="str">
        <f t="shared" si="20"/>
        <v xml:space="preserve"> </v>
      </c>
      <c r="D317" s="33"/>
      <c r="E317" s="33"/>
      <c r="J317" s="14">
        <f t="shared" si="21"/>
        <v>0</v>
      </c>
      <c r="K317" s="2" t="str">
        <f t="shared" si="22"/>
        <v xml:space="preserve"> </v>
      </c>
      <c r="L317" s="2" t="str">
        <f t="shared" si="23"/>
        <v xml:space="preserve"> </v>
      </c>
      <c r="M317" s="2" t="str">
        <f t="shared" si="24"/>
        <v xml:space="preserve"> </v>
      </c>
    </row>
    <row r="318" spans="1:13" x14ac:dyDescent="0.25">
      <c r="A318" s="34" t="str">
        <f t="shared" si="20"/>
        <v xml:space="preserve"> </v>
      </c>
      <c r="D318" s="33"/>
      <c r="E318" s="33"/>
      <c r="J318" s="14">
        <f t="shared" si="21"/>
        <v>0</v>
      </c>
      <c r="K318" s="2" t="str">
        <f t="shared" si="22"/>
        <v xml:space="preserve"> </v>
      </c>
      <c r="L318" s="2" t="str">
        <f t="shared" si="23"/>
        <v xml:space="preserve"> </v>
      </c>
      <c r="M318" s="2" t="str">
        <f t="shared" si="24"/>
        <v xml:space="preserve"> </v>
      </c>
    </row>
    <row r="319" spans="1:13" x14ac:dyDescent="0.25">
      <c r="A319" s="34" t="str">
        <f t="shared" si="20"/>
        <v xml:space="preserve"> </v>
      </c>
      <c r="D319" s="33"/>
      <c r="E319" s="33"/>
      <c r="J319" s="14">
        <f t="shared" si="21"/>
        <v>0</v>
      </c>
      <c r="K319" s="2" t="str">
        <f t="shared" si="22"/>
        <v xml:space="preserve"> </v>
      </c>
      <c r="L319" s="2" t="str">
        <f t="shared" si="23"/>
        <v xml:space="preserve"> </v>
      </c>
      <c r="M319" s="2" t="str">
        <f t="shared" si="24"/>
        <v xml:space="preserve"> </v>
      </c>
    </row>
    <row r="320" spans="1:13" x14ac:dyDescent="0.25">
      <c r="A320" s="34" t="str">
        <f t="shared" si="20"/>
        <v xml:space="preserve"> </v>
      </c>
      <c r="D320" s="33"/>
      <c r="E320" s="33"/>
      <c r="J320" s="14">
        <f t="shared" si="21"/>
        <v>0</v>
      </c>
      <c r="K320" s="2" t="str">
        <f t="shared" si="22"/>
        <v xml:space="preserve"> </v>
      </c>
      <c r="L320" s="2" t="str">
        <f t="shared" si="23"/>
        <v xml:space="preserve"> </v>
      </c>
      <c r="M320" s="2" t="str">
        <f t="shared" si="24"/>
        <v xml:space="preserve"> </v>
      </c>
    </row>
    <row r="321" spans="1:13" x14ac:dyDescent="0.25">
      <c r="A321" s="34" t="str">
        <f t="shared" si="20"/>
        <v xml:space="preserve"> </v>
      </c>
      <c r="D321" s="33"/>
      <c r="E321" s="33"/>
      <c r="J321" s="14">
        <f t="shared" si="21"/>
        <v>0</v>
      </c>
      <c r="K321" s="2" t="str">
        <f t="shared" si="22"/>
        <v xml:space="preserve"> </v>
      </c>
      <c r="L321" s="2" t="str">
        <f t="shared" si="23"/>
        <v xml:space="preserve"> </v>
      </c>
      <c r="M321" s="2" t="str">
        <f t="shared" si="24"/>
        <v xml:space="preserve"> </v>
      </c>
    </row>
    <row r="322" spans="1:13" x14ac:dyDescent="0.25">
      <c r="A322" s="34" t="str">
        <f t="shared" si="20"/>
        <v xml:space="preserve"> </v>
      </c>
      <c r="D322" s="33"/>
      <c r="E322" s="33"/>
      <c r="J322" s="14">
        <f t="shared" si="21"/>
        <v>0</v>
      </c>
      <c r="K322" s="2" t="str">
        <f t="shared" si="22"/>
        <v xml:space="preserve"> </v>
      </c>
      <c r="L322" s="2" t="str">
        <f t="shared" si="23"/>
        <v xml:space="preserve"> </v>
      </c>
      <c r="M322" s="2" t="str">
        <f t="shared" si="24"/>
        <v xml:space="preserve"> </v>
      </c>
    </row>
    <row r="323" spans="1:13" x14ac:dyDescent="0.25">
      <c r="A323" s="34" t="str">
        <f t="shared" si="20"/>
        <v xml:space="preserve"> </v>
      </c>
      <c r="D323" s="33"/>
      <c r="E323" s="33"/>
      <c r="J323" s="14">
        <f t="shared" si="21"/>
        <v>0</v>
      </c>
      <c r="K323" s="2" t="str">
        <f t="shared" si="22"/>
        <v xml:space="preserve"> </v>
      </c>
      <c r="L323" s="2" t="str">
        <f t="shared" si="23"/>
        <v xml:space="preserve"> </v>
      </c>
      <c r="M323" s="2" t="str">
        <f t="shared" si="24"/>
        <v xml:space="preserve"> </v>
      </c>
    </row>
    <row r="324" spans="1:13" x14ac:dyDescent="0.25">
      <c r="A324" s="34" t="str">
        <f t="shared" si="20"/>
        <v xml:space="preserve"> </v>
      </c>
      <c r="D324" s="33"/>
      <c r="E324" s="33"/>
      <c r="J324" s="14">
        <f t="shared" si="21"/>
        <v>0</v>
      </c>
      <c r="K324" s="2" t="str">
        <f t="shared" si="22"/>
        <v xml:space="preserve"> </v>
      </c>
      <c r="L324" s="2" t="str">
        <f t="shared" si="23"/>
        <v xml:space="preserve"> </v>
      </c>
      <c r="M324" s="2" t="str">
        <f t="shared" si="24"/>
        <v xml:space="preserve"> </v>
      </c>
    </row>
    <row r="325" spans="1:13" x14ac:dyDescent="0.25">
      <c r="A325" s="34" t="str">
        <f t="shared" si="20"/>
        <v xml:space="preserve"> </v>
      </c>
      <c r="D325" s="33"/>
      <c r="E325" s="33"/>
      <c r="J325" s="14">
        <f t="shared" si="21"/>
        <v>0</v>
      </c>
      <c r="K325" s="2" t="str">
        <f t="shared" si="22"/>
        <v xml:space="preserve"> </v>
      </c>
      <c r="L325" s="2" t="str">
        <f t="shared" si="23"/>
        <v xml:space="preserve"> </v>
      </c>
      <c r="M325" s="2" t="str">
        <f t="shared" si="24"/>
        <v xml:space="preserve"> </v>
      </c>
    </row>
    <row r="326" spans="1:13" x14ac:dyDescent="0.25">
      <c r="A326" s="34" t="str">
        <f t="shared" si="20"/>
        <v xml:space="preserve"> </v>
      </c>
      <c r="D326" s="33"/>
      <c r="E326" s="33"/>
      <c r="J326" s="14">
        <f t="shared" si="21"/>
        <v>0</v>
      </c>
      <c r="K326" s="2" t="str">
        <f t="shared" si="22"/>
        <v xml:space="preserve"> </v>
      </c>
      <c r="L326" s="2" t="str">
        <f t="shared" si="23"/>
        <v xml:space="preserve"> </v>
      </c>
      <c r="M326" s="2" t="str">
        <f t="shared" si="24"/>
        <v xml:space="preserve"> </v>
      </c>
    </row>
    <row r="327" spans="1:13" x14ac:dyDescent="0.25">
      <c r="A327" s="34" t="str">
        <f t="shared" si="20"/>
        <v xml:space="preserve"> </v>
      </c>
      <c r="D327" s="33"/>
      <c r="E327" s="33"/>
      <c r="J327" s="14">
        <f t="shared" si="21"/>
        <v>0</v>
      </c>
      <c r="K327" s="2" t="str">
        <f t="shared" si="22"/>
        <v xml:space="preserve"> </v>
      </c>
      <c r="L327" s="2" t="str">
        <f t="shared" si="23"/>
        <v xml:space="preserve"> </v>
      </c>
      <c r="M327" s="2" t="str">
        <f t="shared" si="24"/>
        <v xml:space="preserve"> </v>
      </c>
    </row>
    <row r="328" spans="1:13" x14ac:dyDescent="0.25">
      <c r="A328" s="34" t="str">
        <f t="shared" si="20"/>
        <v xml:space="preserve"> </v>
      </c>
      <c r="D328" s="33"/>
      <c r="E328" s="33"/>
      <c r="J328" s="14">
        <f t="shared" si="21"/>
        <v>0</v>
      </c>
      <c r="K328" s="2" t="str">
        <f t="shared" si="22"/>
        <v xml:space="preserve"> </v>
      </c>
      <c r="L328" s="2" t="str">
        <f t="shared" si="23"/>
        <v xml:space="preserve"> </v>
      </c>
      <c r="M328" s="2" t="str">
        <f t="shared" si="24"/>
        <v xml:space="preserve"> </v>
      </c>
    </row>
    <row r="329" spans="1:13" x14ac:dyDescent="0.25">
      <c r="A329" s="34" t="str">
        <f t="shared" si="20"/>
        <v xml:space="preserve"> </v>
      </c>
      <c r="D329" s="33"/>
      <c r="E329" s="33"/>
      <c r="J329" s="14">
        <f t="shared" si="21"/>
        <v>0</v>
      </c>
      <c r="K329" s="2" t="str">
        <f t="shared" si="22"/>
        <v xml:space="preserve"> </v>
      </c>
      <c r="L329" s="2" t="str">
        <f t="shared" si="23"/>
        <v xml:space="preserve"> </v>
      </c>
      <c r="M329" s="2" t="str">
        <f t="shared" si="24"/>
        <v xml:space="preserve"> </v>
      </c>
    </row>
    <row r="330" spans="1:13" x14ac:dyDescent="0.25">
      <c r="A330" s="34" t="str">
        <f t="shared" si="20"/>
        <v xml:space="preserve"> </v>
      </c>
      <c r="D330" s="33"/>
      <c r="E330" s="33"/>
      <c r="J330" s="14">
        <f t="shared" si="21"/>
        <v>0</v>
      </c>
      <c r="K330" s="2" t="str">
        <f t="shared" si="22"/>
        <v xml:space="preserve"> </v>
      </c>
      <c r="L330" s="2" t="str">
        <f t="shared" si="23"/>
        <v xml:space="preserve"> </v>
      </c>
      <c r="M330" s="2" t="str">
        <f t="shared" si="24"/>
        <v xml:space="preserve"> </v>
      </c>
    </row>
    <row r="331" spans="1:13" x14ac:dyDescent="0.25">
      <c r="A331" s="34" t="str">
        <f t="shared" si="20"/>
        <v xml:space="preserve"> </v>
      </c>
      <c r="D331" s="33"/>
      <c r="E331" s="33"/>
      <c r="J331" s="14">
        <f t="shared" si="21"/>
        <v>0</v>
      </c>
      <c r="K331" s="2" t="str">
        <f t="shared" si="22"/>
        <v xml:space="preserve"> </v>
      </c>
      <c r="L331" s="2" t="str">
        <f t="shared" si="23"/>
        <v xml:space="preserve"> </v>
      </c>
      <c r="M331" s="2" t="str">
        <f t="shared" si="24"/>
        <v xml:space="preserve"> </v>
      </c>
    </row>
    <row r="332" spans="1:13" x14ac:dyDescent="0.25">
      <c r="A332" s="34" t="str">
        <f t="shared" si="20"/>
        <v xml:space="preserve"> </v>
      </c>
      <c r="D332" s="33"/>
      <c r="E332" s="33"/>
      <c r="J332" s="14">
        <f t="shared" si="21"/>
        <v>0</v>
      </c>
      <c r="K332" s="2" t="str">
        <f t="shared" si="22"/>
        <v xml:space="preserve"> </v>
      </c>
      <c r="L332" s="2" t="str">
        <f t="shared" si="23"/>
        <v xml:space="preserve"> </v>
      </c>
      <c r="M332" s="2" t="str">
        <f t="shared" si="24"/>
        <v xml:space="preserve"> </v>
      </c>
    </row>
    <row r="333" spans="1:13" x14ac:dyDescent="0.25">
      <c r="A333" s="34" t="str">
        <f t="shared" si="20"/>
        <v xml:space="preserve"> </v>
      </c>
      <c r="D333" s="33"/>
      <c r="E333" s="33"/>
      <c r="J333" s="14">
        <f t="shared" si="21"/>
        <v>0</v>
      </c>
      <c r="K333" s="2" t="str">
        <f t="shared" si="22"/>
        <v xml:space="preserve"> </v>
      </c>
      <c r="L333" s="2" t="str">
        <f t="shared" si="23"/>
        <v xml:space="preserve"> </v>
      </c>
      <c r="M333" s="2" t="str">
        <f t="shared" si="24"/>
        <v xml:space="preserve"> </v>
      </c>
    </row>
    <row r="334" spans="1:13" x14ac:dyDescent="0.25">
      <c r="A334" s="34" t="str">
        <f t="shared" si="20"/>
        <v xml:space="preserve"> </v>
      </c>
      <c r="D334" s="33"/>
      <c r="E334" s="33"/>
      <c r="J334" s="14">
        <f t="shared" si="21"/>
        <v>0</v>
      </c>
      <c r="K334" s="2" t="str">
        <f t="shared" si="22"/>
        <v xml:space="preserve"> </v>
      </c>
      <c r="L334" s="2" t="str">
        <f t="shared" si="23"/>
        <v xml:space="preserve"> </v>
      </c>
      <c r="M334" s="2" t="str">
        <f t="shared" si="24"/>
        <v xml:space="preserve"> </v>
      </c>
    </row>
    <row r="335" spans="1:13" x14ac:dyDescent="0.25">
      <c r="A335" s="34" t="str">
        <f t="shared" ref="A335:A398" si="25">IF(COUNTIF(K335:M335,"ERROR")&gt;0,"ERROR"," ")</f>
        <v xml:space="preserve"> </v>
      </c>
      <c r="D335" s="33"/>
      <c r="E335" s="33"/>
      <c r="J335" s="14">
        <f t="shared" ref="J335:J396" si="26">F335-G335+H335-I335</f>
        <v>0</v>
      </c>
      <c r="K335" s="2" t="str">
        <f t="shared" si="22"/>
        <v xml:space="preserve"> </v>
      </c>
      <c r="L335" s="2" t="str">
        <f t="shared" si="23"/>
        <v xml:space="preserve"> </v>
      </c>
      <c r="M335" s="2" t="str">
        <f t="shared" si="24"/>
        <v xml:space="preserve"> </v>
      </c>
    </row>
    <row r="336" spans="1:13" x14ac:dyDescent="0.25">
      <c r="A336" s="34" t="str">
        <f t="shared" si="25"/>
        <v xml:space="preserve"> </v>
      </c>
      <c r="D336" s="33"/>
      <c r="E336" s="33"/>
      <c r="J336" s="14">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x14ac:dyDescent="0.25">
      <c r="A337" s="34" t="str">
        <f t="shared" si="25"/>
        <v xml:space="preserve"> </v>
      </c>
      <c r="D337" s="33"/>
      <c r="E337" s="33"/>
      <c r="J337" s="14">
        <f t="shared" si="26"/>
        <v>0</v>
      </c>
      <c r="K337" s="2" t="str">
        <f t="shared" si="27"/>
        <v xml:space="preserve"> </v>
      </c>
      <c r="L337" s="2" t="str">
        <f t="shared" si="28"/>
        <v xml:space="preserve"> </v>
      </c>
      <c r="M337" s="2" t="str">
        <f t="shared" si="29"/>
        <v xml:space="preserve"> </v>
      </c>
    </row>
    <row r="338" spans="1:13" x14ac:dyDescent="0.25">
      <c r="A338" s="34" t="str">
        <f t="shared" si="25"/>
        <v xml:space="preserve"> </v>
      </c>
      <c r="D338" s="33"/>
      <c r="E338" s="33"/>
      <c r="J338" s="14">
        <f t="shared" si="26"/>
        <v>0</v>
      </c>
      <c r="K338" s="2" t="str">
        <f t="shared" si="27"/>
        <v xml:space="preserve"> </v>
      </c>
      <c r="L338" s="2" t="str">
        <f t="shared" si="28"/>
        <v xml:space="preserve"> </v>
      </c>
      <c r="M338" s="2" t="str">
        <f t="shared" si="29"/>
        <v xml:space="preserve"> </v>
      </c>
    </row>
    <row r="339" spans="1:13" x14ac:dyDescent="0.25">
      <c r="A339" s="34" t="str">
        <f t="shared" si="25"/>
        <v xml:space="preserve"> </v>
      </c>
      <c r="D339" s="33"/>
      <c r="E339" s="33"/>
      <c r="J339" s="14">
        <f t="shared" si="26"/>
        <v>0</v>
      </c>
      <c r="K339" s="2" t="str">
        <f t="shared" si="27"/>
        <v xml:space="preserve"> </v>
      </c>
      <c r="L339" s="2" t="str">
        <f t="shared" si="28"/>
        <v xml:space="preserve"> </v>
      </c>
      <c r="M339" s="2" t="str">
        <f t="shared" si="29"/>
        <v xml:space="preserve"> </v>
      </c>
    </row>
    <row r="340" spans="1:13" x14ac:dyDescent="0.25">
      <c r="A340" s="34" t="str">
        <f t="shared" si="25"/>
        <v xml:space="preserve"> </v>
      </c>
      <c r="D340" s="33"/>
      <c r="E340" s="33"/>
      <c r="J340" s="14">
        <f t="shared" si="26"/>
        <v>0</v>
      </c>
      <c r="K340" s="2" t="str">
        <f t="shared" si="27"/>
        <v xml:space="preserve"> </v>
      </c>
      <c r="L340" s="2" t="str">
        <f t="shared" si="28"/>
        <v xml:space="preserve"> </v>
      </c>
      <c r="M340" s="2" t="str">
        <f t="shared" si="29"/>
        <v xml:space="preserve"> </v>
      </c>
    </row>
    <row r="341" spans="1:13" x14ac:dyDescent="0.25">
      <c r="A341" s="34" t="str">
        <f t="shared" si="25"/>
        <v xml:space="preserve"> </v>
      </c>
      <c r="D341" s="33"/>
      <c r="E341" s="33"/>
      <c r="J341" s="14">
        <f t="shared" si="26"/>
        <v>0</v>
      </c>
      <c r="K341" s="2" t="str">
        <f t="shared" si="27"/>
        <v xml:space="preserve"> </v>
      </c>
      <c r="L341" s="2" t="str">
        <f t="shared" si="28"/>
        <v xml:space="preserve"> </v>
      </c>
      <c r="M341" s="2" t="str">
        <f t="shared" si="29"/>
        <v xml:space="preserve"> </v>
      </c>
    </row>
    <row r="342" spans="1:13" x14ac:dyDescent="0.25">
      <c r="A342" s="34" t="str">
        <f t="shared" si="25"/>
        <v xml:space="preserve"> </v>
      </c>
      <c r="D342" s="33"/>
      <c r="E342" s="33"/>
      <c r="J342" s="14">
        <f t="shared" si="26"/>
        <v>0</v>
      </c>
      <c r="K342" s="2" t="str">
        <f t="shared" si="27"/>
        <v xml:space="preserve"> </v>
      </c>
      <c r="L342" s="2" t="str">
        <f t="shared" si="28"/>
        <v xml:space="preserve"> </v>
      </c>
      <c r="M342" s="2" t="str">
        <f t="shared" si="29"/>
        <v xml:space="preserve"> </v>
      </c>
    </row>
    <row r="343" spans="1:13" x14ac:dyDescent="0.25">
      <c r="A343" s="34" t="str">
        <f t="shared" si="25"/>
        <v xml:space="preserve"> </v>
      </c>
      <c r="D343" s="33"/>
      <c r="E343" s="33"/>
      <c r="J343" s="14">
        <f t="shared" si="26"/>
        <v>0</v>
      </c>
      <c r="K343" s="2" t="str">
        <f t="shared" si="27"/>
        <v xml:space="preserve"> </v>
      </c>
      <c r="L343" s="2" t="str">
        <f t="shared" si="28"/>
        <v xml:space="preserve"> </v>
      </c>
      <c r="M343" s="2" t="str">
        <f t="shared" si="29"/>
        <v xml:space="preserve"> </v>
      </c>
    </row>
    <row r="344" spans="1:13" x14ac:dyDescent="0.25">
      <c r="A344" s="34" t="str">
        <f t="shared" si="25"/>
        <v xml:space="preserve"> </v>
      </c>
      <c r="D344" s="33"/>
      <c r="E344" s="33"/>
      <c r="J344" s="14">
        <f t="shared" si="26"/>
        <v>0</v>
      </c>
      <c r="K344" s="2" t="str">
        <f t="shared" si="27"/>
        <v xml:space="preserve"> </v>
      </c>
      <c r="L344" s="2" t="str">
        <f t="shared" si="28"/>
        <v xml:space="preserve"> </v>
      </c>
      <c r="M344" s="2" t="str">
        <f t="shared" si="29"/>
        <v xml:space="preserve"> </v>
      </c>
    </row>
    <row r="345" spans="1:13" x14ac:dyDescent="0.25">
      <c r="A345" s="34" t="str">
        <f t="shared" si="25"/>
        <v xml:space="preserve"> </v>
      </c>
      <c r="D345" s="33"/>
      <c r="E345" s="33"/>
      <c r="J345" s="14">
        <f t="shared" si="26"/>
        <v>0</v>
      </c>
      <c r="K345" s="2" t="str">
        <f t="shared" si="27"/>
        <v xml:space="preserve"> </v>
      </c>
      <c r="L345" s="2" t="str">
        <f t="shared" si="28"/>
        <v xml:space="preserve"> </v>
      </c>
      <c r="M345" s="2" t="str">
        <f t="shared" si="29"/>
        <v xml:space="preserve"> </v>
      </c>
    </row>
    <row r="346" spans="1:13" x14ac:dyDescent="0.25">
      <c r="A346" s="34" t="str">
        <f t="shared" si="25"/>
        <v xml:space="preserve"> </v>
      </c>
      <c r="D346" s="33"/>
      <c r="E346" s="33"/>
      <c r="J346" s="14">
        <f t="shared" si="26"/>
        <v>0</v>
      </c>
      <c r="K346" s="2" t="str">
        <f t="shared" si="27"/>
        <v xml:space="preserve"> </v>
      </c>
      <c r="L346" s="2" t="str">
        <f t="shared" si="28"/>
        <v xml:space="preserve"> </v>
      </c>
      <c r="M346" s="2" t="str">
        <f t="shared" si="29"/>
        <v xml:space="preserve"> </v>
      </c>
    </row>
    <row r="347" spans="1:13" x14ac:dyDescent="0.25">
      <c r="A347" s="34" t="str">
        <f t="shared" si="25"/>
        <v xml:space="preserve"> </v>
      </c>
      <c r="D347" s="33"/>
      <c r="E347" s="33"/>
      <c r="J347" s="14">
        <f t="shared" si="26"/>
        <v>0</v>
      </c>
      <c r="K347" s="2" t="str">
        <f t="shared" si="27"/>
        <v xml:space="preserve"> </v>
      </c>
      <c r="L347" s="2" t="str">
        <f t="shared" si="28"/>
        <v xml:space="preserve"> </v>
      </c>
      <c r="M347" s="2" t="str">
        <f t="shared" si="29"/>
        <v xml:space="preserve"> </v>
      </c>
    </row>
    <row r="348" spans="1:13" x14ac:dyDescent="0.25">
      <c r="A348" s="34" t="str">
        <f t="shared" si="25"/>
        <v xml:space="preserve"> </v>
      </c>
      <c r="D348" s="33"/>
      <c r="E348" s="33"/>
      <c r="J348" s="14">
        <f t="shared" si="26"/>
        <v>0</v>
      </c>
      <c r="K348" s="2" t="str">
        <f t="shared" si="27"/>
        <v xml:space="preserve"> </v>
      </c>
      <c r="L348" s="2" t="str">
        <f t="shared" si="28"/>
        <v xml:space="preserve"> </v>
      </c>
      <c r="M348" s="2" t="str">
        <f t="shared" si="29"/>
        <v xml:space="preserve"> </v>
      </c>
    </row>
    <row r="349" spans="1:13" x14ac:dyDescent="0.25">
      <c r="A349" s="34" t="str">
        <f t="shared" si="25"/>
        <v xml:space="preserve"> </v>
      </c>
      <c r="D349" s="33"/>
      <c r="E349" s="33"/>
      <c r="J349" s="14">
        <f t="shared" si="26"/>
        <v>0</v>
      </c>
      <c r="K349" s="2" t="str">
        <f t="shared" si="27"/>
        <v xml:space="preserve"> </v>
      </c>
      <c r="L349" s="2" t="str">
        <f t="shared" si="28"/>
        <v xml:space="preserve"> </v>
      </c>
      <c r="M349" s="2" t="str">
        <f t="shared" si="29"/>
        <v xml:space="preserve"> </v>
      </c>
    </row>
    <row r="350" spans="1:13" x14ac:dyDescent="0.25">
      <c r="A350" s="34" t="str">
        <f t="shared" si="25"/>
        <v xml:space="preserve"> </v>
      </c>
      <c r="D350" s="33"/>
      <c r="E350" s="33"/>
      <c r="J350" s="14">
        <f t="shared" si="26"/>
        <v>0</v>
      </c>
      <c r="K350" s="2" t="str">
        <f t="shared" si="27"/>
        <v xml:space="preserve"> </v>
      </c>
      <c r="L350" s="2" t="str">
        <f t="shared" si="28"/>
        <v xml:space="preserve"> </v>
      </c>
      <c r="M350" s="2" t="str">
        <f t="shared" si="29"/>
        <v xml:space="preserve"> </v>
      </c>
    </row>
    <row r="351" spans="1:13" x14ac:dyDescent="0.25">
      <c r="A351" s="34" t="str">
        <f t="shared" si="25"/>
        <v xml:space="preserve"> </v>
      </c>
      <c r="D351" s="33"/>
      <c r="E351" s="33"/>
      <c r="J351" s="14">
        <f t="shared" si="26"/>
        <v>0</v>
      </c>
      <c r="K351" s="2" t="str">
        <f t="shared" si="27"/>
        <v xml:space="preserve"> </v>
      </c>
      <c r="L351" s="2" t="str">
        <f t="shared" si="28"/>
        <v xml:space="preserve"> </v>
      </c>
      <c r="M351" s="2" t="str">
        <f t="shared" si="29"/>
        <v xml:space="preserve"> </v>
      </c>
    </row>
    <row r="352" spans="1:13" x14ac:dyDescent="0.25">
      <c r="A352" s="34" t="str">
        <f t="shared" si="25"/>
        <v xml:space="preserve"> </v>
      </c>
      <c r="D352" s="33"/>
      <c r="E352" s="33"/>
      <c r="J352" s="14">
        <f t="shared" si="26"/>
        <v>0</v>
      </c>
      <c r="K352" s="2" t="str">
        <f t="shared" si="27"/>
        <v xml:space="preserve"> </v>
      </c>
      <c r="L352" s="2" t="str">
        <f t="shared" si="28"/>
        <v xml:space="preserve"> </v>
      </c>
      <c r="M352" s="2" t="str">
        <f t="shared" si="29"/>
        <v xml:space="preserve"> </v>
      </c>
    </row>
    <row r="353" spans="1:13" x14ac:dyDescent="0.25">
      <c r="A353" s="34" t="str">
        <f t="shared" si="25"/>
        <v xml:space="preserve"> </v>
      </c>
      <c r="D353" s="33"/>
      <c r="E353" s="33"/>
      <c r="J353" s="14">
        <f t="shared" si="26"/>
        <v>0</v>
      </c>
      <c r="K353" s="2" t="str">
        <f t="shared" si="27"/>
        <v xml:space="preserve"> </v>
      </c>
      <c r="L353" s="2" t="str">
        <f t="shared" si="28"/>
        <v xml:space="preserve"> </v>
      </c>
      <c r="M353" s="2" t="str">
        <f t="shared" si="29"/>
        <v xml:space="preserve"> </v>
      </c>
    </row>
    <row r="354" spans="1:13" x14ac:dyDescent="0.25">
      <c r="A354" s="34" t="str">
        <f t="shared" si="25"/>
        <v xml:space="preserve"> </v>
      </c>
      <c r="D354" s="33"/>
      <c r="E354" s="33"/>
      <c r="J354" s="14">
        <f t="shared" si="26"/>
        <v>0</v>
      </c>
      <c r="K354" s="2" t="str">
        <f t="shared" si="27"/>
        <v xml:space="preserve"> </v>
      </c>
      <c r="L354" s="2" t="str">
        <f t="shared" si="28"/>
        <v xml:space="preserve"> </v>
      </c>
      <c r="M354" s="2" t="str">
        <f t="shared" si="29"/>
        <v xml:space="preserve"> </v>
      </c>
    </row>
    <row r="355" spans="1:13" x14ac:dyDescent="0.25">
      <c r="A355" s="34" t="str">
        <f t="shared" si="25"/>
        <v xml:space="preserve"> </v>
      </c>
      <c r="D355" s="33"/>
      <c r="E355" s="33"/>
      <c r="J355" s="14">
        <f t="shared" si="26"/>
        <v>0</v>
      </c>
      <c r="K355" s="2" t="str">
        <f t="shared" si="27"/>
        <v xml:space="preserve"> </v>
      </c>
      <c r="L355" s="2" t="str">
        <f t="shared" si="28"/>
        <v xml:space="preserve"> </v>
      </c>
      <c r="M355" s="2" t="str">
        <f t="shared" si="29"/>
        <v xml:space="preserve"> </v>
      </c>
    </row>
    <row r="356" spans="1:13" x14ac:dyDescent="0.25">
      <c r="A356" s="34" t="str">
        <f t="shared" si="25"/>
        <v xml:space="preserve"> </v>
      </c>
      <c r="D356" s="33"/>
      <c r="E356" s="33"/>
      <c r="J356" s="14">
        <f t="shared" si="26"/>
        <v>0</v>
      </c>
      <c r="K356" s="2" t="str">
        <f t="shared" si="27"/>
        <v xml:space="preserve"> </v>
      </c>
      <c r="L356" s="2" t="str">
        <f t="shared" si="28"/>
        <v xml:space="preserve"> </v>
      </c>
      <c r="M356" s="2" t="str">
        <f t="shared" si="29"/>
        <v xml:space="preserve"> </v>
      </c>
    </row>
    <row r="357" spans="1:13" x14ac:dyDescent="0.25">
      <c r="A357" s="34" t="str">
        <f t="shared" si="25"/>
        <v xml:space="preserve"> </v>
      </c>
      <c r="D357" s="33"/>
      <c r="E357" s="33"/>
      <c r="J357" s="14">
        <f t="shared" si="26"/>
        <v>0</v>
      </c>
      <c r="K357" s="2" t="str">
        <f t="shared" si="27"/>
        <v xml:space="preserve"> </v>
      </c>
      <c r="L357" s="2" t="str">
        <f t="shared" si="28"/>
        <v xml:space="preserve"> </v>
      </c>
      <c r="M357" s="2" t="str">
        <f t="shared" si="29"/>
        <v xml:space="preserve"> </v>
      </c>
    </row>
    <row r="358" spans="1:13" x14ac:dyDescent="0.25">
      <c r="A358" s="34" t="str">
        <f t="shared" si="25"/>
        <v xml:space="preserve"> </v>
      </c>
      <c r="D358" s="33"/>
      <c r="E358" s="33"/>
      <c r="J358" s="14">
        <f t="shared" si="26"/>
        <v>0</v>
      </c>
      <c r="K358" s="2" t="str">
        <f t="shared" si="27"/>
        <v xml:space="preserve"> </v>
      </c>
      <c r="L358" s="2" t="str">
        <f t="shared" si="28"/>
        <v xml:space="preserve"> </v>
      </c>
      <c r="M358" s="2" t="str">
        <f t="shared" si="29"/>
        <v xml:space="preserve"> </v>
      </c>
    </row>
    <row r="359" spans="1:13" x14ac:dyDescent="0.25">
      <c r="A359" s="34" t="str">
        <f t="shared" si="25"/>
        <v xml:space="preserve"> </v>
      </c>
      <c r="D359" s="33"/>
      <c r="E359" s="33"/>
      <c r="J359" s="14">
        <f t="shared" si="26"/>
        <v>0</v>
      </c>
      <c r="K359" s="2" t="str">
        <f t="shared" si="27"/>
        <v xml:space="preserve"> </v>
      </c>
      <c r="L359" s="2" t="str">
        <f t="shared" si="28"/>
        <v xml:space="preserve"> </v>
      </c>
      <c r="M359" s="2" t="str">
        <f t="shared" si="29"/>
        <v xml:space="preserve"> </v>
      </c>
    </row>
    <row r="360" spans="1:13" x14ac:dyDescent="0.25">
      <c r="A360" s="34" t="str">
        <f t="shared" si="25"/>
        <v xml:space="preserve"> </v>
      </c>
      <c r="D360" s="33"/>
      <c r="E360" s="33"/>
      <c r="J360" s="14">
        <f t="shared" si="26"/>
        <v>0</v>
      </c>
      <c r="K360" s="2" t="str">
        <f t="shared" si="27"/>
        <v xml:space="preserve"> </v>
      </c>
      <c r="L360" s="2" t="str">
        <f t="shared" si="28"/>
        <v xml:space="preserve"> </v>
      </c>
      <c r="M360" s="2" t="str">
        <f t="shared" si="29"/>
        <v xml:space="preserve"> </v>
      </c>
    </row>
    <row r="361" spans="1:13" x14ac:dyDescent="0.25">
      <c r="A361" s="34" t="str">
        <f t="shared" si="25"/>
        <v xml:space="preserve"> </v>
      </c>
      <c r="D361" s="33"/>
      <c r="E361" s="33"/>
      <c r="J361" s="14">
        <f t="shared" si="26"/>
        <v>0</v>
      </c>
      <c r="K361" s="2" t="str">
        <f t="shared" si="27"/>
        <v xml:space="preserve"> </v>
      </c>
      <c r="L361" s="2" t="str">
        <f t="shared" si="28"/>
        <v xml:space="preserve"> </v>
      </c>
      <c r="M361" s="2" t="str">
        <f t="shared" si="29"/>
        <v xml:space="preserve"> </v>
      </c>
    </row>
    <row r="362" spans="1:13" x14ac:dyDescent="0.25">
      <c r="A362" s="34" t="str">
        <f t="shared" si="25"/>
        <v xml:space="preserve"> </v>
      </c>
      <c r="D362" s="33"/>
      <c r="E362" s="33"/>
      <c r="J362" s="14">
        <f t="shared" si="26"/>
        <v>0</v>
      </c>
      <c r="K362" s="2" t="str">
        <f t="shared" si="27"/>
        <v xml:space="preserve"> </v>
      </c>
      <c r="L362" s="2" t="str">
        <f t="shared" si="28"/>
        <v xml:space="preserve"> </v>
      </c>
      <c r="M362" s="2" t="str">
        <f t="shared" si="29"/>
        <v xml:space="preserve"> </v>
      </c>
    </row>
    <row r="363" spans="1:13" x14ac:dyDescent="0.25">
      <c r="A363" s="34" t="str">
        <f t="shared" si="25"/>
        <v xml:space="preserve"> </v>
      </c>
      <c r="D363" s="33"/>
      <c r="E363" s="33"/>
      <c r="J363" s="14">
        <f t="shared" si="26"/>
        <v>0</v>
      </c>
      <c r="K363" s="2" t="str">
        <f t="shared" si="27"/>
        <v xml:space="preserve"> </v>
      </c>
      <c r="L363" s="2" t="str">
        <f t="shared" si="28"/>
        <v xml:space="preserve"> </v>
      </c>
      <c r="M363" s="2" t="str">
        <f t="shared" si="29"/>
        <v xml:space="preserve"> </v>
      </c>
    </row>
    <row r="364" spans="1:13" x14ac:dyDescent="0.25">
      <c r="A364" s="34" t="str">
        <f t="shared" si="25"/>
        <v xml:space="preserve"> </v>
      </c>
      <c r="D364" s="33"/>
      <c r="E364" s="33"/>
      <c r="J364" s="14">
        <f t="shared" si="26"/>
        <v>0</v>
      </c>
      <c r="K364" s="2" t="str">
        <f t="shared" si="27"/>
        <v xml:space="preserve"> </v>
      </c>
      <c r="L364" s="2" t="str">
        <f t="shared" si="28"/>
        <v xml:space="preserve"> </v>
      </c>
      <c r="M364" s="2" t="str">
        <f t="shared" si="29"/>
        <v xml:space="preserve"> </v>
      </c>
    </row>
    <row r="365" spans="1:13" x14ac:dyDescent="0.25">
      <c r="A365" s="34" t="str">
        <f t="shared" si="25"/>
        <v xml:space="preserve"> </v>
      </c>
      <c r="D365" s="33"/>
      <c r="E365" s="33"/>
      <c r="J365" s="14">
        <f t="shared" si="26"/>
        <v>0</v>
      </c>
      <c r="K365" s="2" t="str">
        <f t="shared" si="27"/>
        <v xml:space="preserve"> </v>
      </c>
      <c r="L365" s="2" t="str">
        <f t="shared" si="28"/>
        <v xml:space="preserve"> </v>
      </c>
      <c r="M365" s="2" t="str">
        <f t="shared" si="29"/>
        <v xml:space="preserve"> </v>
      </c>
    </row>
    <row r="366" spans="1:13" x14ac:dyDescent="0.25">
      <c r="A366" s="34" t="str">
        <f t="shared" si="25"/>
        <v xml:space="preserve"> </v>
      </c>
      <c r="D366" s="33"/>
      <c r="E366" s="33"/>
      <c r="J366" s="14">
        <f t="shared" si="26"/>
        <v>0</v>
      </c>
      <c r="K366" s="2" t="str">
        <f t="shared" si="27"/>
        <v xml:space="preserve"> </v>
      </c>
      <c r="L366" s="2" t="str">
        <f t="shared" si="28"/>
        <v xml:space="preserve"> </v>
      </c>
      <c r="M366" s="2" t="str">
        <f t="shared" si="29"/>
        <v xml:space="preserve"> </v>
      </c>
    </row>
    <row r="367" spans="1:13" x14ac:dyDescent="0.25">
      <c r="A367" s="34" t="str">
        <f t="shared" si="25"/>
        <v xml:space="preserve"> </v>
      </c>
      <c r="D367" s="33"/>
      <c r="E367" s="33"/>
      <c r="J367" s="14">
        <f t="shared" si="26"/>
        <v>0</v>
      </c>
      <c r="K367" s="2" t="str">
        <f t="shared" si="27"/>
        <v xml:space="preserve"> </v>
      </c>
      <c r="L367" s="2" t="str">
        <f t="shared" si="28"/>
        <v xml:space="preserve"> </v>
      </c>
      <c r="M367" s="2" t="str">
        <f t="shared" si="29"/>
        <v xml:space="preserve"> </v>
      </c>
    </row>
    <row r="368" spans="1:13" x14ac:dyDescent="0.25">
      <c r="A368" s="34" t="str">
        <f t="shared" si="25"/>
        <v xml:space="preserve"> </v>
      </c>
      <c r="D368" s="33"/>
      <c r="E368" s="33"/>
      <c r="J368" s="14">
        <f t="shared" si="26"/>
        <v>0</v>
      </c>
      <c r="K368" s="2" t="str">
        <f t="shared" si="27"/>
        <v xml:space="preserve"> </v>
      </c>
      <c r="L368" s="2" t="str">
        <f t="shared" si="28"/>
        <v xml:space="preserve"> </v>
      </c>
      <c r="M368" s="2" t="str">
        <f t="shared" si="29"/>
        <v xml:space="preserve"> </v>
      </c>
    </row>
    <row r="369" spans="1:13" x14ac:dyDescent="0.25">
      <c r="A369" s="34" t="str">
        <f t="shared" si="25"/>
        <v xml:space="preserve"> </v>
      </c>
      <c r="D369" s="33"/>
      <c r="E369" s="33"/>
      <c r="J369" s="14">
        <f t="shared" si="26"/>
        <v>0</v>
      </c>
      <c r="K369" s="2" t="str">
        <f t="shared" si="27"/>
        <v xml:space="preserve"> </v>
      </c>
      <c r="L369" s="2" t="str">
        <f t="shared" si="28"/>
        <v xml:space="preserve"> </v>
      </c>
      <c r="M369" s="2" t="str">
        <f t="shared" si="29"/>
        <v xml:space="preserve"> </v>
      </c>
    </row>
    <row r="370" spans="1:13" x14ac:dyDescent="0.25">
      <c r="A370" s="34" t="str">
        <f t="shared" si="25"/>
        <v xml:space="preserve"> </v>
      </c>
      <c r="D370" s="33"/>
      <c r="E370" s="33"/>
      <c r="J370" s="14">
        <f t="shared" si="26"/>
        <v>0</v>
      </c>
      <c r="K370" s="2" t="str">
        <f t="shared" si="27"/>
        <v xml:space="preserve"> </v>
      </c>
      <c r="L370" s="2" t="str">
        <f t="shared" si="28"/>
        <v xml:space="preserve"> </v>
      </c>
      <c r="M370" s="2" t="str">
        <f t="shared" si="29"/>
        <v xml:space="preserve"> </v>
      </c>
    </row>
    <row r="371" spans="1:13" x14ac:dyDescent="0.25">
      <c r="A371" s="34" t="str">
        <f t="shared" si="25"/>
        <v xml:space="preserve"> </v>
      </c>
      <c r="D371" s="33"/>
      <c r="E371" s="33"/>
      <c r="J371" s="14">
        <f t="shared" si="26"/>
        <v>0</v>
      </c>
      <c r="K371" s="2" t="str">
        <f t="shared" si="27"/>
        <v xml:space="preserve"> </v>
      </c>
      <c r="L371" s="2" t="str">
        <f t="shared" si="28"/>
        <v xml:space="preserve"> </v>
      </c>
      <c r="M371" s="2" t="str">
        <f t="shared" si="29"/>
        <v xml:space="preserve"> </v>
      </c>
    </row>
    <row r="372" spans="1:13" x14ac:dyDescent="0.25">
      <c r="A372" s="34" t="str">
        <f t="shared" si="25"/>
        <v xml:space="preserve"> </v>
      </c>
      <c r="D372" s="33"/>
      <c r="E372" s="33"/>
      <c r="J372" s="14">
        <f t="shared" si="26"/>
        <v>0</v>
      </c>
      <c r="K372" s="2" t="str">
        <f t="shared" si="27"/>
        <v xml:space="preserve"> </v>
      </c>
      <c r="L372" s="2" t="str">
        <f t="shared" si="28"/>
        <v xml:space="preserve"> </v>
      </c>
      <c r="M372" s="2" t="str">
        <f t="shared" si="29"/>
        <v xml:space="preserve"> </v>
      </c>
    </row>
    <row r="373" spans="1:13" x14ac:dyDescent="0.25">
      <c r="A373" s="34" t="str">
        <f t="shared" si="25"/>
        <v xml:space="preserve"> </v>
      </c>
      <c r="D373" s="33"/>
      <c r="E373" s="33"/>
      <c r="J373" s="14">
        <f t="shared" si="26"/>
        <v>0</v>
      </c>
      <c r="K373" s="2" t="str">
        <f t="shared" si="27"/>
        <v xml:space="preserve"> </v>
      </c>
      <c r="L373" s="2" t="str">
        <f t="shared" si="28"/>
        <v xml:space="preserve"> </v>
      </c>
      <c r="M373" s="2" t="str">
        <f t="shared" si="29"/>
        <v xml:space="preserve"> </v>
      </c>
    </row>
    <row r="374" spans="1:13" x14ac:dyDescent="0.25">
      <c r="A374" s="34" t="str">
        <f t="shared" si="25"/>
        <v xml:space="preserve"> </v>
      </c>
      <c r="D374" s="33"/>
      <c r="E374" s="33"/>
      <c r="J374" s="14">
        <f t="shared" si="26"/>
        <v>0</v>
      </c>
      <c r="K374" s="2" t="str">
        <f t="shared" si="27"/>
        <v xml:space="preserve"> </v>
      </c>
      <c r="L374" s="2" t="str">
        <f t="shared" si="28"/>
        <v xml:space="preserve"> </v>
      </c>
      <c r="M374" s="2" t="str">
        <f t="shared" si="29"/>
        <v xml:space="preserve"> </v>
      </c>
    </row>
    <row r="375" spans="1:13" x14ac:dyDescent="0.25">
      <c r="A375" s="34" t="str">
        <f t="shared" si="25"/>
        <v xml:space="preserve"> </v>
      </c>
      <c r="D375" s="33"/>
      <c r="E375" s="33"/>
      <c r="J375" s="14">
        <f t="shared" si="26"/>
        <v>0</v>
      </c>
      <c r="K375" s="2" t="str">
        <f t="shared" si="27"/>
        <v xml:space="preserve"> </v>
      </c>
      <c r="L375" s="2" t="str">
        <f t="shared" si="28"/>
        <v xml:space="preserve"> </v>
      </c>
      <c r="M375" s="2" t="str">
        <f t="shared" si="29"/>
        <v xml:space="preserve"> </v>
      </c>
    </row>
    <row r="376" spans="1:13" x14ac:dyDescent="0.25">
      <c r="A376" s="34" t="str">
        <f t="shared" si="25"/>
        <v xml:space="preserve"> </v>
      </c>
      <c r="D376" s="33"/>
      <c r="E376" s="33"/>
      <c r="J376" s="14">
        <f t="shared" si="26"/>
        <v>0</v>
      </c>
      <c r="K376" s="2" t="str">
        <f t="shared" si="27"/>
        <v xml:space="preserve"> </v>
      </c>
      <c r="L376" s="2" t="str">
        <f t="shared" si="28"/>
        <v xml:space="preserve"> </v>
      </c>
      <c r="M376" s="2" t="str">
        <f t="shared" si="29"/>
        <v xml:space="preserve"> </v>
      </c>
    </row>
    <row r="377" spans="1:13" x14ac:dyDescent="0.25">
      <c r="A377" s="34" t="str">
        <f t="shared" si="25"/>
        <v xml:space="preserve"> </v>
      </c>
      <c r="D377" s="33"/>
      <c r="E377" s="33"/>
      <c r="J377" s="14">
        <f t="shared" si="26"/>
        <v>0</v>
      </c>
      <c r="K377" s="2" t="str">
        <f t="shared" si="27"/>
        <v xml:space="preserve"> </v>
      </c>
      <c r="L377" s="2" t="str">
        <f t="shared" si="28"/>
        <v xml:space="preserve"> </v>
      </c>
      <c r="M377" s="2" t="str">
        <f t="shared" si="29"/>
        <v xml:space="preserve"> </v>
      </c>
    </row>
    <row r="378" spans="1:13" x14ac:dyDescent="0.25">
      <c r="A378" s="34" t="str">
        <f t="shared" si="25"/>
        <v xml:space="preserve"> </v>
      </c>
      <c r="D378" s="33"/>
      <c r="E378" s="33"/>
      <c r="J378" s="14">
        <f t="shared" si="26"/>
        <v>0</v>
      </c>
      <c r="K378" s="2" t="str">
        <f t="shared" si="27"/>
        <v xml:space="preserve"> </v>
      </c>
      <c r="L378" s="2" t="str">
        <f t="shared" si="28"/>
        <v xml:space="preserve"> </v>
      </c>
      <c r="M378" s="2" t="str">
        <f t="shared" si="29"/>
        <v xml:space="preserve"> </v>
      </c>
    </row>
    <row r="379" spans="1:13" x14ac:dyDescent="0.25">
      <c r="A379" s="34" t="str">
        <f t="shared" si="25"/>
        <v xml:space="preserve"> </v>
      </c>
      <c r="D379" s="33"/>
      <c r="E379" s="33"/>
      <c r="J379" s="14">
        <f t="shared" si="26"/>
        <v>0</v>
      </c>
      <c r="K379" s="2" t="str">
        <f t="shared" si="27"/>
        <v xml:space="preserve"> </v>
      </c>
      <c r="L379" s="2" t="str">
        <f t="shared" si="28"/>
        <v xml:space="preserve"> </v>
      </c>
      <c r="M379" s="2" t="str">
        <f t="shared" si="29"/>
        <v xml:space="preserve"> </v>
      </c>
    </row>
    <row r="380" spans="1:13" x14ac:dyDescent="0.25">
      <c r="A380" s="34" t="str">
        <f t="shared" si="25"/>
        <v xml:space="preserve"> </v>
      </c>
      <c r="D380" s="33"/>
      <c r="E380" s="33"/>
      <c r="J380" s="14">
        <f t="shared" si="26"/>
        <v>0</v>
      </c>
      <c r="K380" s="2" t="str">
        <f t="shared" si="27"/>
        <v xml:space="preserve"> </v>
      </c>
      <c r="L380" s="2" t="str">
        <f t="shared" si="28"/>
        <v xml:space="preserve"> </v>
      </c>
      <c r="M380" s="2" t="str">
        <f t="shared" si="29"/>
        <v xml:space="preserve"> </v>
      </c>
    </row>
    <row r="381" spans="1:13" x14ac:dyDescent="0.25">
      <c r="A381" s="34" t="str">
        <f t="shared" si="25"/>
        <v xml:space="preserve"> </v>
      </c>
      <c r="D381" s="33"/>
      <c r="E381" s="33"/>
      <c r="J381" s="14">
        <f t="shared" si="26"/>
        <v>0</v>
      </c>
      <c r="K381" s="2" t="str">
        <f t="shared" si="27"/>
        <v xml:space="preserve"> </v>
      </c>
      <c r="L381" s="2" t="str">
        <f t="shared" si="28"/>
        <v xml:space="preserve"> </v>
      </c>
      <c r="M381" s="2" t="str">
        <f t="shared" si="29"/>
        <v xml:space="preserve"> </v>
      </c>
    </row>
    <row r="382" spans="1:13" x14ac:dyDescent="0.25">
      <c r="A382" s="34" t="str">
        <f t="shared" si="25"/>
        <v xml:space="preserve"> </v>
      </c>
      <c r="D382" s="33"/>
      <c r="E382" s="33"/>
      <c r="J382" s="14">
        <f t="shared" si="26"/>
        <v>0</v>
      </c>
      <c r="K382" s="2" t="str">
        <f t="shared" si="27"/>
        <v xml:space="preserve"> </v>
      </c>
      <c r="L382" s="2" t="str">
        <f t="shared" si="28"/>
        <v xml:space="preserve"> </v>
      </c>
      <c r="M382" s="2" t="str">
        <f t="shared" si="29"/>
        <v xml:space="preserve"> </v>
      </c>
    </row>
    <row r="383" spans="1:13" x14ac:dyDescent="0.25">
      <c r="A383" s="34" t="str">
        <f t="shared" si="25"/>
        <v xml:space="preserve"> </v>
      </c>
      <c r="D383" s="33"/>
      <c r="E383" s="33"/>
      <c r="J383" s="14">
        <f t="shared" si="26"/>
        <v>0</v>
      </c>
      <c r="K383" s="2" t="str">
        <f t="shared" si="27"/>
        <v xml:space="preserve"> </v>
      </c>
      <c r="L383" s="2" t="str">
        <f t="shared" si="28"/>
        <v xml:space="preserve"> </v>
      </c>
      <c r="M383" s="2" t="str">
        <f t="shared" si="29"/>
        <v xml:space="preserve"> </v>
      </c>
    </row>
    <row r="384" spans="1:13" x14ac:dyDescent="0.25">
      <c r="A384" s="34" t="str">
        <f t="shared" si="25"/>
        <v xml:space="preserve"> </v>
      </c>
      <c r="D384" s="33"/>
      <c r="E384" s="33"/>
      <c r="J384" s="14">
        <f t="shared" si="26"/>
        <v>0</v>
      </c>
      <c r="K384" s="2" t="str">
        <f t="shared" si="27"/>
        <v xml:space="preserve"> </v>
      </c>
      <c r="L384" s="2" t="str">
        <f t="shared" si="28"/>
        <v xml:space="preserve"> </v>
      </c>
      <c r="M384" s="2" t="str">
        <f t="shared" si="29"/>
        <v xml:space="preserve"> </v>
      </c>
    </row>
    <row r="385" spans="1:13" x14ac:dyDescent="0.25">
      <c r="A385" s="34" t="str">
        <f t="shared" si="25"/>
        <v xml:space="preserve"> </v>
      </c>
      <c r="D385" s="33"/>
      <c r="E385" s="33"/>
      <c r="J385" s="14">
        <f t="shared" si="26"/>
        <v>0</v>
      </c>
      <c r="K385" s="2" t="str">
        <f t="shared" si="27"/>
        <v xml:space="preserve"> </v>
      </c>
      <c r="L385" s="2" t="str">
        <f t="shared" si="28"/>
        <v xml:space="preserve"> </v>
      </c>
      <c r="M385" s="2" t="str">
        <f t="shared" si="29"/>
        <v xml:space="preserve"> </v>
      </c>
    </row>
    <row r="386" spans="1:13" x14ac:dyDescent="0.25">
      <c r="A386" s="34" t="str">
        <f t="shared" si="25"/>
        <v xml:space="preserve"> </v>
      </c>
      <c r="D386" s="33"/>
      <c r="E386" s="33"/>
      <c r="J386" s="14">
        <f t="shared" si="26"/>
        <v>0</v>
      </c>
      <c r="K386" s="2" t="str">
        <f t="shared" si="27"/>
        <v xml:space="preserve"> </v>
      </c>
      <c r="L386" s="2" t="str">
        <f t="shared" si="28"/>
        <v xml:space="preserve"> </v>
      </c>
      <c r="M386" s="2" t="str">
        <f t="shared" si="29"/>
        <v xml:space="preserve"> </v>
      </c>
    </row>
    <row r="387" spans="1:13" x14ac:dyDescent="0.25">
      <c r="A387" s="34" t="str">
        <f t="shared" si="25"/>
        <v xml:space="preserve"> </v>
      </c>
      <c r="D387" s="33"/>
      <c r="E387" s="33"/>
      <c r="J387" s="14">
        <f t="shared" si="26"/>
        <v>0</v>
      </c>
      <c r="K387" s="2" t="str">
        <f t="shared" si="27"/>
        <v xml:space="preserve"> </v>
      </c>
      <c r="L387" s="2" t="str">
        <f t="shared" si="28"/>
        <v xml:space="preserve"> </v>
      </c>
      <c r="M387" s="2" t="str">
        <f t="shared" si="29"/>
        <v xml:space="preserve"> </v>
      </c>
    </row>
    <row r="388" spans="1:13" x14ac:dyDescent="0.25">
      <c r="A388" s="34" t="str">
        <f t="shared" si="25"/>
        <v xml:space="preserve"> </v>
      </c>
      <c r="D388" s="33"/>
      <c r="E388" s="33"/>
      <c r="J388" s="14">
        <f t="shared" si="26"/>
        <v>0</v>
      </c>
      <c r="K388" s="2" t="str">
        <f t="shared" si="27"/>
        <v xml:space="preserve"> </v>
      </c>
      <c r="L388" s="2" t="str">
        <f t="shared" si="28"/>
        <v xml:space="preserve"> </v>
      </c>
      <c r="M388" s="2" t="str">
        <f t="shared" si="29"/>
        <v xml:space="preserve"> </v>
      </c>
    </row>
    <row r="389" spans="1:13" x14ac:dyDescent="0.25">
      <c r="A389" s="34" t="str">
        <f t="shared" si="25"/>
        <v xml:space="preserve"> </v>
      </c>
      <c r="D389" s="33"/>
      <c r="E389" s="33"/>
      <c r="J389" s="14">
        <f t="shared" si="26"/>
        <v>0</v>
      </c>
      <c r="K389" s="2" t="str">
        <f t="shared" si="27"/>
        <v xml:space="preserve"> </v>
      </c>
      <c r="L389" s="2" t="str">
        <f t="shared" si="28"/>
        <v xml:space="preserve"> </v>
      </c>
      <c r="M389" s="2" t="str">
        <f t="shared" si="29"/>
        <v xml:space="preserve"> </v>
      </c>
    </row>
    <row r="390" spans="1:13" x14ac:dyDescent="0.25">
      <c r="A390" s="34" t="str">
        <f t="shared" si="25"/>
        <v xml:space="preserve"> </v>
      </c>
      <c r="D390" s="33"/>
      <c r="E390" s="33"/>
      <c r="J390" s="14">
        <f t="shared" si="26"/>
        <v>0</v>
      </c>
      <c r="K390" s="2" t="str">
        <f t="shared" si="27"/>
        <v xml:space="preserve"> </v>
      </c>
      <c r="L390" s="2" t="str">
        <f t="shared" si="28"/>
        <v xml:space="preserve"> </v>
      </c>
      <c r="M390" s="2" t="str">
        <f t="shared" si="29"/>
        <v xml:space="preserve"> </v>
      </c>
    </row>
    <row r="391" spans="1:13" x14ac:dyDescent="0.25">
      <c r="A391" s="34" t="str">
        <f t="shared" si="25"/>
        <v xml:space="preserve"> </v>
      </c>
      <c r="D391" s="33"/>
      <c r="E391" s="33"/>
      <c r="J391" s="14">
        <f t="shared" si="26"/>
        <v>0</v>
      </c>
      <c r="K391" s="2" t="str">
        <f t="shared" si="27"/>
        <v xml:space="preserve"> </v>
      </c>
      <c r="L391" s="2" t="str">
        <f t="shared" si="28"/>
        <v xml:space="preserve"> </v>
      </c>
      <c r="M391" s="2" t="str">
        <f t="shared" si="29"/>
        <v xml:space="preserve"> </v>
      </c>
    </row>
    <row r="392" spans="1:13" x14ac:dyDescent="0.25">
      <c r="A392" s="34" t="str">
        <f t="shared" si="25"/>
        <v xml:space="preserve"> </v>
      </c>
      <c r="D392" s="33"/>
      <c r="E392" s="33"/>
      <c r="J392" s="14">
        <f t="shared" si="26"/>
        <v>0</v>
      </c>
      <c r="K392" s="2" t="str">
        <f t="shared" si="27"/>
        <v xml:space="preserve"> </v>
      </c>
      <c r="L392" s="2" t="str">
        <f t="shared" si="28"/>
        <v xml:space="preserve"> </v>
      </c>
      <c r="M392" s="2" t="str">
        <f t="shared" si="29"/>
        <v xml:space="preserve"> </v>
      </c>
    </row>
    <row r="393" spans="1:13" x14ac:dyDescent="0.25">
      <c r="A393" s="34" t="str">
        <f t="shared" si="25"/>
        <v xml:space="preserve"> </v>
      </c>
      <c r="D393" s="33"/>
      <c r="E393" s="33"/>
      <c r="J393" s="14">
        <f t="shared" si="26"/>
        <v>0</v>
      </c>
      <c r="K393" s="2" t="str">
        <f t="shared" si="27"/>
        <v xml:space="preserve"> </v>
      </c>
      <c r="L393" s="2" t="str">
        <f t="shared" si="28"/>
        <v xml:space="preserve"> </v>
      </c>
      <c r="M393" s="2" t="str">
        <f t="shared" si="29"/>
        <v xml:space="preserve"> </v>
      </c>
    </row>
    <row r="394" spans="1:13" x14ac:dyDescent="0.25">
      <c r="A394" s="34" t="str">
        <f t="shared" si="25"/>
        <v xml:space="preserve"> </v>
      </c>
      <c r="D394" s="33"/>
      <c r="E394" s="33"/>
      <c r="J394" s="14">
        <f t="shared" si="26"/>
        <v>0</v>
      </c>
      <c r="K394" s="2" t="str">
        <f t="shared" si="27"/>
        <v xml:space="preserve"> </v>
      </c>
      <c r="L394" s="2" t="str">
        <f t="shared" si="28"/>
        <v xml:space="preserve"> </v>
      </c>
      <c r="M394" s="2" t="str">
        <f t="shared" si="29"/>
        <v xml:space="preserve"> </v>
      </c>
    </row>
    <row r="395" spans="1:13" x14ac:dyDescent="0.25">
      <c r="A395" s="34" t="str">
        <f t="shared" si="25"/>
        <v xml:space="preserve"> </v>
      </c>
      <c r="D395" s="33"/>
      <c r="E395" s="33"/>
      <c r="J395" s="14">
        <f t="shared" si="26"/>
        <v>0</v>
      </c>
      <c r="K395" s="2" t="str">
        <f t="shared" si="27"/>
        <v xml:space="preserve"> </v>
      </c>
      <c r="L395" s="2" t="str">
        <f t="shared" si="28"/>
        <v xml:space="preserve"> </v>
      </c>
      <c r="M395" s="2" t="str">
        <f t="shared" si="29"/>
        <v xml:space="preserve"> </v>
      </c>
    </row>
    <row r="396" spans="1:13" x14ac:dyDescent="0.25">
      <c r="A396" s="34" t="str">
        <f t="shared" si="25"/>
        <v xml:space="preserve"> </v>
      </c>
      <c r="D396" s="33"/>
      <c r="E396" s="33"/>
      <c r="J396" s="14">
        <f t="shared" si="26"/>
        <v>0</v>
      </c>
      <c r="K396" s="2" t="str">
        <f t="shared" si="27"/>
        <v xml:space="preserve"> </v>
      </c>
      <c r="L396" s="2" t="str">
        <f t="shared" si="28"/>
        <v xml:space="preserve"> </v>
      </c>
      <c r="M396" s="2" t="str">
        <f t="shared" si="29"/>
        <v xml:space="preserve"> </v>
      </c>
    </row>
    <row r="397" spans="1:13" x14ac:dyDescent="0.25">
      <c r="A397" s="34" t="str">
        <f t="shared" si="25"/>
        <v xml:space="preserve"> </v>
      </c>
      <c r="D397" s="33"/>
      <c r="E397" s="33"/>
      <c r="J397" s="14">
        <f t="shared" ref="J397:J450" si="30">F397-G397+H397-I397</f>
        <v>0</v>
      </c>
      <c r="K397" s="2" t="str">
        <f t="shared" si="27"/>
        <v xml:space="preserve"> </v>
      </c>
      <c r="L397" s="2" t="str">
        <f t="shared" si="28"/>
        <v xml:space="preserve"> </v>
      </c>
      <c r="M397" s="2" t="str">
        <f t="shared" si="29"/>
        <v xml:space="preserve"> </v>
      </c>
    </row>
    <row r="398" spans="1:13" x14ac:dyDescent="0.25">
      <c r="A398" s="34" t="str">
        <f t="shared" si="25"/>
        <v xml:space="preserve"> </v>
      </c>
      <c r="D398" s="33"/>
      <c r="E398" s="33"/>
      <c r="J398" s="14">
        <f t="shared" si="30"/>
        <v>0</v>
      </c>
      <c r="K398" s="2" t="str">
        <f t="shared" si="27"/>
        <v xml:space="preserve"> </v>
      </c>
      <c r="L398" s="2" t="str">
        <f t="shared" si="28"/>
        <v xml:space="preserve"> </v>
      </c>
      <c r="M398" s="2" t="str">
        <f t="shared" si="29"/>
        <v xml:space="preserve"> </v>
      </c>
    </row>
    <row r="399" spans="1:13" x14ac:dyDescent="0.25">
      <c r="A399" s="34" t="str">
        <f t="shared" ref="A399:A462" si="31">IF(COUNTIF(K399:M399,"ERROR")&gt;0,"ERROR"," ")</f>
        <v xml:space="preserve"> </v>
      </c>
      <c r="D399" s="33"/>
      <c r="E399" s="33"/>
      <c r="J399" s="14">
        <f t="shared" si="30"/>
        <v>0</v>
      </c>
      <c r="K399" s="2" t="str">
        <f t="shared" si="27"/>
        <v xml:space="preserve"> </v>
      </c>
      <c r="L399" s="2" t="str">
        <f t="shared" si="28"/>
        <v xml:space="preserve"> </v>
      </c>
      <c r="M399" s="2" t="str">
        <f t="shared" si="29"/>
        <v xml:space="preserve"> </v>
      </c>
    </row>
    <row r="400" spans="1:13" x14ac:dyDescent="0.25">
      <c r="A400" s="34" t="str">
        <f t="shared" si="31"/>
        <v xml:space="preserve"> </v>
      </c>
      <c r="D400" s="33"/>
      <c r="E400" s="33"/>
      <c r="J400" s="14">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x14ac:dyDescent="0.25">
      <c r="A401" s="34" t="str">
        <f t="shared" si="31"/>
        <v xml:space="preserve"> </v>
      </c>
      <c r="D401" s="33"/>
      <c r="E401" s="33"/>
      <c r="J401" s="14">
        <f t="shared" si="30"/>
        <v>0</v>
      </c>
      <c r="K401" s="2" t="str">
        <f t="shared" si="32"/>
        <v xml:space="preserve"> </v>
      </c>
      <c r="L401" s="2" t="str">
        <f t="shared" si="33"/>
        <v xml:space="preserve"> </v>
      </c>
      <c r="M401" s="2" t="str">
        <f t="shared" si="34"/>
        <v xml:space="preserve"> </v>
      </c>
    </row>
    <row r="402" spans="1:13" x14ac:dyDescent="0.25">
      <c r="A402" s="34" t="str">
        <f t="shared" si="31"/>
        <v xml:space="preserve"> </v>
      </c>
      <c r="D402" s="33"/>
      <c r="E402" s="33"/>
      <c r="J402" s="14">
        <f t="shared" si="30"/>
        <v>0</v>
      </c>
      <c r="K402" s="2" t="str">
        <f t="shared" si="32"/>
        <v xml:space="preserve"> </v>
      </c>
      <c r="L402" s="2" t="str">
        <f t="shared" si="33"/>
        <v xml:space="preserve"> </v>
      </c>
      <c r="M402" s="2" t="str">
        <f t="shared" si="34"/>
        <v xml:space="preserve"> </v>
      </c>
    </row>
    <row r="403" spans="1:13" x14ac:dyDescent="0.25">
      <c r="A403" s="34" t="str">
        <f t="shared" si="31"/>
        <v xml:space="preserve"> </v>
      </c>
      <c r="D403" s="33"/>
      <c r="E403" s="33"/>
      <c r="J403" s="14">
        <f t="shared" si="30"/>
        <v>0</v>
      </c>
      <c r="K403" s="2" t="str">
        <f t="shared" si="32"/>
        <v xml:space="preserve"> </v>
      </c>
      <c r="L403" s="2" t="str">
        <f t="shared" si="33"/>
        <v xml:space="preserve"> </v>
      </c>
      <c r="M403" s="2" t="str">
        <f t="shared" si="34"/>
        <v xml:space="preserve"> </v>
      </c>
    </row>
    <row r="404" spans="1:13" x14ac:dyDescent="0.25">
      <c r="A404" s="34" t="str">
        <f t="shared" si="31"/>
        <v xml:space="preserve"> </v>
      </c>
      <c r="D404" s="33"/>
      <c r="E404" s="33"/>
      <c r="J404" s="14">
        <f t="shared" si="30"/>
        <v>0</v>
      </c>
      <c r="K404" s="2" t="str">
        <f t="shared" si="32"/>
        <v xml:space="preserve"> </v>
      </c>
      <c r="L404" s="2" t="str">
        <f t="shared" si="33"/>
        <v xml:space="preserve"> </v>
      </c>
      <c r="M404" s="2" t="str">
        <f t="shared" si="34"/>
        <v xml:space="preserve"> </v>
      </c>
    </row>
    <row r="405" spans="1:13" x14ac:dyDescent="0.25">
      <c r="A405" s="34" t="str">
        <f t="shared" si="31"/>
        <v xml:space="preserve"> </v>
      </c>
      <c r="D405" s="33"/>
      <c r="E405" s="33"/>
      <c r="J405" s="14">
        <f t="shared" si="30"/>
        <v>0</v>
      </c>
      <c r="K405" s="2" t="str">
        <f t="shared" si="32"/>
        <v xml:space="preserve"> </v>
      </c>
      <c r="L405" s="2" t="str">
        <f t="shared" si="33"/>
        <v xml:space="preserve"> </v>
      </c>
      <c r="M405" s="2" t="str">
        <f t="shared" si="34"/>
        <v xml:space="preserve"> </v>
      </c>
    </row>
    <row r="406" spans="1:13" x14ac:dyDescent="0.25">
      <c r="A406" s="34" t="str">
        <f t="shared" si="31"/>
        <v xml:space="preserve"> </v>
      </c>
      <c r="D406" s="33"/>
      <c r="E406" s="33"/>
      <c r="J406" s="14">
        <f t="shared" si="30"/>
        <v>0</v>
      </c>
      <c r="K406" s="2" t="str">
        <f t="shared" si="32"/>
        <v xml:space="preserve"> </v>
      </c>
      <c r="L406" s="2" t="str">
        <f t="shared" si="33"/>
        <v xml:space="preserve"> </v>
      </c>
      <c r="M406" s="2" t="str">
        <f t="shared" si="34"/>
        <v xml:space="preserve"> </v>
      </c>
    </row>
    <row r="407" spans="1:13" x14ac:dyDescent="0.25">
      <c r="A407" s="34" t="str">
        <f t="shared" si="31"/>
        <v xml:space="preserve"> </v>
      </c>
      <c r="D407" s="33"/>
      <c r="E407" s="33"/>
      <c r="J407" s="14">
        <f t="shared" si="30"/>
        <v>0</v>
      </c>
      <c r="K407" s="2" t="str">
        <f t="shared" si="32"/>
        <v xml:space="preserve"> </v>
      </c>
      <c r="L407" s="2" t="str">
        <f t="shared" si="33"/>
        <v xml:space="preserve"> </v>
      </c>
      <c r="M407" s="2" t="str">
        <f t="shared" si="34"/>
        <v xml:space="preserve"> </v>
      </c>
    </row>
    <row r="408" spans="1:13" x14ac:dyDescent="0.25">
      <c r="A408" s="34" t="str">
        <f t="shared" si="31"/>
        <v xml:space="preserve"> </v>
      </c>
      <c r="D408" s="33"/>
      <c r="E408" s="33"/>
      <c r="J408" s="14">
        <f t="shared" si="30"/>
        <v>0</v>
      </c>
      <c r="K408" s="2" t="str">
        <f t="shared" si="32"/>
        <v xml:space="preserve"> </v>
      </c>
      <c r="L408" s="2" t="str">
        <f t="shared" si="33"/>
        <v xml:space="preserve"> </v>
      </c>
      <c r="M408" s="2" t="str">
        <f t="shared" si="34"/>
        <v xml:space="preserve"> </v>
      </c>
    </row>
    <row r="409" spans="1:13" x14ac:dyDescent="0.25">
      <c r="A409" s="34" t="str">
        <f t="shared" si="31"/>
        <v xml:space="preserve"> </v>
      </c>
      <c r="D409" s="33"/>
      <c r="E409" s="33"/>
      <c r="J409" s="14">
        <f t="shared" si="30"/>
        <v>0</v>
      </c>
      <c r="K409" s="2" t="str">
        <f t="shared" si="32"/>
        <v xml:space="preserve"> </v>
      </c>
      <c r="L409" s="2" t="str">
        <f t="shared" si="33"/>
        <v xml:space="preserve"> </v>
      </c>
      <c r="M409" s="2" t="str">
        <f t="shared" si="34"/>
        <v xml:space="preserve"> </v>
      </c>
    </row>
    <row r="410" spans="1:13" x14ac:dyDescent="0.25">
      <c r="A410" s="34" t="str">
        <f t="shared" si="31"/>
        <v xml:space="preserve"> </v>
      </c>
      <c r="D410" s="33"/>
      <c r="E410" s="33"/>
      <c r="J410" s="14">
        <f t="shared" si="30"/>
        <v>0</v>
      </c>
      <c r="K410" s="2" t="str">
        <f t="shared" si="32"/>
        <v xml:space="preserve"> </v>
      </c>
      <c r="L410" s="2" t="str">
        <f t="shared" si="33"/>
        <v xml:space="preserve"> </v>
      </c>
      <c r="M410" s="2" t="str">
        <f t="shared" si="34"/>
        <v xml:space="preserve"> </v>
      </c>
    </row>
    <row r="411" spans="1:13" x14ac:dyDescent="0.25">
      <c r="A411" s="34" t="str">
        <f t="shared" si="31"/>
        <v xml:space="preserve"> </v>
      </c>
      <c r="D411" s="33"/>
      <c r="E411" s="33"/>
      <c r="J411" s="14">
        <f t="shared" si="30"/>
        <v>0</v>
      </c>
      <c r="K411" s="2" t="str">
        <f t="shared" si="32"/>
        <v xml:space="preserve"> </v>
      </c>
      <c r="L411" s="2" t="str">
        <f t="shared" si="33"/>
        <v xml:space="preserve"> </v>
      </c>
      <c r="M411" s="2" t="str">
        <f t="shared" si="34"/>
        <v xml:space="preserve"> </v>
      </c>
    </row>
    <row r="412" spans="1:13" x14ac:dyDescent="0.25">
      <c r="A412" s="34" t="str">
        <f t="shared" si="31"/>
        <v xml:space="preserve"> </v>
      </c>
      <c r="D412" s="33"/>
      <c r="E412" s="33"/>
      <c r="J412" s="14">
        <f t="shared" si="30"/>
        <v>0</v>
      </c>
      <c r="K412" s="2" t="str">
        <f t="shared" si="32"/>
        <v xml:space="preserve"> </v>
      </c>
      <c r="L412" s="2" t="str">
        <f t="shared" si="33"/>
        <v xml:space="preserve"> </v>
      </c>
      <c r="M412" s="2" t="str">
        <f t="shared" si="34"/>
        <v xml:space="preserve"> </v>
      </c>
    </row>
    <row r="413" spans="1:13" x14ac:dyDescent="0.25">
      <c r="A413" s="34" t="str">
        <f t="shared" si="31"/>
        <v xml:space="preserve"> </v>
      </c>
      <c r="D413" s="33"/>
      <c r="E413" s="33"/>
      <c r="J413" s="14">
        <f t="shared" si="30"/>
        <v>0</v>
      </c>
      <c r="K413" s="2" t="str">
        <f t="shared" si="32"/>
        <v xml:space="preserve"> </v>
      </c>
      <c r="L413" s="2" t="str">
        <f t="shared" si="33"/>
        <v xml:space="preserve"> </v>
      </c>
      <c r="M413" s="2" t="str">
        <f t="shared" si="34"/>
        <v xml:space="preserve"> </v>
      </c>
    </row>
    <row r="414" spans="1:13" x14ac:dyDescent="0.25">
      <c r="A414" s="34" t="str">
        <f t="shared" si="31"/>
        <v xml:space="preserve"> </v>
      </c>
      <c r="D414" s="33"/>
      <c r="E414" s="33"/>
      <c r="J414" s="14">
        <f t="shared" si="30"/>
        <v>0</v>
      </c>
      <c r="K414" s="2" t="str">
        <f t="shared" si="32"/>
        <v xml:space="preserve"> </v>
      </c>
      <c r="L414" s="2" t="str">
        <f t="shared" si="33"/>
        <v xml:space="preserve"> </v>
      </c>
      <c r="M414" s="2" t="str">
        <f t="shared" si="34"/>
        <v xml:space="preserve"> </v>
      </c>
    </row>
    <row r="415" spans="1:13" x14ac:dyDescent="0.25">
      <c r="A415" s="34" t="str">
        <f t="shared" si="31"/>
        <v xml:space="preserve"> </v>
      </c>
      <c r="D415" s="33"/>
      <c r="E415" s="33"/>
      <c r="J415" s="14">
        <f t="shared" si="30"/>
        <v>0</v>
      </c>
      <c r="K415" s="2" t="str">
        <f t="shared" si="32"/>
        <v xml:space="preserve"> </v>
      </c>
      <c r="L415" s="2" t="str">
        <f t="shared" si="33"/>
        <v xml:space="preserve"> </v>
      </c>
      <c r="M415" s="2" t="str">
        <f t="shared" si="34"/>
        <v xml:space="preserve"> </v>
      </c>
    </row>
    <row r="416" spans="1:13" x14ac:dyDescent="0.25">
      <c r="A416" s="34" t="str">
        <f t="shared" si="31"/>
        <v xml:space="preserve"> </v>
      </c>
      <c r="D416" s="33"/>
      <c r="E416" s="33"/>
      <c r="J416" s="14">
        <f t="shared" si="30"/>
        <v>0</v>
      </c>
      <c r="K416" s="2" t="str">
        <f t="shared" si="32"/>
        <v xml:space="preserve"> </v>
      </c>
      <c r="L416" s="2" t="str">
        <f t="shared" si="33"/>
        <v xml:space="preserve"> </v>
      </c>
      <c r="M416" s="2" t="str">
        <f t="shared" si="34"/>
        <v xml:space="preserve"> </v>
      </c>
    </row>
    <row r="417" spans="1:13" x14ac:dyDescent="0.25">
      <c r="A417" s="34" t="str">
        <f t="shared" si="31"/>
        <v xml:space="preserve"> </v>
      </c>
      <c r="D417" s="33"/>
      <c r="E417" s="33"/>
      <c r="J417" s="14">
        <f t="shared" si="30"/>
        <v>0</v>
      </c>
      <c r="K417" s="2" t="str">
        <f t="shared" si="32"/>
        <v xml:space="preserve"> </v>
      </c>
      <c r="L417" s="2" t="str">
        <f t="shared" si="33"/>
        <v xml:space="preserve"> </v>
      </c>
      <c r="M417" s="2" t="str">
        <f t="shared" si="34"/>
        <v xml:space="preserve"> </v>
      </c>
    </row>
    <row r="418" spans="1:13" x14ac:dyDescent="0.25">
      <c r="A418" s="34" t="str">
        <f t="shared" si="31"/>
        <v xml:space="preserve"> </v>
      </c>
      <c r="D418" s="33"/>
      <c r="E418" s="33"/>
      <c r="J418" s="14">
        <f t="shared" si="30"/>
        <v>0</v>
      </c>
      <c r="K418" s="2" t="str">
        <f t="shared" si="32"/>
        <v xml:space="preserve"> </v>
      </c>
      <c r="L418" s="2" t="str">
        <f t="shared" si="33"/>
        <v xml:space="preserve"> </v>
      </c>
      <c r="M418" s="2" t="str">
        <f t="shared" si="34"/>
        <v xml:space="preserve"> </v>
      </c>
    </row>
    <row r="419" spans="1:13" x14ac:dyDescent="0.25">
      <c r="A419" s="34" t="str">
        <f t="shared" si="31"/>
        <v xml:space="preserve"> </v>
      </c>
      <c r="D419" s="33"/>
      <c r="E419" s="33"/>
      <c r="J419" s="14">
        <f t="shared" si="30"/>
        <v>0</v>
      </c>
      <c r="K419" s="2" t="str">
        <f t="shared" si="32"/>
        <v xml:space="preserve"> </v>
      </c>
      <c r="L419" s="2" t="str">
        <f t="shared" si="33"/>
        <v xml:space="preserve"> </v>
      </c>
      <c r="M419" s="2" t="str">
        <f t="shared" si="34"/>
        <v xml:space="preserve"> </v>
      </c>
    </row>
    <row r="420" spans="1:13" x14ac:dyDescent="0.25">
      <c r="A420" s="34" t="str">
        <f t="shared" si="31"/>
        <v xml:space="preserve"> </v>
      </c>
      <c r="D420" s="33"/>
      <c r="E420" s="33"/>
      <c r="J420" s="14">
        <f t="shared" si="30"/>
        <v>0</v>
      </c>
      <c r="K420" s="2" t="str">
        <f t="shared" si="32"/>
        <v xml:space="preserve"> </v>
      </c>
      <c r="L420" s="2" t="str">
        <f t="shared" si="33"/>
        <v xml:space="preserve"> </v>
      </c>
      <c r="M420" s="2" t="str">
        <f t="shared" si="34"/>
        <v xml:space="preserve"> </v>
      </c>
    </row>
    <row r="421" spans="1:13" x14ac:dyDescent="0.25">
      <c r="A421" s="34" t="str">
        <f t="shared" si="31"/>
        <v xml:space="preserve"> </v>
      </c>
      <c r="D421" s="33"/>
      <c r="E421" s="33"/>
      <c r="J421" s="14">
        <f t="shared" si="30"/>
        <v>0</v>
      </c>
      <c r="K421" s="2" t="str">
        <f t="shared" si="32"/>
        <v xml:space="preserve"> </v>
      </c>
      <c r="L421" s="2" t="str">
        <f t="shared" si="33"/>
        <v xml:space="preserve"> </v>
      </c>
      <c r="M421" s="2" t="str">
        <f t="shared" si="34"/>
        <v xml:space="preserve"> </v>
      </c>
    </row>
    <row r="422" spans="1:13" x14ac:dyDescent="0.25">
      <c r="A422" s="34" t="str">
        <f t="shared" si="31"/>
        <v xml:space="preserve"> </v>
      </c>
      <c r="D422" s="33"/>
      <c r="E422" s="33"/>
      <c r="J422" s="14">
        <f t="shared" si="30"/>
        <v>0</v>
      </c>
      <c r="K422" s="2" t="str">
        <f t="shared" si="32"/>
        <v xml:space="preserve"> </v>
      </c>
      <c r="L422" s="2" t="str">
        <f t="shared" si="33"/>
        <v xml:space="preserve"> </v>
      </c>
      <c r="M422" s="2" t="str">
        <f t="shared" si="34"/>
        <v xml:space="preserve"> </v>
      </c>
    </row>
    <row r="423" spans="1:13" x14ac:dyDescent="0.25">
      <c r="A423" s="34" t="str">
        <f t="shared" si="31"/>
        <v xml:space="preserve"> </v>
      </c>
      <c r="D423" s="33"/>
      <c r="E423" s="33"/>
      <c r="J423" s="14">
        <f t="shared" si="30"/>
        <v>0</v>
      </c>
      <c r="K423" s="2" t="str">
        <f t="shared" si="32"/>
        <v xml:space="preserve"> </v>
      </c>
      <c r="L423" s="2" t="str">
        <f t="shared" si="33"/>
        <v xml:space="preserve"> </v>
      </c>
      <c r="M423" s="2" t="str">
        <f t="shared" si="34"/>
        <v xml:space="preserve"> </v>
      </c>
    </row>
    <row r="424" spans="1:13" x14ac:dyDescent="0.25">
      <c r="A424" s="34" t="str">
        <f t="shared" si="31"/>
        <v xml:space="preserve"> </v>
      </c>
      <c r="D424" s="33"/>
      <c r="E424" s="33"/>
      <c r="J424" s="14">
        <f t="shared" si="30"/>
        <v>0</v>
      </c>
      <c r="K424" s="2" t="str">
        <f t="shared" si="32"/>
        <v xml:space="preserve"> </v>
      </c>
      <c r="L424" s="2" t="str">
        <f t="shared" si="33"/>
        <v xml:space="preserve"> </v>
      </c>
      <c r="M424" s="2" t="str">
        <f t="shared" si="34"/>
        <v xml:space="preserve"> </v>
      </c>
    </row>
    <row r="425" spans="1:13" x14ac:dyDescent="0.25">
      <c r="A425" s="34" t="str">
        <f t="shared" si="31"/>
        <v xml:space="preserve"> </v>
      </c>
      <c r="D425" s="33"/>
      <c r="E425" s="33"/>
      <c r="J425" s="14">
        <f t="shared" si="30"/>
        <v>0</v>
      </c>
      <c r="K425" s="2" t="str">
        <f t="shared" si="32"/>
        <v xml:space="preserve"> </v>
      </c>
      <c r="L425" s="2" t="str">
        <f t="shared" si="33"/>
        <v xml:space="preserve"> </v>
      </c>
      <c r="M425" s="2" t="str">
        <f t="shared" si="34"/>
        <v xml:space="preserve"> </v>
      </c>
    </row>
    <row r="426" spans="1:13" x14ac:dyDescent="0.25">
      <c r="A426" s="34" t="str">
        <f t="shared" si="31"/>
        <v xml:space="preserve"> </v>
      </c>
      <c r="D426" s="33"/>
      <c r="E426" s="33"/>
      <c r="J426" s="14">
        <f t="shared" si="30"/>
        <v>0</v>
      </c>
      <c r="K426" s="2" t="str">
        <f t="shared" si="32"/>
        <v xml:space="preserve"> </v>
      </c>
      <c r="L426" s="2" t="str">
        <f t="shared" si="33"/>
        <v xml:space="preserve"> </v>
      </c>
      <c r="M426" s="2" t="str">
        <f t="shared" si="34"/>
        <v xml:space="preserve"> </v>
      </c>
    </row>
    <row r="427" spans="1:13" x14ac:dyDescent="0.25">
      <c r="A427" s="34" t="str">
        <f t="shared" si="31"/>
        <v xml:space="preserve"> </v>
      </c>
      <c r="D427" s="33"/>
      <c r="E427" s="33"/>
      <c r="J427" s="14">
        <f t="shared" si="30"/>
        <v>0</v>
      </c>
      <c r="K427" s="2" t="str">
        <f t="shared" si="32"/>
        <v xml:space="preserve"> </v>
      </c>
      <c r="L427" s="2" t="str">
        <f t="shared" si="33"/>
        <v xml:space="preserve"> </v>
      </c>
      <c r="M427" s="2" t="str">
        <f t="shared" si="34"/>
        <v xml:space="preserve"> </v>
      </c>
    </row>
    <row r="428" spans="1:13" x14ac:dyDescent="0.25">
      <c r="A428" s="34" t="str">
        <f t="shared" si="31"/>
        <v xml:space="preserve"> </v>
      </c>
      <c r="D428" s="33"/>
      <c r="E428" s="33"/>
      <c r="J428" s="14">
        <f t="shared" si="30"/>
        <v>0</v>
      </c>
      <c r="K428" s="2" t="str">
        <f t="shared" si="32"/>
        <v xml:space="preserve"> </v>
      </c>
      <c r="L428" s="2" t="str">
        <f t="shared" si="33"/>
        <v xml:space="preserve"> </v>
      </c>
      <c r="M428" s="2" t="str">
        <f t="shared" si="34"/>
        <v xml:space="preserve"> </v>
      </c>
    </row>
    <row r="429" spans="1:13" x14ac:dyDescent="0.25">
      <c r="A429" s="34" t="str">
        <f t="shared" si="31"/>
        <v xml:space="preserve"> </v>
      </c>
      <c r="D429" s="33"/>
      <c r="E429" s="33"/>
      <c r="J429" s="14">
        <f t="shared" si="30"/>
        <v>0</v>
      </c>
      <c r="K429" s="2" t="str">
        <f t="shared" si="32"/>
        <v xml:space="preserve"> </v>
      </c>
      <c r="L429" s="2" t="str">
        <f t="shared" si="33"/>
        <v xml:space="preserve"> </v>
      </c>
      <c r="M429" s="2" t="str">
        <f t="shared" si="34"/>
        <v xml:space="preserve"> </v>
      </c>
    </row>
    <row r="430" spans="1:13" x14ac:dyDescent="0.25">
      <c r="A430" s="34" t="str">
        <f t="shared" si="31"/>
        <v xml:space="preserve"> </v>
      </c>
      <c r="D430" s="33"/>
      <c r="E430" s="33"/>
      <c r="J430" s="14">
        <f t="shared" si="30"/>
        <v>0</v>
      </c>
      <c r="K430" s="2" t="str">
        <f t="shared" si="32"/>
        <v xml:space="preserve"> </v>
      </c>
      <c r="L430" s="2" t="str">
        <f t="shared" si="33"/>
        <v xml:space="preserve"> </v>
      </c>
      <c r="M430" s="2" t="str">
        <f t="shared" si="34"/>
        <v xml:space="preserve"> </v>
      </c>
    </row>
    <row r="431" spans="1:13" x14ac:dyDescent="0.25">
      <c r="A431" s="34" t="str">
        <f t="shared" si="31"/>
        <v xml:space="preserve"> </v>
      </c>
      <c r="D431" s="33"/>
      <c r="E431" s="33"/>
      <c r="J431" s="14">
        <f t="shared" si="30"/>
        <v>0</v>
      </c>
      <c r="K431" s="2" t="str">
        <f t="shared" si="32"/>
        <v xml:space="preserve"> </v>
      </c>
      <c r="L431" s="2" t="str">
        <f t="shared" si="33"/>
        <v xml:space="preserve"> </v>
      </c>
      <c r="M431" s="2" t="str">
        <f t="shared" si="34"/>
        <v xml:space="preserve"> </v>
      </c>
    </row>
    <row r="432" spans="1:13" x14ac:dyDescent="0.25">
      <c r="A432" s="34" t="str">
        <f t="shared" si="31"/>
        <v xml:space="preserve"> </v>
      </c>
      <c r="D432" s="33"/>
      <c r="E432" s="33"/>
      <c r="J432" s="14">
        <f t="shared" si="30"/>
        <v>0</v>
      </c>
      <c r="K432" s="2" t="str">
        <f t="shared" si="32"/>
        <v xml:space="preserve"> </v>
      </c>
      <c r="L432" s="2" t="str">
        <f t="shared" si="33"/>
        <v xml:space="preserve"> </v>
      </c>
      <c r="M432" s="2" t="str">
        <f t="shared" si="34"/>
        <v xml:space="preserve"> </v>
      </c>
    </row>
    <row r="433" spans="1:13" x14ac:dyDescent="0.25">
      <c r="A433" s="34" t="str">
        <f t="shared" si="31"/>
        <v xml:space="preserve"> </v>
      </c>
      <c r="D433" s="33"/>
      <c r="E433" s="33"/>
      <c r="J433" s="14">
        <f t="shared" si="30"/>
        <v>0</v>
      </c>
      <c r="K433" s="2" t="str">
        <f t="shared" si="32"/>
        <v xml:space="preserve"> </v>
      </c>
      <c r="L433" s="2" t="str">
        <f t="shared" si="33"/>
        <v xml:space="preserve"> </v>
      </c>
      <c r="M433" s="2" t="str">
        <f t="shared" si="34"/>
        <v xml:space="preserve"> </v>
      </c>
    </row>
    <row r="434" spans="1:13" x14ac:dyDescent="0.25">
      <c r="A434" s="34" t="str">
        <f t="shared" si="31"/>
        <v xml:space="preserve"> </v>
      </c>
      <c r="D434" s="33"/>
      <c r="E434" s="33"/>
      <c r="J434" s="14">
        <f t="shared" si="30"/>
        <v>0</v>
      </c>
      <c r="K434" s="2" t="str">
        <f t="shared" si="32"/>
        <v xml:space="preserve"> </v>
      </c>
      <c r="L434" s="2" t="str">
        <f t="shared" si="33"/>
        <v xml:space="preserve"> </v>
      </c>
      <c r="M434" s="2" t="str">
        <f t="shared" si="34"/>
        <v xml:space="preserve"> </v>
      </c>
    </row>
    <row r="435" spans="1:13" x14ac:dyDescent="0.25">
      <c r="A435" s="34" t="str">
        <f t="shared" si="31"/>
        <v xml:space="preserve"> </v>
      </c>
      <c r="D435" s="33"/>
      <c r="E435" s="33"/>
      <c r="J435" s="14">
        <f t="shared" si="30"/>
        <v>0</v>
      </c>
      <c r="K435" s="2" t="str">
        <f t="shared" si="32"/>
        <v xml:space="preserve"> </v>
      </c>
      <c r="L435" s="2" t="str">
        <f t="shared" si="33"/>
        <v xml:space="preserve"> </v>
      </c>
      <c r="M435" s="2" t="str">
        <f t="shared" si="34"/>
        <v xml:space="preserve"> </v>
      </c>
    </row>
    <row r="436" spans="1:13" x14ac:dyDescent="0.25">
      <c r="A436" s="34" t="str">
        <f t="shared" si="31"/>
        <v xml:space="preserve"> </v>
      </c>
      <c r="D436" s="33"/>
      <c r="E436" s="33"/>
      <c r="J436" s="14">
        <f t="shared" si="30"/>
        <v>0</v>
      </c>
      <c r="K436" s="2" t="str">
        <f t="shared" si="32"/>
        <v xml:space="preserve"> </v>
      </c>
      <c r="L436" s="2" t="str">
        <f t="shared" si="33"/>
        <v xml:space="preserve"> </v>
      </c>
      <c r="M436" s="2" t="str">
        <f t="shared" si="34"/>
        <v xml:space="preserve"> </v>
      </c>
    </row>
    <row r="437" spans="1:13" x14ac:dyDescent="0.25">
      <c r="A437" s="34" t="str">
        <f t="shared" si="31"/>
        <v xml:space="preserve"> </v>
      </c>
      <c r="D437" s="33"/>
      <c r="E437" s="33"/>
      <c r="J437" s="14">
        <f t="shared" si="30"/>
        <v>0</v>
      </c>
      <c r="K437" s="2" t="str">
        <f t="shared" si="32"/>
        <v xml:space="preserve"> </v>
      </c>
      <c r="L437" s="2" t="str">
        <f t="shared" si="33"/>
        <v xml:space="preserve"> </v>
      </c>
      <c r="M437" s="2" t="str">
        <f t="shared" si="34"/>
        <v xml:space="preserve"> </v>
      </c>
    </row>
    <row r="438" spans="1:13" x14ac:dyDescent="0.25">
      <c r="A438" s="34" t="str">
        <f t="shared" si="31"/>
        <v xml:space="preserve"> </v>
      </c>
      <c r="D438" s="33"/>
      <c r="E438" s="33"/>
      <c r="J438" s="14">
        <f t="shared" si="30"/>
        <v>0</v>
      </c>
      <c r="K438" s="2" t="str">
        <f t="shared" si="32"/>
        <v xml:space="preserve"> </v>
      </c>
      <c r="L438" s="2" t="str">
        <f t="shared" si="33"/>
        <v xml:space="preserve"> </v>
      </c>
      <c r="M438" s="2" t="str">
        <f t="shared" si="34"/>
        <v xml:space="preserve"> </v>
      </c>
    </row>
    <row r="439" spans="1:13" x14ac:dyDescent="0.25">
      <c r="A439" s="34" t="str">
        <f t="shared" si="31"/>
        <v xml:space="preserve"> </v>
      </c>
      <c r="D439" s="33"/>
      <c r="E439" s="33"/>
      <c r="J439" s="14">
        <f t="shared" si="30"/>
        <v>0</v>
      </c>
      <c r="K439" s="2" t="str">
        <f t="shared" si="32"/>
        <v xml:space="preserve"> </v>
      </c>
      <c r="L439" s="2" t="str">
        <f t="shared" si="33"/>
        <v xml:space="preserve"> </v>
      </c>
      <c r="M439" s="2" t="str">
        <f t="shared" si="34"/>
        <v xml:space="preserve"> </v>
      </c>
    </row>
    <row r="440" spans="1:13" x14ac:dyDescent="0.25">
      <c r="A440" s="34" t="str">
        <f t="shared" si="31"/>
        <v xml:space="preserve"> </v>
      </c>
      <c r="D440" s="33"/>
      <c r="E440" s="33"/>
      <c r="J440" s="14">
        <f t="shared" si="30"/>
        <v>0</v>
      </c>
      <c r="K440" s="2" t="str">
        <f t="shared" si="32"/>
        <v xml:space="preserve"> </v>
      </c>
      <c r="L440" s="2" t="str">
        <f t="shared" si="33"/>
        <v xml:space="preserve"> </v>
      </c>
      <c r="M440" s="2" t="str">
        <f t="shared" si="34"/>
        <v xml:space="preserve"> </v>
      </c>
    </row>
    <row r="441" spans="1:13" x14ac:dyDescent="0.25">
      <c r="A441" s="34" t="str">
        <f t="shared" si="31"/>
        <v xml:space="preserve"> </v>
      </c>
      <c r="D441" s="33"/>
      <c r="E441" s="33"/>
      <c r="J441" s="14">
        <f t="shared" si="30"/>
        <v>0</v>
      </c>
      <c r="K441" s="2" t="str">
        <f t="shared" si="32"/>
        <v xml:space="preserve"> </v>
      </c>
      <c r="L441" s="2" t="str">
        <f t="shared" si="33"/>
        <v xml:space="preserve"> </v>
      </c>
      <c r="M441" s="2" t="str">
        <f t="shared" si="34"/>
        <v xml:space="preserve"> </v>
      </c>
    </row>
    <row r="442" spans="1:13" x14ac:dyDescent="0.25">
      <c r="A442" s="34" t="str">
        <f t="shared" si="31"/>
        <v xml:space="preserve"> </v>
      </c>
      <c r="D442" s="33"/>
      <c r="E442" s="33"/>
      <c r="J442" s="14">
        <f t="shared" si="30"/>
        <v>0</v>
      </c>
      <c r="K442" s="2" t="str">
        <f t="shared" si="32"/>
        <v xml:space="preserve"> </v>
      </c>
      <c r="L442" s="2" t="str">
        <f t="shared" si="33"/>
        <v xml:space="preserve"> </v>
      </c>
      <c r="M442" s="2" t="str">
        <f t="shared" si="34"/>
        <v xml:space="preserve"> </v>
      </c>
    </row>
    <row r="443" spans="1:13" x14ac:dyDescent="0.25">
      <c r="A443" s="34" t="str">
        <f t="shared" si="31"/>
        <v xml:space="preserve"> </v>
      </c>
      <c r="D443" s="33"/>
      <c r="E443" s="33"/>
      <c r="J443" s="14">
        <f t="shared" si="30"/>
        <v>0</v>
      </c>
      <c r="K443" s="2" t="str">
        <f t="shared" si="32"/>
        <v xml:space="preserve"> </v>
      </c>
      <c r="L443" s="2" t="str">
        <f t="shared" si="33"/>
        <v xml:space="preserve"> </v>
      </c>
      <c r="M443" s="2" t="str">
        <f t="shared" si="34"/>
        <v xml:space="preserve"> </v>
      </c>
    </row>
    <row r="444" spans="1:13" x14ac:dyDescent="0.25">
      <c r="A444" s="34" t="str">
        <f t="shared" si="31"/>
        <v xml:space="preserve"> </v>
      </c>
      <c r="D444" s="33"/>
      <c r="E444" s="33"/>
      <c r="J444" s="14">
        <f t="shared" si="30"/>
        <v>0</v>
      </c>
      <c r="K444" s="2" t="str">
        <f t="shared" si="32"/>
        <v xml:space="preserve"> </v>
      </c>
      <c r="L444" s="2" t="str">
        <f t="shared" si="33"/>
        <v xml:space="preserve"> </v>
      </c>
      <c r="M444" s="2" t="str">
        <f t="shared" si="34"/>
        <v xml:space="preserve"> </v>
      </c>
    </row>
    <row r="445" spans="1:13" x14ac:dyDescent="0.25">
      <c r="A445" s="34" t="str">
        <f t="shared" si="31"/>
        <v xml:space="preserve"> </v>
      </c>
      <c r="D445" s="33"/>
      <c r="E445" s="33"/>
      <c r="J445" s="14">
        <f t="shared" si="30"/>
        <v>0</v>
      </c>
      <c r="K445" s="2" t="str">
        <f t="shared" si="32"/>
        <v xml:space="preserve"> </v>
      </c>
      <c r="L445" s="2" t="str">
        <f t="shared" si="33"/>
        <v xml:space="preserve"> </v>
      </c>
      <c r="M445" s="2" t="str">
        <f t="shared" si="34"/>
        <v xml:space="preserve"> </v>
      </c>
    </row>
    <row r="446" spans="1:13" x14ac:dyDescent="0.25">
      <c r="A446" s="34" t="str">
        <f t="shared" si="31"/>
        <v xml:space="preserve"> </v>
      </c>
      <c r="D446" s="33"/>
      <c r="E446" s="33"/>
      <c r="J446" s="14">
        <f t="shared" si="30"/>
        <v>0</v>
      </c>
      <c r="K446" s="2" t="str">
        <f t="shared" si="32"/>
        <v xml:space="preserve"> </v>
      </c>
      <c r="L446" s="2" t="str">
        <f t="shared" si="33"/>
        <v xml:space="preserve"> </v>
      </c>
      <c r="M446" s="2" t="str">
        <f t="shared" si="34"/>
        <v xml:space="preserve"> </v>
      </c>
    </row>
    <row r="447" spans="1:13" x14ac:dyDescent="0.25">
      <c r="A447" s="34" t="str">
        <f t="shared" si="31"/>
        <v xml:space="preserve"> </v>
      </c>
      <c r="D447" s="33"/>
      <c r="E447" s="33"/>
      <c r="J447" s="14">
        <f t="shared" si="30"/>
        <v>0</v>
      </c>
      <c r="K447" s="2" t="str">
        <f t="shared" si="32"/>
        <v xml:space="preserve"> </v>
      </c>
      <c r="L447" s="2" t="str">
        <f t="shared" si="33"/>
        <v xml:space="preserve"> </v>
      </c>
      <c r="M447" s="2" t="str">
        <f t="shared" si="34"/>
        <v xml:space="preserve"> </v>
      </c>
    </row>
    <row r="448" spans="1:13" x14ac:dyDescent="0.25">
      <c r="A448" s="34" t="str">
        <f t="shared" si="31"/>
        <v xml:space="preserve"> </v>
      </c>
      <c r="D448" s="33"/>
      <c r="E448" s="33"/>
      <c r="J448" s="14">
        <f t="shared" si="30"/>
        <v>0</v>
      </c>
      <c r="K448" s="2" t="str">
        <f t="shared" si="32"/>
        <v xml:space="preserve"> </v>
      </c>
      <c r="L448" s="2" t="str">
        <f t="shared" si="33"/>
        <v xml:space="preserve"> </v>
      </c>
      <c r="M448" s="2" t="str">
        <f t="shared" si="34"/>
        <v xml:space="preserve"> </v>
      </c>
    </row>
    <row r="449" spans="1:13" x14ac:dyDescent="0.25">
      <c r="A449" s="34" t="str">
        <f t="shared" si="31"/>
        <v xml:space="preserve"> </v>
      </c>
      <c r="D449" s="33"/>
      <c r="E449" s="33"/>
      <c r="J449" s="14">
        <f t="shared" si="30"/>
        <v>0</v>
      </c>
      <c r="K449" s="2" t="str">
        <f t="shared" si="32"/>
        <v xml:space="preserve"> </v>
      </c>
      <c r="L449" s="2" t="str">
        <f t="shared" si="33"/>
        <v xml:space="preserve"> </v>
      </c>
      <c r="M449" s="2" t="str">
        <f t="shared" si="34"/>
        <v xml:space="preserve"> </v>
      </c>
    </row>
    <row r="450" spans="1:13" x14ac:dyDescent="0.25">
      <c r="A450" s="34" t="str">
        <f t="shared" si="31"/>
        <v xml:space="preserve"> </v>
      </c>
      <c r="D450" s="33"/>
      <c r="E450" s="33"/>
      <c r="J450" s="14">
        <f t="shared" si="30"/>
        <v>0</v>
      </c>
      <c r="K450" s="2" t="str">
        <f t="shared" si="32"/>
        <v xml:space="preserve"> </v>
      </c>
      <c r="L450" s="2" t="str">
        <f t="shared" si="33"/>
        <v xml:space="preserve"> </v>
      </c>
      <c r="M450" s="2" t="str">
        <f t="shared" si="34"/>
        <v xml:space="preserve"> </v>
      </c>
    </row>
    <row r="451" spans="1:13" x14ac:dyDescent="0.25">
      <c r="A451" s="34" t="str">
        <f t="shared" si="31"/>
        <v xml:space="preserve"> </v>
      </c>
      <c r="D451" s="33"/>
      <c r="E451" s="33"/>
      <c r="J451" s="14">
        <f t="shared" ref="J451:J482" si="35">F451-G451+H451-I451</f>
        <v>0</v>
      </c>
      <c r="K451" s="2" t="str">
        <f t="shared" si="32"/>
        <v xml:space="preserve"> </v>
      </c>
      <c r="L451" s="2" t="str">
        <f t="shared" si="33"/>
        <v xml:space="preserve"> </v>
      </c>
      <c r="M451" s="2" t="str">
        <f t="shared" si="34"/>
        <v xml:space="preserve"> </v>
      </c>
    </row>
    <row r="452" spans="1:13" x14ac:dyDescent="0.25">
      <c r="A452" s="34" t="str">
        <f t="shared" si="31"/>
        <v xml:space="preserve"> </v>
      </c>
      <c r="D452" s="33"/>
      <c r="E452" s="33"/>
      <c r="J452" s="14">
        <f t="shared" si="35"/>
        <v>0</v>
      </c>
      <c r="K452" s="2" t="str">
        <f t="shared" si="32"/>
        <v xml:space="preserve"> </v>
      </c>
      <c r="L452" s="2" t="str">
        <f t="shared" si="33"/>
        <v xml:space="preserve"> </v>
      </c>
      <c r="M452" s="2" t="str">
        <f t="shared" si="34"/>
        <v xml:space="preserve"> </v>
      </c>
    </row>
    <row r="453" spans="1:13" x14ac:dyDescent="0.25">
      <c r="A453" s="34" t="str">
        <f t="shared" si="31"/>
        <v xml:space="preserve"> </v>
      </c>
      <c r="D453" s="33"/>
      <c r="E453" s="33"/>
      <c r="J453" s="14">
        <f t="shared" si="35"/>
        <v>0</v>
      </c>
      <c r="K453" s="2" t="str">
        <f t="shared" si="32"/>
        <v xml:space="preserve"> </v>
      </c>
      <c r="L453" s="2" t="str">
        <f t="shared" si="33"/>
        <v xml:space="preserve"> </v>
      </c>
      <c r="M453" s="2" t="str">
        <f t="shared" si="34"/>
        <v xml:space="preserve"> </v>
      </c>
    </row>
    <row r="454" spans="1:13" x14ac:dyDescent="0.25">
      <c r="A454" s="34" t="str">
        <f t="shared" si="31"/>
        <v xml:space="preserve"> </v>
      </c>
      <c r="D454" s="33"/>
      <c r="E454" s="33"/>
      <c r="J454" s="14">
        <f t="shared" si="35"/>
        <v>0</v>
      </c>
      <c r="K454" s="2" t="str">
        <f t="shared" si="32"/>
        <v xml:space="preserve"> </v>
      </c>
      <c r="L454" s="2" t="str">
        <f t="shared" si="33"/>
        <v xml:space="preserve"> </v>
      </c>
      <c r="M454" s="2" t="str">
        <f t="shared" si="34"/>
        <v xml:space="preserve"> </v>
      </c>
    </row>
    <row r="455" spans="1:13" x14ac:dyDescent="0.25">
      <c r="A455" s="34" t="str">
        <f t="shared" si="31"/>
        <v xml:space="preserve"> </v>
      </c>
      <c r="D455" s="33"/>
      <c r="E455" s="33"/>
      <c r="J455" s="14">
        <f t="shared" si="35"/>
        <v>0</v>
      </c>
      <c r="K455" s="2" t="str">
        <f t="shared" si="32"/>
        <v xml:space="preserve"> </v>
      </c>
      <c r="L455" s="2" t="str">
        <f t="shared" si="33"/>
        <v xml:space="preserve"> </v>
      </c>
      <c r="M455" s="2" t="str">
        <f t="shared" si="34"/>
        <v xml:space="preserve"> </v>
      </c>
    </row>
    <row r="456" spans="1:13" x14ac:dyDescent="0.25">
      <c r="A456" s="34" t="str">
        <f t="shared" si="31"/>
        <v xml:space="preserve"> </v>
      </c>
      <c r="D456" s="33"/>
      <c r="E456" s="33"/>
      <c r="J456" s="14">
        <f t="shared" si="35"/>
        <v>0</v>
      </c>
      <c r="K456" s="2" t="str">
        <f t="shared" si="32"/>
        <v xml:space="preserve"> </v>
      </c>
      <c r="L456" s="2" t="str">
        <f t="shared" si="33"/>
        <v xml:space="preserve"> </v>
      </c>
      <c r="M456" s="2" t="str">
        <f t="shared" si="34"/>
        <v xml:space="preserve"> </v>
      </c>
    </row>
    <row r="457" spans="1:13" x14ac:dyDescent="0.25">
      <c r="A457" s="34" t="str">
        <f t="shared" si="31"/>
        <v xml:space="preserve"> </v>
      </c>
      <c r="D457" s="33"/>
      <c r="E457" s="33"/>
      <c r="J457" s="14">
        <f t="shared" si="35"/>
        <v>0</v>
      </c>
      <c r="K457" s="2" t="str">
        <f t="shared" si="32"/>
        <v xml:space="preserve"> </v>
      </c>
      <c r="L457" s="2" t="str">
        <f t="shared" si="33"/>
        <v xml:space="preserve"> </v>
      </c>
      <c r="M457" s="2" t="str">
        <f t="shared" si="34"/>
        <v xml:space="preserve"> </v>
      </c>
    </row>
    <row r="458" spans="1:13" x14ac:dyDescent="0.25">
      <c r="A458" s="34" t="str">
        <f t="shared" si="31"/>
        <v xml:space="preserve"> </v>
      </c>
      <c r="D458" s="33"/>
      <c r="E458" s="33"/>
      <c r="J458" s="14">
        <f t="shared" si="35"/>
        <v>0</v>
      </c>
      <c r="K458" s="2" t="str">
        <f t="shared" si="32"/>
        <v xml:space="preserve"> </v>
      </c>
      <c r="L458" s="2" t="str">
        <f t="shared" si="33"/>
        <v xml:space="preserve"> </v>
      </c>
      <c r="M458" s="2" t="str">
        <f t="shared" si="34"/>
        <v xml:space="preserve"> </v>
      </c>
    </row>
    <row r="459" spans="1:13" x14ac:dyDescent="0.25">
      <c r="A459" s="34" t="str">
        <f t="shared" si="31"/>
        <v xml:space="preserve"> </v>
      </c>
      <c r="D459" s="33"/>
      <c r="E459" s="33"/>
      <c r="J459" s="14">
        <f t="shared" si="35"/>
        <v>0</v>
      </c>
      <c r="K459" s="2" t="str">
        <f t="shared" si="32"/>
        <v xml:space="preserve"> </v>
      </c>
      <c r="L459" s="2" t="str">
        <f t="shared" si="33"/>
        <v xml:space="preserve"> </v>
      </c>
      <c r="M459" s="2" t="str">
        <f t="shared" si="34"/>
        <v xml:space="preserve"> </v>
      </c>
    </row>
    <row r="460" spans="1:13" x14ac:dyDescent="0.25">
      <c r="A460" s="34" t="str">
        <f t="shared" si="31"/>
        <v xml:space="preserve"> </v>
      </c>
      <c r="D460" s="33"/>
      <c r="E460" s="33"/>
      <c r="J460" s="14">
        <f t="shared" si="35"/>
        <v>0</v>
      </c>
      <c r="K460" s="2" t="str">
        <f t="shared" si="32"/>
        <v xml:space="preserve"> </v>
      </c>
      <c r="L460" s="2" t="str">
        <f t="shared" si="33"/>
        <v xml:space="preserve"> </v>
      </c>
      <c r="M460" s="2" t="str">
        <f t="shared" si="34"/>
        <v xml:space="preserve"> </v>
      </c>
    </row>
    <row r="461" spans="1:13" x14ac:dyDescent="0.25">
      <c r="A461" s="34" t="str">
        <f t="shared" si="31"/>
        <v xml:space="preserve"> </v>
      </c>
      <c r="D461" s="33"/>
      <c r="E461" s="33"/>
      <c r="J461" s="14">
        <f t="shared" si="35"/>
        <v>0</v>
      </c>
      <c r="K461" s="2" t="str">
        <f t="shared" si="32"/>
        <v xml:space="preserve"> </v>
      </c>
      <c r="L461" s="2" t="str">
        <f t="shared" si="33"/>
        <v xml:space="preserve"> </v>
      </c>
      <c r="M461" s="2" t="str">
        <f t="shared" si="34"/>
        <v xml:space="preserve"> </v>
      </c>
    </row>
    <row r="462" spans="1:13" x14ac:dyDescent="0.25">
      <c r="A462" s="34" t="str">
        <f t="shared" si="31"/>
        <v xml:space="preserve"> </v>
      </c>
      <c r="D462" s="33"/>
      <c r="E462" s="33"/>
      <c r="J462" s="14">
        <f t="shared" si="35"/>
        <v>0</v>
      </c>
      <c r="K462" s="2" t="str">
        <f t="shared" si="32"/>
        <v xml:space="preserve"> </v>
      </c>
      <c r="L462" s="2" t="str">
        <f t="shared" si="33"/>
        <v xml:space="preserve"> </v>
      </c>
      <c r="M462" s="2" t="str">
        <f t="shared" si="34"/>
        <v xml:space="preserve"> </v>
      </c>
    </row>
    <row r="463" spans="1:13" x14ac:dyDescent="0.25">
      <c r="A463" s="34" t="str">
        <f t="shared" ref="A463:A482" si="36">IF(COUNTIF(K463:M463,"ERROR")&gt;0,"ERROR"," ")</f>
        <v xml:space="preserve"> </v>
      </c>
      <c r="D463" s="33"/>
      <c r="E463" s="33"/>
      <c r="J463" s="14">
        <f t="shared" si="35"/>
        <v>0</v>
      </c>
      <c r="K463" s="2" t="str">
        <f t="shared" si="32"/>
        <v xml:space="preserve"> </v>
      </c>
      <c r="L463" s="2" t="str">
        <f t="shared" si="33"/>
        <v xml:space="preserve"> </v>
      </c>
      <c r="M463" s="2" t="str">
        <f t="shared" si="34"/>
        <v xml:space="preserve"> </v>
      </c>
    </row>
    <row r="464" spans="1:13" x14ac:dyDescent="0.25">
      <c r="A464" s="34" t="str">
        <f t="shared" si="36"/>
        <v xml:space="preserve"> </v>
      </c>
      <c r="D464" s="33"/>
      <c r="E464" s="33"/>
      <c r="J464" s="14">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x14ac:dyDescent="0.25">
      <c r="A465" s="34" t="str">
        <f t="shared" si="36"/>
        <v xml:space="preserve"> </v>
      </c>
      <c r="D465" s="33"/>
      <c r="E465" s="33"/>
      <c r="J465" s="14">
        <f t="shared" si="35"/>
        <v>0</v>
      </c>
      <c r="K465" s="2" t="str">
        <f t="shared" si="37"/>
        <v xml:space="preserve"> </v>
      </c>
      <c r="L465" s="2" t="str">
        <f t="shared" si="38"/>
        <v xml:space="preserve"> </v>
      </c>
      <c r="M465" s="2" t="str">
        <f t="shared" si="39"/>
        <v xml:space="preserve"> </v>
      </c>
    </row>
    <row r="466" spans="1:13" x14ac:dyDescent="0.25">
      <c r="A466" s="34" t="str">
        <f t="shared" si="36"/>
        <v xml:space="preserve"> </v>
      </c>
      <c r="D466" s="33"/>
      <c r="E466" s="33"/>
      <c r="J466" s="14">
        <f t="shared" si="35"/>
        <v>0</v>
      </c>
      <c r="K466" s="2" t="str">
        <f t="shared" si="37"/>
        <v xml:space="preserve"> </v>
      </c>
      <c r="L466" s="2" t="str">
        <f t="shared" si="38"/>
        <v xml:space="preserve"> </v>
      </c>
      <c r="M466" s="2" t="str">
        <f t="shared" si="39"/>
        <v xml:space="preserve"> </v>
      </c>
    </row>
    <row r="467" spans="1:13" x14ac:dyDescent="0.25">
      <c r="A467" s="34" t="str">
        <f t="shared" si="36"/>
        <v xml:space="preserve"> </v>
      </c>
      <c r="D467" s="33"/>
      <c r="E467" s="33"/>
      <c r="J467" s="14">
        <f t="shared" si="35"/>
        <v>0</v>
      </c>
      <c r="K467" s="2" t="str">
        <f t="shared" si="37"/>
        <v xml:space="preserve"> </v>
      </c>
      <c r="L467" s="2" t="str">
        <f t="shared" si="38"/>
        <v xml:space="preserve"> </v>
      </c>
      <c r="M467" s="2" t="str">
        <f t="shared" si="39"/>
        <v xml:space="preserve"> </v>
      </c>
    </row>
    <row r="468" spans="1:13" x14ac:dyDescent="0.25">
      <c r="A468" s="34" t="str">
        <f t="shared" si="36"/>
        <v xml:space="preserve"> </v>
      </c>
      <c r="D468" s="33"/>
      <c r="E468" s="33"/>
      <c r="J468" s="14">
        <f t="shared" si="35"/>
        <v>0</v>
      </c>
      <c r="K468" s="2" t="str">
        <f t="shared" si="37"/>
        <v xml:space="preserve"> </v>
      </c>
      <c r="L468" s="2" t="str">
        <f t="shared" si="38"/>
        <v xml:space="preserve"> </v>
      </c>
      <c r="M468" s="2" t="str">
        <f t="shared" si="39"/>
        <v xml:space="preserve"> </v>
      </c>
    </row>
    <row r="469" spans="1:13" x14ac:dyDescent="0.25">
      <c r="A469" s="34" t="str">
        <f t="shared" si="36"/>
        <v xml:space="preserve"> </v>
      </c>
      <c r="D469" s="33"/>
      <c r="E469" s="33"/>
      <c r="J469" s="14">
        <f t="shared" si="35"/>
        <v>0</v>
      </c>
      <c r="K469" s="2" t="str">
        <f t="shared" si="37"/>
        <v xml:space="preserve"> </v>
      </c>
      <c r="L469" s="2" t="str">
        <f t="shared" si="38"/>
        <v xml:space="preserve"> </v>
      </c>
      <c r="M469" s="2" t="str">
        <f t="shared" si="39"/>
        <v xml:space="preserve"> </v>
      </c>
    </row>
    <row r="470" spans="1:13" x14ac:dyDescent="0.25">
      <c r="A470" s="34" t="str">
        <f t="shared" si="36"/>
        <v xml:space="preserve"> </v>
      </c>
      <c r="D470" s="33"/>
      <c r="E470" s="33"/>
      <c r="J470" s="14">
        <f t="shared" si="35"/>
        <v>0</v>
      </c>
      <c r="K470" s="2" t="str">
        <f t="shared" si="37"/>
        <v xml:space="preserve"> </v>
      </c>
      <c r="L470" s="2" t="str">
        <f t="shared" si="38"/>
        <v xml:space="preserve"> </v>
      </c>
      <c r="M470" s="2" t="str">
        <f t="shared" si="39"/>
        <v xml:space="preserve"> </v>
      </c>
    </row>
    <row r="471" spans="1:13" x14ac:dyDescent="0.25">
      <c r="A471" s="34" t="str">
        <f t="shared" si="36"/>
        <v xml:space="preserve"> </v>
      </c>
      <c r="D471" s="33"/>
      <c r="E471" s="33"/>
      <c r="J471" s="14">
        <f t="shared" si="35"/>
        <v>0</v>
      </c>
      <c r="K471" s="2" t="str">
        <f t="shared" si="37"/>
        <v xml:space="preserve"> </v>
      </c>
      <c r="L471" s="2" t="str">
        <f t="shared" si="38"/>
        <v xml:space="preserve"> </v>
      </c>
      <c r="M471" s="2" t="str">
        <f t="shared" si="39"/>
        <v xml:space="preserve"> </v>
      </c>
    </row>
    <row r="472" spans="1:13" x14ac:dyDescent="0.25">
      <c r="A472" s="34" t="str">
        <f t="shared" si="36"/>
        <v xml:space="preserve"> </v>
      </c>
      <c r="D472" s="33"/>
      <c r="E472" s="33"/>
      <c r="J472" s="14">
        <f t="shared" si="35"/>
        <v>0</v>
      </c>
      <c r="K472" s="2" t="str">
        <f t="shared" si="37"/>
        <v xml:space="preserve"> </v>
      </c>
      <c r="L472" s="2" t="str">
        <f t="shared" si="38"/>
        <v xml:space="preserve"> </v>
      </c>
      <c r="M472" s="2" t="str">
        <f t="shared" si="39"/>
        <v xml:space="preserve"> </v>
      </c>
    </row>
    <row r="473" spans="1:13" x14ac:dyDescent="0.25">
      <c r="A473" s="34" t="str">
        <f t="shared" si="36"/>
        <v xml:space="preserve"> </v>
      </c>
      <c r="D473" s="33"/>
      <c r="E473" s="33"/>
      <c r="J473" s="14">
        <f t="shared" si="35"/>
        <v>0</v>
      </c>
      <c r="K473" s="2" t="str">
        <f t="shared" si="37"/>
        <v xml:space="preserve"> </v>
      </c>
      <c r="L473" s="2" t="str">
        <f t="shared" si="38"/>
        <v xml:space="preserve"> </v>
      </c>
      <c r="M473" s="2" t="str">
        <f t="shared" si="39"/>
        <v xml:space="preserve"> </v>
      </c>
    </row>
    <row r="474" spans="1:13" x14ac:dyDescent="0.25">
      <c r="A474" s="34" t="str">
        <f t="shared" si="36"/>
        <v xml:space="preserve"> </v>
      </c>
      <c r="D474" s="33"/>
      <c r="E474" s="33"/>
      <c r="J474" s="14">
        <f t="shared" si="35"/>
        <v>0</v>
      </c>
      <c r="K474" s="2" t="str">
        <f t="shared" si="37"/>
        <v xml:space="preserve"> </v>
      </c>
      <c r="L474" s="2" t="str">
        <f t="shared" si="38"/>
        <v xml:space="preserve"> </v>
      </c>
      <c r="M474" s="2" t="str">
        <f t="shared" si="39"/>
        <v xml:space="preserve"> </v>
      </c>
    </row>
    <row r="475" spans="1:13" x14ac:dyDescent="0.25">
      <c r="A475" s="34" t="str">
        <f t="shared" si="36"/>
        <v xml:space="preserve"> </v>
      </c>
      <c r="D475" s="33"/>
      <c r="E475" s="33"/>
      <c r="J475" s="14">
        <f t="shared" si="35"/>
        <v>0</v>
      </c>
      <c r="K475" s="2" t="str">
        <f t="shared" si="37"/>
        <v xml:space="preserve"> </v>
      </c>
      <c r="L475" s="2" t="str">
        <f t="shared" si="38"/>
        <v xml:space="preserve"> </v>
      </c>
      <c r="M475" s="2" t="str">
        <f t="shared" si="39"/>
        <v xml:space="preserve"> </v>
      </c>
    </row>
    <row r="476" spans="1:13" x14ac:dyDescent="0.25">
      <c r="A476" s="34" t="str">
        <f t="shared" si="36"/>
        <v xml:space="preserve"> </v>
      </c>
      <c r="D476" s="33"/>
      <c r="E476" s="33"/>
      <c r="J476" s="14">
        <f t="shared" si="35"/>
        <v>0</v>
      </c>
      <c r="K476" s="2" t="str">
        <f t="shared" si="37"/>
        <v xml:space="preserve"> </v>
      </c>
      <c r="L476" s="2" t="str">
        <f t="shared" si="38"/>
        <v xml:space="preserve"> </v>
      </c>
      <c r="M476" s="2" t="str">
        <f t="shared" si="39"/>
        <v xml:space="preserve"> </v>
      </c>
    </row>
    <row r="477" spans="1:13" x14ac:dyDescent="0.25">
      <c r="A477" s="34" t="str">
        <f t="shared" si="36"/>
        <v xml:space="preserve"> </v>
      </c>
      <c r="D477" s="33"/>
      <c r="E477" s="33"/>
      <c r="J477" s="14">
        <f t="shared" si="35"/>
        <v>0</v>
      </c>
      <c r="K477" s="2" t="str">
        <f t="shared" si="37"/>
        <v xml:space="preserve"> </v>
      </c>
      <c r="L477" s="2" t="str">
        <f t="shared" si="38"/>
        <v xml:space="preserve"> </v>
      </c>
      <c r="M477" s="2" t="str">
        <f t="shared" si="39"/>
        <v xml:space="preserve"> </v>
      </c>
    </row>
    <row r="478" spans="1:13" x14ac:dyDescent="0.25">
      <c r="A478" s="34" t="str">
        <f t="shared" si="36"/>
        <v xml:space="preserve"> </v>
      </c>
      <c r="D478" s="33"/>
      <c r="E478" s="33"/>
      <c r="J478" s="14">
        <f t="shared" si="35"/>
        <v>0</v>
      </c>
      <c r="K478" s="2" t="str">
        <f t="shared" si="37"/>
        <v xml:space="preserve"> </v>
      </c>
      <c r="L478" s="2" t="str">
        <f t="shared" si="38"/>
        <v xml:space="preserve"> </v>
      </c>
      <c r="M478" s="2" t="str">
        <f t="shared" si="39"/>
        <v xml:space="preserve"> </v>
      </c>
    </row>
    <row r="479" spans="1:13" x14ac:dyDescent="0.25">
      <c r="A479" s="34" t="str">
        <f t="shared" si="36"/>
        <v xml:space="preserve"> </v>
      </c>
      <c r="D479" s="33"/>
      <c r="E479" s="33"/>
      <c r="J479" s="14">
        <f t="shared" si="35"/>
        <v>0</v>
      </c>
      <c r="K479" s="2" t="str">
        <f t="shared" si="37"/>
        <v xml:space="preserve"> </v>
      </c>
      <c r="L479" s="2" t="str">
        <f t="shared" si="38"/>
        <v xml:space="preserve"> </v>
      </c>
      <c r="M479" s="2" t="str">
        <f t="shared" si="39"/>
        <v xml:space="preserve"> </v>
      </c>
    </row>
    <row r="480" spans="1:13" x14ac:dyDescent="0.25">
      <c r="A480" s="34" t="str">
        <f t="shared" si="36"/>
        <v xml:space="preserve"> </v>
      </c>
      <c r="D480" s="33"/>
      <c r="E480" s="33"/>
      <c r="J480" s="14">
        <f t="shared" si="35"/>
        <v>0</v>
      </c>
      <c r="K480" s="2" t="str">
        <f t="shared" si="37"/>
        <v xml:space="preserve"> </v>
      </c>
      <c r="L480" s="2" t="str">
        <f t="shared" si="38"/>
        <v xml:space="preserve"> </v>
      </c>
      <c r="M480" s="2" t="str">
        <f t="shared" si="39"/>
        <v xml:space="preserve"> </v>
      </c>
    </row>
    <row r="481" spans="1:13" x14ac:dyDescent="0.25">
      <c r="A481" s="34" t="str">
        <f t="shared" si="36"/>
        <v xml:space="preserve"> </v>
      </c>
      <c r="D481" s="33"/>
      <c r="E481" s="33"/>
      <c r="J481" s="14">
        <f t="shared" si="35"/>
        <v>0</v>
      </c>
      <c r="K481" s="2" t="str">
        <f t="shared" si="37"/>
        <v xml:space="preserve"> </v>
      </c>
      <c r="L481" s="2" t="str">
        <f t="shared" si="38"/>
        <v xml:space="preserve"> </v>
      </c>
      <c r="M481" s="2" t="str">
        <f t="shared" si="39"/>
        <v xml:space="preserve"> </v>
      </c>
    </row>
    <row r="482" spans="1:13" x14ac:dyDescent="0.25">
      <c r="A482" s="34" t="str">
        <f t="shared" si="36"/>
        <v xml:space="preserve"> </v>
      </c>
      <c r="D482" s="33"/>
      <c r="E482" s="33"/>
      <c r="J482" s="14">
        <f t="shared" si="35"/>
        <v>0</v>
      </c>
      <c r="K482" s="2" t="str">
        <f t="shared" si="37"/>
        <v xml:space="preserve"> </v>
      </c>
      <c r="L482" s="2" t="str">
        <f t="shared" si="38"/>
        <v xml:space="preserve"> </v>
      </c>
      <c r="M482" s="2" t="str">
        <f t="shared" si="39"/>
        <v xml:space="preserve"> </v>
      </c>
    </row>
    <row r="483" spans="1:13" x14ac:dyDescent="0.25">
      <c r="A483" s="34"/>
    </row>
    <row r="484" spans="1:13" ht="16.5" thickBot="1" x14ac:dyDescent="0.3">
      <c r="A484" s="34"/>
      <c r="F484" s="16">
        <f>SUM(F14:F483)</f>
        <v>0</v>
      </c>
      <c r="G484" s="16">
        <f>SUM(G14:G483)</f>
        <v>0</v>
      </c>
      <c r="H484" s="16">
        <f>SUM(H14:H483)</f>
        <v>0</v>
      </c>
      <c r="I484" s="16">
        <f>SUM(I14:I483)</f>
        <v>0</v>
      </c>
    </row>
    <row r="485" spans="1:13" ht="16.5" thickTop="1" x14ac:dyDescent="0.25">
      <c r="A485" s="34"/>
    </row>
    <row r="486" spans="1:13" x14ac:dyDescent="0.25">
      <c r="A486" s="34"/>
      <c r="C486" s="2" t="s">
        <v>292</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M394"/>
  <sheetViews>
    <sheetView zoomScale="87" zoomScaleNormal="87" workbookViewId="0">
      <selection activeCell="A18" sqref="A18"/>
    </sheetView>
  </sheetViews>
  <sheetFormatPr defaultRowHeight="12.75" x14ac:dyDescent="0.2"/>
  <cols>
    <col min="1" max="1" width="2.28515625" style="36" customWidth="1"/>
    <col min="2" max="2" width="17.28515625" style="144" customWidth="1"/>
    <col min="3" max="3" width="62.42578125" style="36" bestFit="1" customWidth="1"/>
    <col min="4" max="4" width="20" style="36" bestFit="1" customWidth="1"/>
    <col min="5" max="5" width="13.85546875" style="36" bestFit="1" customWidth="1"/>
    <col min="6" max="6" width="12.5703125" style="36" customWidth="1"/>
    <col min="7" max="7" width="17.7109375" style="36" customWidth="1"/>
    <col min="8" max="8" width="19.85546875" style="36" bestFit="1" customWidth="1"/>
    <col min="9" max="9" width="15.42578125" style="36" customWidth="1"/>
    <col min="10" max="10" width="13.85546875" style="36" bestFit="1" customWidth="1"/>
    <col min="11" max="11" width="14.5703125" style="36" bestFit="1" customWidth="1"/>
    <col min="12" max="12" width="12.5703125" style="36" bestFit="1" customWidth="1"/>
    <col min="13" max="13" width="14" style="36" customWidth="1"/>
    <col min="14" max="14" width="12.85546875" style="36" bestFit="1" customWidth="1"/>
    <col min="15" max="16384" width="9.140625" style="36"/>
  </cols>
  <sheetData>
    <row r="2" spans="3:11" ht="40.5" customHeight="1" x14ac:dyDescent="0.2">
      <c r="C2" s="110" t="str">
        <f>Criteria!E9</f>
        <v>HOLDING COMPANY 268 (PROPRIETARY) LIMITED</v>
      </c>
      <c r="J2" s="109" t="s">
        <v>81</v>
      </c>
      <c r="K2" s="109"/>
    </row>
    <row r="3" spans="3:11" ht="12.75" customHeight="1" x14ac:dyDescent="0.2">
      <c r="C3" s="57" t="s">
        <v>80</v>
      </c>
      <c r="D3" s="57" t="str">
        <f>Criteria!E20</f>
        <v>29 FEBRUARY 2024</v>
      </c>
      <c r="E3" s="57"/>
      <c r="F3" s="57"/>
      <c r="G3" s="57"/>
    </row>
    <row r="4" spans="3:11" ht="40.5" customHeight="1" x14ac:dyDescent="0.2">
      <c r="C4" s="138" t="s">
        <v>103</v>
      </c>
      <c r="D4" s="57"/>
      <c r="E4" s="57"/>
      <c r="F4" s="57"/>
      <c r="G4" s="57"/>
      <c r="J4" s="109" t="s">
        <v>82</v>
      </c>
      <c r="K4" s="109"/>
    </row>
    <row r="5" spans="3:11" x14ac:dyDescent="0.2">
      <c r="C5" s="60"/>
      <c r="D5" s="60"/>
      <c r="E5" s="60"/>
      <c r="F5" s="60"/>
      <c r="G5" s="60"/>
      <c r="H5" s="60"/>
      <c r="I5" s="60"/>
      <c r="J5" s="60"/>
      <c r="K5" s="60"/>
    </row>
    <row r="7" spans="3:11" x14ac:dyDescent="0.2">
      <c r="C7" s="58" t="s">
        <v>684</v>
      </c>
    </row>
    <row r="8" spans="3:11" x14ac:dyDescent="0.2">
      <c r="I8" s="528" t="str">
        <f>Criteria!G24</f>
        <v>29 February 2024</v>
      </c>
      <c r="J8" s="528"/>
      <c r="K8" s="528"/>
    </row>
    <row r="9" spans="3:11" x14ac:dyDescent="0.2">
      <c r="C9" s="157"/>
      <c r="D9" s="57"/>
      <c r="E9" s="57"/>
      <c r="F9" s="57"/>
      <c r="G9" s="57"/>
      <c r="H9" s="58"/>
      <c r="I9" s="21" t="s">
        <v>1094</v>
      </c>
      <c r="J9" s="21" t="s">
        <v>602</v>
      </c>
      <c r="K9" s="21" t="s">
        <v>601</v>
      </c>
    </row>
    <row r="10" spans="3:11" x14ac:dyDescent="0.2">
      <c r="C10" s="162" t="str">
        <f>B23</f>
        <v>REVALUATION</v>
      </c>
      <c r="D10" s="57"/>
      <c r="E10" s="57"/>
      <c r="F10" s="57"/>
      <c r="G10" s="57"/>
      <c r="H10" s="58"/>
      <c r="I10" s="162">
        <f>I52</f>
        <v>0</v>
      </c>
      <c r="J10" s="162">
        <f>J52</f>
        <v>0</v>
      </c>
      <c r="K10" s="162">
        <f>K52</f>
        <v>0</v>
      </c>
    </row>
    <row r="11" spans="3:11" x14ac:dyDescent="0.2">
      <c r="C11" s="162" t="str">
        <f>B54</f>
        <v>INVESTMENT PROPERTY</v>
      </c>
      <c r="D11" s="57"/>
      <c r="E11" s="57"/>
      <c r="F11" s="57"/>
      <c r="G11" s="57"/>
      <c r="H11" s="58"/>
      <c r="I11" s="162">
        <f>I81</f>
        <v>0</v>
      </c>
      <c r="J11" s="162"/>
      <c r="K11" s="162">
        <f>K81</f>
        <v>0</v>
      </c>
    </row>
    <row r="12" spans="3:11" x14ac:dyDescent="0.2">
      <c r="C12" s="36" t="str">
        <f>B83</f>
        <v>PROPERTY</v>
      </c>
      <c r="I12" s="36">
        <f>I169</f>
        <v>0</v>
      </c>
      <c r="J12" s="36">
        <f>J169</f>
        <v>0</v>
      </c>
      <c r="K12" s="36">
        <f>K169</f>
        <v>0</v>
      </c>
    </row>
    <row r="13" spans="3:11" x14ac:dyDescent="0.2">
      <c r="C13" s="36" t="str">
        <f>B171</f>
        <v>PLANT AND EQUIPMENT</v>
      </c>
      <c r="I13" s="36">
        <f>I212</f>
        <v>0</v>
      </c>
      <c r="J13" s="36">
        <f>J212</f>
        <v>0</v>
      </c>
      <c r="K13" s="36">
        <f>K212</f>
        <v>0</v>
      </c>
    </row>
    <row r="14" spans="3:11" x14ac:dyDescent="0.2">
      <c r="C14" s="36" t="str">
        <f>B215</f>
        <v>MOTOR VEHICLES</v>
      </c>
      <c r="I14" s="36">
        <f>I246</f>
        <v>0</v>
      </c>
      <c r="J14" s="36">
        <f>J246</f>
        <v>0</v>
      </c>
      <c r="K14" s="36">
        <f>K246</f>
        <v>0</v>
      </c>
    </row>
    <row r="15" spans="3:11" x14ac:dyDescent="0.2">
      <c r="C15" s="36" t="str">
        <f>B249</f>
        <v>ELECTRONIC EQUIPMENT</v>
      </c>
      <c r="I15" s="36">
        <f>I285</f>
        <v>0</v>
      </c>
      <c r="J15" s="36">
        <f>J285</f>
        <v>0</v>
      </c>
      <c r="K15" s="36">
        <f>K285</f>
        <v>0</v>
      </c>
    </row>
    <row r="16" spans="3:11" x14ac:dyDescent="0.2">
      <c r="C16" s="36" t="str">
        <f>B288</f>
        <v>FURNITURE AND FITTINGS</v>
      </c>
      <c r="I16" s="36">
        <f>I390</f>
        <v>0</v>
      </c>
      <c r="J16" s="36">
        <f>J390</f>
        <v>0</v>
      </c>
      <c r="K16" s="36">
        <f>K390</f>
        <v>0</v>
      </c>
    </row>
    <row r="17" spans="2:11" ht="13.5" thickBot="1" x14ac:dyDescent="0.25">
      <c r="I17" s="99">
        <f>SUM(I10:I16)</f>
        <v>0</v>
      </c>
      <c r="J17" s="99">
        <f t="shared" ref="J17:K17" si="0">SUM(J10:J16)</f>
        <v>0</v>
      </c>
      <c r="K17" s="99">
        <f t="shared" si="0"/>
        <v>0</v>
      </c>
    </row>
    <row r="18" spans="2:11" ht="13.5" thickTop="1" x14ac:dyDescent="0.2">
      <c r="I18" s="57"/>
      <c r="J18" s="57"/>
      <c r="K18" s="57"/>
    </row>
    <row r="19" spans="2:11" x14ac:dyDescent="0.2">
      <c r="C19" s="36" t="s">
        <v>677</v>
      </c>
      <c r="I19" s="36">
        <f>SUM(TrialBalance!L229:L233)+SUM(TrialBalance!L240:L249)+SUM(TrialBalance!L251:L253)+SUM(TrialBalance!L259:L261)+SUM(TrialBalance!L267:L269)+SUM(TrialBalance!L275:L277)</f>
        <v>0</v>
      </c>
      <c r="J19" s="36">
        <f>-SUM(TrialBalance!L235:L238)-SUM(TrialBalance!L255:L257)-SUM(TrialBalance!L263:L265)-SUM(TrialBalance!L271:L273)-SUM(TrialBalance!L279:L281)</f>
        <v>0</v>
      </c>
      <c r="K19" s="36">
        <f>I19-J19</f>
        <v>0</v>
      </c>
    </row>
    <row r="20" spans="2:11" ht="15" x14ac:dyDescent="0.35">
      <c r="C20" s="36" t="s">
        <v>584</v>
      </c>
      <c r="I20" s="93">
        <f>ROUND(I17-I19,0)</f>
        <v>0</v>
      </c>
      <c r="J20" s="93">
        <f t="shared" ref="J20:K20" si="1">ROUND(J17-J19,0)</f>
        <v>0</v>
      </c>
      <c r="K20" s="93">
        <f t="shared" si="1"/>
        <v>0</v>
      </c>
    </row>
    <row r="23" spans="2:11" x14ac:dyDescent="0.2">
      <c r="B23" s="145" t="s">
        <v>1093</v>
      </c>
      <c r="I23" s="173"/>
      <c r="J23" s="173"/>
    </row>
    <row r="24" spans="2:11" x14ac:dyDescent="0.2">
      <c r="B24" s="146"/>
      <c r="I24" s="19"/>
      <c r="J24" s="19"/>
      <c r="K24" s="19"/>
    </row>
    <row r="25" spans="2:11" x14ac:dyDescent="0.2">
      <c r="B25" s="147" t="s">
        <v>26</v>
      </c>
      <c r="C25" s="61" t="s">
        <v>226</v>
      </c>
      <c r="D25" s="61"/>
      <c r="E25" s="87"/>
      <c r="F25" s="88"/>
      <c r="G25" s="87"/>
      <c r="H25" s="87"/>
      <c r="I25" s="21" t="s">
        <v>1077</v>
      </c>
      <c r="J25" s="21"/>
      <c r="K25" s="21" t="s">
        <v>601</v>
      </c>
    </row>
    <row r="27" spans="2:11" ht="15" x14ac:dyDescent="0.35">
      <c r="C27" s="395" t="str">
        <f>Criteria!E9</f>
        <v>HOLDING COMPANY 268 (PROPRIETARY) LIMITED</v>
      </c>
      <c r="K27" s="36">
        <f t="shared" ref="K27:K51" si="2">I27-J27</f>
        <v>0</v>
      </c>
    </row>
    <row r="28" spans="2:11" x14ac:dyDescent="0.2">
      <c r="K28" s="36">
        <f t="shared" si="2"/>
        <v>0</v>
      </c>
    </row>
    <row r="29" spans="2:11" x14ac:dyDescent="0.2">
      <c r="K29" s="36">
        <f t="shared" si="2"/>
        <v>0</v>
      </c>
    </row>
    <row r="30" spans="2:11" x14ac:dyDescent="0.2">
      <c r="K30" s="36">
        <f t="shared" si="2"/>
        <v>0</v>
      </c>
    </row>
    <row r="31" spans="2:11" x14ac:dyDescent="0.2">
      <c r="K31" s="36">
        <f t="shared" si="2"/>
        <v>0</v>
      </c>
    </row>
    <row r="32" spans="2:11" x14ac:dyDescent="0.2">
      <c r="K32" s="36">
        <f t="shared" ref="K32:K49" si="3">I32-J32</f>
        <v>0</v>
      </c>
    </row>
    <row r="33" spans="2:11" ht="15" x14ac:dyDescent="0.35">
      <c r="C33" s="93" t="str">
        <f>Criteria!E14</f>
        <v>SUBSIDIARY ONE 111 (PTY) LTD</v>
      </c>
      <c r="K33" s="36">
        <f t="shared" si="3"/>
        <v>0</v>
      </c>
    </row>
    <row r="34" spans="2:11" x14ac:dyDescent="0.2">
      <c r="B34" s="201"/>
      <c r="C34" s="126"/>
      <c r="K34" s="36">
        <f t="shared" si="3"/>
        <v>0</v>
      </c>
    </row>
    <row r="35" spans="2:11" x14ac:dyDescent="0.2">
      <c r="B35" s="201"/>
      <c r="C35" s="161"/>
      <c r="K35" s="36">
        <f t="shared" si="3"/>
        <v>0</v>
      </c>
    </row>
    <row r="36" spans="2:11" x14ac:dyDescent="0.2">
      <c r="B36" s="201"/>
      <c r="C36" s="158"/>
      <c r="K36" s="36">
        <f t="shared" si="3"/>
        <v>0</v>
      </c>
    </row>
    <row r="37" spans="2:11" x14ac:dyDescent="0.2">
      <c r="B37" s="201"/>
      <c r="C37" s="161"/>
      <c r="K37" s="36">
        <f t="shared" si="3"/>
        <v>0</v>
      </c>
    </row>
    <row r="38" spans="2:11" x14ac:dyDescent="0.2">
      <c r="B38" s="201"/>
      <c r="C38" s="161"/>
      <c r="K38" s="36">
        <f t="shared" si="3"/>
        <v>0</v>
      </c>
    </row>
    <row r="39" spans="2:11" x14ac:dyDescent="0.2">
      <c r="B39" s="201"/>
      <c r="C39" s="161"/>
      <c r="K39" s="36">
        <f t="shared" si="3"/>
        <v>0</v>
      </c>
    </row>
    <row r="40" spans="2:11" ht="15" x14ac:dyDescent="0.35">
      <c r="B40" s="201"/>
      <c r="C40" s="93" t="str">
        <f>Criteria!E15</f>
        <v>SUBSIDIARY TWO 15 (PTY) LTD</v>
      </c>
      <c r="K40" s="36">
        <f t="shared" si="3"/>
        <v>0</v>
      </c>
    </row>
    <row r="41" spans="2:11" x14ac:dyDescent="0.2">
      <c r="B41" s="201"/>
      <c r="C41" s="161"/>
      <c r="K41" s="36">
        <f t="shared" si="3"/>
        <v>0</v>
      </c>
    </row>
    <row r="42" spans="2:11" x14ac:dyDescent="0.2">
      <c r="B42" s="201"/>
      <c r="C42" s="161"/>
      <c r="K42" s="36">
        <f t="shared" si="3"/>
        <v>0</v>
      </c>
    </row>
    <row r="43" spans="2:11" x14ac:dyDescent="0.2">
      <c r="K43" s="36">
        <f t="shared" si="3"/>
        <v>0</v>
      </c>
    </row>
    <row r="44" spans="2:11" x14ac:dyDescent="0.2">
      <c r="C44" s="202"/>
      <c r="K44" s="36">
        <f t="shared" si="3"/>
        <v>0</v>
      </c>
    </row>
    <row r="45" spans="2:11" x14ac:dyDescent="0.2">
      <c r="B45" s="201"/>
      <c r="C45" s="126"/>
      <c r="D45" s="126"/>
      <c r="E45" s="126"/>
      <c r="F45" s="130"/>
      <c r="G45" s="201"/>
      <c r="H45" s="130"/>
      <c r="K45" s="36">
        <f t="shared" si="3"/>
        <v>0</v>
      </c>
    </row>
    <row r="46" spans="2:11" x14ac:dyDescent="0.2">
      <c r="B46" s="201"/>
      <c r="C46" s="126"/>
      <c r="D46" s="126"/>
      <c r="E46" s="126"/>
      <c r="F46" s="130"/>
      <c r="G46" s="130"/>
      <c r="H46" s="161"/>
      <c r="K46" s="36">
        <f t="shared" si="3"/>
        <v>0</v>
      </c>
    </row>
    <row r="47" spans="2:11" x14ac:dyDescent="0.2">
      <c r="C47" s="202">
        <f>Criteria!E16</f>
        <v>0</v>
      </c>
      <c r="K47" s="36">
        <f t="shared" si="3"/>
        <v>0</v>
      </c>
    </row>
    <row r="48" spans="2:11" x14ac:dyDescent="0.2">
      <c r="K48" s="36">
        <f t="shared" si="3"/>
        <v>0</v>
      </c>
    </row>
    <row r="49" spans="2:11" x14ac:dyDescent="0.2">
      <c r="K49" s="36">
        <f t="shared" si="3"/>
        <v>0</v>
      </c>
    </row>
    <row r="50" spans="2:11" x14ac:dyDescent="0.2">
      <c r="K50" s="36">
        <f t="shared" si="2"/>
        <v>0</v>
      </c>
    </row>
    <row r="51" spans="2:11" x14ac:dyDescent="0.2">
      <c r="K51" s="36">
        <f t="shared" si="2"/>
        <v>0</v>
      </c>
    </row>
    <row r="52" spans="2:11" ht="13.5" thickBot="1" x14ac:dyDescent="0.25">
      <c r="I52" s="44">
        <f>SUM(I26:I51)</f>
        <v>0</v>
      </c>
      <c r="J52" s="44">
        <f>SUM(J26:J51)</f>
        <v>0</v>
      </c>
      <c r="K52" s="44">
        <f>SUM(K26:K51)</f>
        <v>0</v>
      </c>
    </row>
    <row r="53" spans="2:11" ht="13.5" thickTop="1" x14ac:dyDescent="0.2"/>
    <row r="54" spans="2:11" x14ac:dyDescent="0.2">
      <c r="B54" s="145" t="s">
        <v>961</v>
      </c>
      <c r="I54" s="394"/>
      <c r="J54" s="173"/>
    </row>
    <row r="55" spans="2:11" x14ac:dyDescent="0.2">
      <c r="B55" s="146"/>
      <c r="E55" s="7"/>
      <c r="F55" s="7"/>
      <c r="G55" s="7"/>
      <c r="H55" s="7"/>
      <c r="I55" s="19"/>
      <c r="J55" s="19"/>
      <c r="K55" s="19"/>
    </row>
    <row r="56" spans="2:11" x14ac:dyDescent="0.2">
      <c r="B56" s="147" t="s">
        <v>26</v>
      </c>
      <c r="C56" s="61" t="s">
        <v>226</v>
      </c>
      <c r="D56" s="61"/>
      <c r="E56" s="174" t="s">
        <v>654</v>
      </c>
      <c r="F56" s="175" t="s">
        <v>517</v>
      </c>
      <c r="G56" s="174" t="s">
        <v>518</v>
      </c>
      <c r="H56" s="174" t="s">
        <v>603</v>
      </c>
      <c r="I56" s="21" t="s">
        <v>378</v>
      </c>
      <c r="J56" s="21"/>
      <c r="K56" s="21" t="s">
        <v>601</v>
      </c>
    </row>
    <row r="57" spans="2:11" x14ac:dyDescent="0.2">
      <c r="K57" s="36">
        <f t="shared" ref="K57:K67" si="4">I57</f>
        <v>0</v>
      </c>
    </row>
    <row r="58" spans="2:11" ht="15" x14ac:dyDescent="0.35">
      <c r="C58" s="395" t="str">
        <f>C27</f>
        <v>HOLDING COMPANY 268 (PROPRIETARY) LIMITED</v>
      </c>
      <c r="K58" s="36">
        <f t="shared" si="4"/>
        <v>0</v>
      </c>
    </row>
    <row r="59" spans="2:11" x14ac:dyDescent="0.2">
      <c r="K59" s="36">
        <f t="shared" si="4"/>
        <v>0</v>
      </c>
    </row>
    <row r="60" spans="2:11" x14ac:dyDescent="0.2">
      <c r="K60" s="36">
        <f t="shared" si="4"/>
        <v>0</v>
      </c>
    </row>
    <row r="61" spans="2:11" x14ac:dyDescent="0.2">
      <c r="K61" s="36">
        <f t="shared" si="4"/>
        <v>0</v>
      </c>
    </row>
    <row r="62" spans="2:11" x14ac:dyDescent="0.2">
      <c r="K62" s="36">
        <f t="shared" si="4"/>
        <v>0</v>
      </c>
    </row>
    <row r="63" spans="2:11" x14ac:dyDescent="0.2">
      <c r="K63" s="36">
        <f t="shared" si="4"/>
        <v>0</v>
      </c>
    </row>
    <row r="64" spans="2:11" x14ac:dyDescent="0.2">
      <c r="K64" s="36">
        <f t="shared" si="4"/>
        <v>0</v>
      </c>
    </row>
    <row r="65" spans="3:11" x14ac:dyDescent="0.2">
      <c r="K65" s="36">
        <f t="shared" si="4"/>
        <v>0</v>
      </c>
    </row>
    <row r="66" spans="3:11" ht="15" x14ac:dyDescent="0.35">
      <c r="C66" s="395" t="str">
        <f>C33</f>
        <v>SUBSIDIARY ONE 111 (PTY) LTD</v>
      </c>
      <c r="K66" s="36">
        <f t="shared" si="4"/>
        <v>0</v>
      </c>
    </row>
    <row r="67" spans="3:11" x14ac:dyDescent="0.2">
      <c r="K67" s="36">
        <f t="shared" si="4"/>
        <v>0</v>
      </c>
    </row>
    <row r="68" spans="3:11" x14ac:dyDescent="0.2">
      <c r="K68" s="36">
        <f>I68</f>
        <v>0</v>
      </c>
    </row>
    <row r="69" spans="3:11" x14ac:dyDescent="0.2">
      <c r="K69" s="36">
        <f t="shared" ref="K69:K80" si="5">I69</f>
        <v>0</v>
      </c>
    </row>
    <row r="70" spans="3:11" x14ac:dyDescent="0.2">
      <c r="K70" s="36">
        <f t="shared" si="5"/>
        <v>0</v>
      </c>
    </row>
    <row r="71" spans="3:11" x14ac:dyDescent="0.2">
      <c r="K71" s="36">
        <f t="shared" si="5"/>
        <v>0</v>
      </c>
    </row>
    <row r="72" spans="3:11" x14ac:dyDescent="0.2">
      <c r="K72" s="36">
        <f t="shared" si="5"/>
        <v>0</v>
      </c>
    </row>
    <row r="73" spans="3:11" x14ac:dyDescent="0.2">
      <c r="K73" s="36">
        <f t="shared" si="5"/>
        <v>0</v>
      </c>
    </row>
    <row r="74" spans="3:11" ht="15" x14ac:dyDescent="0.35">
      <c r="C74" s="395" t="str">
        <f>C40</f>
        <v>SUBSIDIARY TWO 15 (PTY) LTD</v>
      </c>
      <c r="K74" s="36">
        <f t="shared" si="5"/>
        <v>0</v>
      </c>
    </row>
    <row r="75" spans="3:11" x14ac:dyDescent="0.2">
      <c r="K75" s="36">
        <f t="shared" si="5"/>
        <v>0</v>
      </c>
    </row>
    <row r="76" spans="3:11" x14ac:dyDescent="0.2">
      <c r="K76" s="36">
        <f t="shared" si="5"/>
        <v>0</v>
      </c>
    </row>
    <row r="77" spans="3:11" x14ac:dyDescent="0.2">
      <c r="K77" s="36">
        <f t="shared" si="5"/>
        <v>0</v>
      </c>
    </row>
    <row r="78" spans="3:11" x14ac:dyDescent="0.2">
      <c r="K78" s="36">
        <f t="shared" si="5"/>
        <v>0</v>
      </c>
    </row>
    <row r="79" spans="3:11" x14ac:dyDescent="0.2">
      <c r="K79" s="36">
        <f t="shared" si="5"/>
        <v>0</v>
      </c>
    </row>
    <row r="80" spans="3:11" x14ac:dyDescent="0.2">
      <c r="K80" s="36">
        <f t="shared" si="5"/>
        <v>0</v>
      </c>
    </row>
    <row r="81" spans="2:11" ht="13.5" thickBot="1" x14ac:dyDescent="0.25">
      <c r="I81" s="44">
        <f>SUM(I57:I80)</f>
        <v>0</v>
      </c>
      <c r="J81" s="44">
        <f t="shared" ref="J81:K81" si="6">SUM(J57:J80)</f>
        <v>0</v>
      </c>
      <c r="K81" s="44">
        <f t="shared" si="6"/>
        <v>0</v>
      </c>
    </row>
    <row r="82" spans="2:11" ht="13.5" thickTop="1" x14ac:dyDescent="0.2"/>
    <row r="83" spans="2:11" x14ac:dyDescent="0.2">
      <c r="B83" s="145" t="s">
        <v>1011</v>
      </c>
      <c r="I83" s="195">
        <v>0.02</v>
      </c>
      <c r="J83" s="36" t="s">
        <v>271</v>
      </c>
    </row>
    <row r="84" spans="2:11" x14ac:dyDescent="0.2">
      <c r="B84" s="146"/>
      <c r="E84" s="7"/>
      <c r="F84" s="7"/>
      <c r="G84" s="7"/>
      <c r="H84" s="7"/>
      <c r="I84" s="19"/>
      <c r="J84" s="19"/>
      <c r="K84" s="19"/>
    </row>
    <row r="85" spans="2:11" x14ac:dyDescent="0.2">
      <c r="B85" s="147" t="s">
        <v>26</v>
      </c>
      <c r="C85" s="61" t="s">
        <v>226</v>
      </c>
      <c r="D85" s="61"/>
      <c r="E85" s="174" t="s">
        <v>654</v>
      </c>
      <c r="F85" s="175" t="s">
        <v>517</v>
      </c>
      <c r="G85" s="174" t="s">
        <v>518</v>
      </c>
      <c r="H85" s="174" t="s">
        <v>603</v>
      </c>
      <c r="I85" s="21" t="s">
        <v>378</v>
      </c>
      <c r="J85" s="21" t="s">
        <v>602</v>
      </c>
      <c r="K85" s="21" t="s">
        <v>601</v>
      </c>
    </row>
    <row r="87" spans="2:11" x14ac:dyDescent="0.2">
      <c r="K87" s="36">
        <f t="shared" ref="K87:K94" si="7">I87-J87</f>
        <v>0</v>
      </c>
    </row>
    <row r="88" spans="2:11" x14ac:dyDescent="0.2">
      <c r="B88" s="84"/>
      <c r="C88" s="126"/>
      <c r="D88" s="126"/>
      <c r="E88" s="126"/>
      <c r="F88" s="127"/>
      <c r="G88" s="1"/>
      <c r="H88" s="126"/>
      <c r="K88" s="36">
        <f t="shared" si="7"/>
        <v>0</v>
      </c>
    </row>
    <row r="89" spans="2:11" ht="15" x14ac:dyDescent="0.35">
      <c r="B89" s="84"/>
      <c r="C89" s="128" t="s">
        <v>519</v>
      </c>
      <c r="D89" s="128"/>
      <c r="E89" s="126"/>
      <c r="F89" s="127"/>
      <c r="G89" s="1"/>
      <c r="H89" s="126"/>
      <c r="K89" s="36">
        <f t="shared" si="7"/>
        <v>0</v>
      </c>
    </row>
    <row r="90" spans="2:11" ht="15" x14ac:dyDescent="0.35">
      <c r="B90" s="84"/>
      <c r="C90" s="128"/>
      <c r="D90" s="128"/>
      <c r="E90" s="126"/>
      <c r="F90" s="127"/>
      <c r="G90" s="1"/>
      <c r="H90" s="126"/>
      <c r="K90" s="36">
        <f t="shared" si="7"/>
        <v>0</v>
      </c>
    </row>
    <row r="91" spans="2:11" x14ac:dyDescent="0.2">
      <c r="B91" s="129"/>
      <c r="C91" s="199" t="str">
        <f>Criteria!E9</f>
        <v>HOLDING COMPANY 268 (PROPRIETARY) LIMITED</v>
      </c>
      <c r="D91" s="131"/>
      <c r="E91" s="126"/>
      <c r="F91" s="130"/>
      <c r="G91" s="1"/>
      <c r="H91" s="126"/>
      <c r="K91" s="36">
        <f t="shared" si="7"/>
        <v>0</v>
      </c>
    </row>
    <row r="92" spans="2:11" x14ac:dyDescent="0.2">
      <c r="B92" s="129"/>
      <c r="C92" s="158"/>
      <c r="D92" s="158"/>
      <c r="E92" s="158"/>
      <c r="F92" s="159"/>
      <c r="G92" s="160"/>
      <c r="H92" s="161"/>
      <c r="I92" s="162"/>
      <c r="J92" s="162"/>
      <c r="K92" s="36">
        <f t="shared" si="7"/>
        <v>0</v>
      </c>
    </row>
    <row r="93" spans="2:11" x14ac:dyDescent="0.2">
      <c r="B93" s="129"/>
      <c r="C93" s="161"/>
      <c r="D93" s="161"/>
      <c r="E93" s="161"/>
      <c r="F93" s="159"/>
      <c r="G93" s="160"/>
      <c r="H93" s="161"/>
      <c r="I93" s="162"/>
      <c r="J93" s="162"/>
      <c r="K93" s="36">
        <f t="shared" si="7"/>
        <v>0</v>
      </c>
    </row>
    <row r="94" spans="2:11" x14ac:dyDescent="0.2">
      <c r="B94" s="129"/>
      <c r="C94" s="161"/>
      <c r="D94" s="161"/>
      <c r="E94" s="161"/>
      <c r="F94" s="162"/>
      <c r="G94" s="163"/>
      <c r="H94" s="161"/>
      <c r="I94" s="162"/>
      <c r="J94" s="162"/>
      <c r="K94" s="36">
        <f t="shared" si="7"/>
        <v>0</v>
      </c>
    </row>
    <row r="95" spans="2:11" ht="15" x14ac:dyDescent="0.35">
      <c r="B95" s="129"/>
      <c r="C95" s="164"/>
      <c r="D95" s="162"/>
      <c r="E95" s="161"/>
      <c r="F95" s="162"/>
      <c r="G95" s="165"/>
      <c r="H95" s="161"/>
      <c r="I95" s="162"/>
      <c r="J95" s="162"/>
      <c r="K95" s="36">
        <f t="shared" ref="K95:K144" si="8">I95-J95</f>
        <v>0</v>
      </c>
    </row>
    <row r="96" spans="2:11" x14ac:dyDescent="0.2">
      <c r="B96" s="129"/>
      <c r="C96" s="158"/>
      <c r="D96" s="162"/>
      <c r="E96" s="158"/>
      <c r="F96" s="162"/>
      <c r="G96" s="165"/>
      <c r="H96" s="158"/>
      <c r="I96" s="162"/>
      <c r="J96" s="162"/>
      <c r="K96" s="36">
        <f t="shared" si="8"/>
        <v>0</v>
      </c>
    </row>
    <row r="97" spans="2:11" x14ac:dyDescent="0.2">
      <c r="B97" s="129"/>
      <c r="C97" s="161"/>
      <c r="D97" s="162"/>
      <c r="E97" s="161"/>
      <c r="F97" s="162"/>
      <c r="G97" s="165"/>
      <c r="H97" s="161"/>
      <c r="I97" s="162"/>
      <c r="J97" s="162"/>
      <c r="K97" s="36">
        <f t="shared" si="8"/>
        <v>0</v>
      </c>
    </row>
    <row r="98" spans="2:11" x14ac:dyDescent="0.2">
      <c r="B98" s="129"/>
      <c r="C98" s="161"/>
      <c r="D98" s="162"/>
      <c r="E98" s="161"/>
      <c r="F98" s="162"/>
      <c r="G98" s="165"/>
      <c r="H98" s="161"/>
      <c r="I98" s="162"/>
      <c r="J98" s="162"/>
      <c r="K98" s="36">
        <f t="shared" si="8"/>
        <v>0</v>
      </c>
    </row>
    <row r="99" spans="2:11" x14ac:dyDescent="0.2">
      <c r="B99" s="129"/>
      <c r="C99" s="200" t="str">
        <f>Criteria!E14</f>
        <v>SUBSIDIARY ONE 111 (PTY) LTD</v>
      </c>
      <c r="D99" s="162"/>
      <c r="E99" s="166"/>
      <c r="F99" s="162"/>
      <c r="G99" s="163"/>
      <c r="H99" s="161"/>
      <c r="I99" s="162"/>
      <c r="J99" s="162"/>
      <c r="K99" s="36">
        <f t="shared" ref="K99:K140" si="9">I99-J99</f>
        <v>0</v>
      </c>
    </row>
    <row r="100" spans="2:11" x14ac:dyDescent="0.2">
      <c r="B100" s="129"/>
      <c r="C100" s="161"/>
      <c r="D100" s="162"/>
      <c r="E100" s="161"/>
      <c r="F100" s="162"/>
      <c r="G100" s="165"/>
      <c r="H100" s="161"/>
      <c r="I100" s="162"/>
      <c r="J100" s="162"/>
      <c r="K100" s="36">
        <f t="shared" si="9"/>
        <v>0</v>
      </c>
    </row>
    <row r="101" spans="2:11" x14ac:dyDescent="0.2">
      <c r="B101" s="201"/>
      <c r="C101" s="126"/>
      <c r="D101" s="162"/>
      <c r="E101" s="166"/>
      <c r="F101" s="162"/>
      <c r="G101" s="163"/>
      <c r="H101" s="161"/>
      <c r="I101" s="162"/>
      <c r="J101" s="162"/>
      <c r="K101" s="36">
        <f t="shared" si="9"/>
        <v>0</v>
      </c>
    </row>
    <row r="102" spans="2:11" x14ac:dyDescent="0.2">
      <c r="B102" s="201"/>
      <c r="C102" s="126"/>
      <c r="D102" s="162"/>
      <c r="E102" s="161"/>
      <c r="F102" s="162"/>
      <c r="G102" s="165"/>
      <c r="H102" s="161"/>
      <c r="I102" s="162"/>
      <c r="J102" s="162"/>
      <c r="K102" s="36">
        <f t="shared" ref="K102:K128" si="10">I102-J102</f>
        <v>0</v>
      </c>
    </row>
    <row r="103" spans="2:11" x14ac:dyDescent="0.2">
      <c r="B103" s="201"/>
      <c r="C103" s="126"/>
      <c r="D103" s="162"/>
      <c r="E103" s="166"/>
      <c r="F103" s="162"/>
      <c r="G103" s="163"/>
      <c r="H103" s="161"/>
      <c r="I103" s="162"/>
      <c r="J103" s="162"/>
      <c r="K103" s="36">
        <f t="shared" si="10"/>
        <v>0</v>
      </c>
    </row>
    <row r="104" spans="2:11" x14ac:dyDescent="0.2">
      <c r="B104" s="201"/>
      <c r="C104" s="126"/>
      <c r="D104" s="162"/>
      <c r="E104" s="161"/>
      <c r="F104" s="162"/>
      <c r="G104" s="165"/>
      <c r="H104" s="161"/>
      <c r="I104" s="162"/>
      <c r="J104" s="162"/>
      <c r="K104" s="36">
        <f t="shared" si="10"/>
        <v>0</v>
      </c>
    </row>
    <row r="105" spans="2:11" x14ac:dyDescent="0.2">
      <c r="B105" s="201"/>
      <c r="C105" s="126"/>
      <c r="D105" s="162"/>
      <c r="E105" s="166"/>
      <c r="F105" s="162"/>
      <c r="G105" s="163"/>
      <c r="H105" s="161"/>
      <c r="I105" s="162"/>
      <c r="J105" s="162"/>
      <c r="K105" s="36">
        <f t="shared" si="10"/>
        <v>0</v>
      </c>
    </row>
    <row r="106" spans="2:11" x14ac:dyDescent="0.2">
      <c r="B106" s="129"/>
      <c r="C106" s="161"/>
      <c r="D106" s="162"/>
      <c r="E106" s="161"/>
      <c r="F106" s="162"/>
      <c r="G106" s="163"/>
      <c r="H106" s="161"/>
      <c r="I106" s="162"/>
      <c r="J106" s="162"/>
      <c r="K106" s="36">
        <f t="shared" si="10"/>
        <v>0</v>
      </c>
    </row>
    <row r="107" spans="2:11" x14ac:dyDescent="0.2">
      <c r="B107" s="129"/>
      <c r="C107" s="161"/>
      <c r="D107" s="162"/>
      <c r="E107" s="166"/>
      <c r="F107" s="162"/>
      <c r="G107" s="163"/>
      <c r="H107" s="161"/>
      <c r="I107" s="162"/>
      <c r="J107" s="162"/>
      <c r="K107" s="36">
        <f t="shared" si="10"/>
        <v>0</v>
      </c>
    </row>
    <row r="108" spans="2:11" x14ac:dyDescent="0.2">
      <c r="B108" s="129"/>
      <c r="C108" s="200" t="str">
        <f>Criteria!E15</f>
        <v>SUBSIDIARY TWO 15 (PTY) LTD</v>
      </c>
      <c r="D108" s="162"/>
      <c r="E108" s="161"/>
      <c r="F108" s="162"/>
      <c r="G108" s="163"/>
      <c r="H108" s="161"/>
      <c r="I108" s="162"/>
      <c r="J108" s="162"/>
      <c r="K108" s="36">
        <f t="shared" si="10"/>
        <v>0</v>
      </c>
    </row>
    <row r="109" spans="2:11" x14ac:dyDescent="0.2">
      <c r="B109" s="129"/>
      <c r="C109" s="161"/>
      <c r="D109" s="162"/>
      <c r="E109" s="166"/>
      <c r="F109" s="162"/>
      <c r="G109" s="163"/>
      <c r="H109" s="161"/>
      <c r="I109" s="162"/>
      <c r="J109" s="162"/>
      <c r="K109" s="36">
        <f t="shared" si="10"/>
        <v>0</v>
      </c>
    </row>
    <row r="110" spans="2:11" x14ac:dyDescent="0.2">
      <c r="B110" s="129"/>
      <c r="C110" s="161"/>
      <c r="D110" s="162"/>
      <c r="E110" s="161"/>
      <c r="F110" s="162"/>
      <c r="G110" s="163"/>
      <c r="H110" s="161"/>
      <c r="I110" s="162"/>
      <c r="J110" s="162"/>
      <c r="K110" s="36">
        <f t="shared" si="10"/>
        <v>0</v>
      </c>
    </row>
    <row r="111" spans="2:11" x14ac:dyDescent="0.2">
      <c r="B111" s="129"/>
      <c r="C111" s="161"/>
      <c r="D111" s="162"/>
      <c r="E111" s="166"/>
      <c r="F111" s="162"/>
      <c r="G111" s="163"/>
      <c r="H111" s="161"/>
      <c r="I111" s="162"/>
      <c r="J111" s="162"/>
      <c r="K111" s="36">
        <f t="shared" si="10"/>
        <v>0</v>
      </c>
    </row>
    <row r="112" spans="2:11" x14ac:dyDescent="0.2">
      <c r="B112" s="129"/>
      <c r="C112" s="161"/>
      <c r="D112" s="162"/>
      <c r="E112" s="161"/>
      <c r="F112" s="162"/>
      <c r="G112" s="163"/>
      <c r="H112" s="161"/>
      <c r="I112" s="162"/>
      <c r="J112" s="162"/>
      <c r="K112" s="36">
        <f t="shared" si="10"/>
        <v>0</v>
      </c>
    </row>
    <row r="113" spans="2:11" x14ac:dyDescent="0.2">
      <c r="B113" s="129"/>
      <c r="C113" s="161"/>
      <c r="D113" s="162"/>
      <c r="E113" s="166"/>
      <c r="F113" s="162"/>
      <c r="G113" s="163"/>
      <c r="H113" s="161"/>
      <c r="I113" s="162"/>
      <c r="J113" s="162"/>
      <c r="K113" s="36">
        <f t="shared" si="10"/>
        <v>0</v>
      </c>
    </row>
    <row r="114" spans="2:11" x14ac:dyDescent="0.2">
      <c r="B114" s="129"/>
      <c r="D114" s="162"/>
      <c r="E114" s="161"/>
      <c r="F114" s="162"/>
      <c r="G114" s="163"/>
      <c r="H114" s="161"/>
      <c r="I114" s="162"/>
      <c r="J114" s="162"/>
      <c r="K114" s="36">
        <f t="shared" si="10"/>
        <v>0</v>
      </c>
    </row>
    <row r="115" spans="2:11" x14ac:dyDescent="0.2">
      <c r="B115" s="129"/>
      <c r="C115" s="161"/>
      <c r="D115" s="162"/>
      <c r="E115" s="166"/>
      <c r="F115" s="162"/>
      <c r="G115" s="163"/>
      <c r="H115" s="161"/>
      <c r="I115" s="162"/>
      <c r="J115" s="162"/>
      <c r="K115" s="36">
        <f t="shared" si="10"/>
        <v>0</v>
      </c>
    </row>
    <row r="116" spans="2:11" x14ac:dyDescent="0.2">
      <c r="B116" s="201"/>
      <c r="C116" s="200">
        <f>Criteria!E16</f>
        <v>0</v>
      </c>
      <c r="D116" s="126"/>
      <c r="E116" s="126"/>
      <c r="F116" s="130"/>
      <c r="G116" s="201"/>
      <c r="H116" s="130"/>
      <c r="I116" s="162"/>
      <c r="J116" s="162"/>
      <c r="K116" s="36">
        <f t="shared" si="10"/>
        <v>0</v>
      </c>
    </row>
    <row r="117" spans="2:11" x14ac:dyDescent="0.2">
      <c r="B117" s="201"/>
      <c r="C117" s="126"/>
      <c r="D117" s="126"/>
      <c r="E117" s="126"/>
      <c r="F117" s="130"/>
      <c r="G117" s="130"/>
      <c r="H117" s="161"/>
      <c r="I117" s="162"/>
      <c r="J117" s="162"/>
      <c r="K117" s="36">
        <f t="shared" si="10"/>
        <v>0</v>
      </c>
    </row>
    <row r="118" spans="2:11" x14ac:dyDescent="0.2">
      <c r="B118" s="129"/>
      <c r="C118" s="161"/>
      <c r="D118" s="162"/>
      <c r="E118" s="161"/>
      <c r="F118" s="162"/>
      <c r="G118" s="163"/>
      <c r="H118" s="161"/>
      <c r="I118" s="162"/>
      <c r="J118" s="162"/>
      <c r="K118" s="36">
        <f t="shared" si="10"/>
        <v>0</v>
      </c>
    </row>
    <row r="119" spans="2:11" x14ac:dyDescent="0.2">
      <c r="B119" s="129"/>
      <c r="C119" s="161"/>
      <c r="D119" s="162"/>
      <c r="E119" s="166"/>
      <c r="F119" s="162"/>
      <c r="G119" s="163"/>
      <c r="H119" s="161"/>
      <c r="I119" s="162"/>
      <c r="J119" s="162"/>
      <c r="K119" s="36">
        <f t="shared" si="10"/>
        <v>0</v>
      </c>
    </row>
    <row r="120" spans="2:11" x14ac:dyDescent="0.2">
      <c r="B120" s="129"/>
      <c r="C120" s="161"/>
      <c r="D120" s="162"/>
      <c r="E120" s="161"/>
      <c r="F120" s="162"/>
      <c r="G120" s="165"/>
      <c r="H120" s="161"/>
      <c r="I120" s="162"/>
      <c r="J120" s="162"/>
      <c r="K120" s="36">
        <f t="shared" si="10"/>
        <v>0</v>
      </c>
    </row>
    <row r="121" spans="2:11" x14ac:dyDescent="0.2">
      <c r="B121" s="129"/>
      <c r="C121" s="161"/>
      <c r="D121" s="162"/>
      <c r="E121" s="161"/>
      <c r="F121" s="162"/>
      <c r="G121" s="165"/>
      <c r="H121" s="161"/>
      <c r="I121" s="162"/>
      <c r="J121" s="162"/>
      <c r="K121" s="36">
        <f t="shared" si="10"/>
        <v>0</v>
      </c>
    </row>
    <row r="122" spans="2:11" x14ac:dyDescent="0.2">
      <c r="B122" s="129"/>
      <c r="C122" s="161"/>
      <c r="D122" s="162"/>
      <c r="E122" s="161"/>
      <c r="F122" s="162"/>
      <c r="G122" s="165"/>
      <c r="H122" s="161"/>
      <c r="I122" s="162"/>
      <c r="J122" s="162"/>
      <c r="K122" s="36">
        <f t="shared" si="10"/>
        <v>0</v>
      </c>
    </row>
    <row r="123" spans="2:11" x14ac:dyDescent="0.2">
      <c r="B123" s="129"/>
      <c r="C123" s="161"/>
      <c r="D123" s="162"/>
      <c r="E123" s="161"/>
      <c r="F123" s="162"/>
      <c r="G123" s="163"/>
      <c r="H123" s="161"/>
      <c r="I123" s="162"/>
      <c r="J123" s="162"/>
      <c r="K123" s="36">
        <f t="shared" si="10"/>
        <v>0</v>
      </c>
    </row>
    <row r="124" spans="2:11" x14ac:dyDescent="0.2">
      <c r="B124" s="129"/>
      <c r="C124" s="161"/>
      <c r="D124" s="162"/>
      <c r="E124" s="161"/>
      <c r="F124" s="162"/>
      <c r="G124" s="165"/>
      <c r="H124" s="161"/>
      <c r="I124" s="162"/>
      <c r="J124" s="162"/>
      <c r="K124" s="36">
        <f t="shared" si="10"/>
        <v>0</v>
      </c>
    </row>
    <row r="125" spans="2:11" x14ac:dyDescent="0.2">
      <c r="B125" s="129"/>
      <c r="C125" s="161"/>
      <c r="D125" s="162"/>
      <c r="E125" s="161"/>
      <c r="F125" s="162"/>
      <c r="G125" s="163"/>
      <c r="H125" s="161"/>
      <c r="I125" s="162"/>
      <c r="J125" s="162"/>
      <c r="K125" s="36">
        <f t="shared" si="10"/>
        <v>0</v>
      </c>
    </row>
    <row r="126" spans="2:11" x14ac:dyDescent="0.2">
      <c r="B126" s="84"/>
      <c r="C126" s="161"/>
      <c r="D126" s="162"/>
      <c r="E126" s="161"/>
      <c r="F126" s="167"/>
      <c r="G126" s="160"/>
      <c r="H126" s="161"/>
      <c r="I126" s="162"/>
      <c r="J126" s="162"/>
      <c r="K126" s="36">
        <f t="shared" si="10"/>
        <v>0</v>
      </c>
    </row>
    <row r="127" spans="2:11" x14ac:dyDescent="0.2">
      <c r="B127" s="84"/>
      <c r="C127" s="161"/>
      <c r="D127" s="161"/>
      <c r="E127" s="161"/>
      <c r="F127" s="167"/>
      <c r="G127" s="160"/>
      <c r="H127" s="161"/>
      <c r="I127" s="162"/>
      <c r="J127" s="162"/>
      <c r="K127" s="36">
        <f t="shared" si="10"/>
        <v>0</v>
      </c>
    </row>
    <row r="128" spans="2:11" x14ac:dyDescent="0.2">
      <c r="B128" s="84"/>
      <c r="C128" s="161"/>
      <c r="D128" s="168"/>
      <c r="E128" s="161"/>
      <c r="F128" s="167"/>
      <c r="G128" s="160"/>
      <c r="H128" s="161"/>
      <c r="I128" s="162"/>
      <c r="J128" s="162"/>
      <c r="K128" s="36">
        <f t="shared" si="10"/>
        <v>0</v>
      </c>
    </row>
    <row r="129" spans="2:11" x14ac:dyDescent="0.2">
      <c r="B129" s="84"/>
      <c r="C129" s="161"/>
      <c r="D129" s="168"/>
      <c r="E129" s="161"/>
      <c r="F129" s="167"/>
      <c r="G129" s="160"/>
      <c r="H129" s="161"/>
      <c r="I129" s="162"/>
      <c r="J129" s="162"/>
      <c r="K129" s="36">
        <f t="shared" ref="K129:K138" si="11">I129-J129</f>
        <v>0</v>
      </c>
    </row>
    <row r="130" spans="2:11" x14ac:dyDescent="0.2">
      <c r="B130" s="84"/>
      <c r="C130" s="161"/>
      <c r="D130" s="168"/>
      <c r="E130" s="161"/>
      <c r="F130" s="167"/>
      <c r="G130" s="160"/>
      <c r="H130" s="161"/>
      <c r="I130" s="162"/>
      <c r="J130" s="162"/>
      <c r="K130" s="36">
        <f t="shared" ref="K130" si="12">I130-J130</f>
        <v>0</v>
      </c>
    </row>
    <row r="131" spans="2:11" x14ac:dyDescent="0.2">
      <c r="B131" s="84"/>
      <c r="C131" s="161"/>
      <c r="D131" s="168"/>
      <c r="E131" s="161"/>
      <c r="F131" s="167"/>
      <c r="G131" s="160"/>
      <c r="H131" s="161"/>
      <c r="I131" s="162"/>
      <c r="J131" s="162"/>
      <c r="K131" s="36">
        <f t="shared" si="11"/>
        <v>0</v>
      </c>
    </row>
    <row r="132" spans="2:11" x14ac:dyDescent="0.2">
      <c r="B132" s="84"/>
      <c r="C132" s="161"/>
      <c r="D132" s="168"/>
      <c r="E132" s="161"/>
      <c r="F132" s="167"/>
      <c r="G132" s="160"/>
      <c r="H132" s="161"/>
      <c r="I132" s="162"/>
      <c r="J132" s="162"/>
      <c r="K132" s="36">
        <f t="shared" si="11"/>
        <v>0</v>
      </c>
    </row>
    <row r="133" spans="2:11" x14ac:dyDescent="0.2">
      <c r="B133" s="84"/>
      <c r="C133" s="161"/>
      <c r="D133" s="168"/>
      <c r="E133" s="161"/>
      <c r="F133" s="167"/>
      <c r="G133" s="160"/>
      <c r="H133" s="161"/>
      <c r="I133" s="162"/>
      <c r="J133" s="162"/>
      <c r="K133" s="36">
        <f t="shared" si="11"/>
        <v>0</v>
      </c>
    </row>
    <row r="134" spans="2:11" x14ac:dyDescent="0.2">
      <c r="B134" s="84"/>
      <c r="C134" s="161"/>
      <c r="D134" s="168"/>
      <c r="E134" s="161"/>
      <c r="F134" s="167"/>
      <c r="G134" s="160"/>
      <c r="H134" s="161"/>
      <c r="I134" s="162"/>
      <c r="J134" s="162"/>
      <c r="K134" s="36">
        <f t="shared" si="11"/>
        <v>0</v>
      </c>
    </row>
    <row r="135" spans="2:11" x14ac:dyDescent="0.2">
      <c r="B135" s="84"/>
      <c r="C135" s="161"/>
      <c r="D135" s="168"/>
      <c r="E135" s="161"/>
      <c r="F135" s="167"/>
      <c r="G135" s="160"/>
      <c r="H135" s="161"/>
      <c r="I135" s="162"/>
      <c r="J135" s="162"/>
      <c r="K135" s="36">
        <f t="shared" si="11"/>
        <v>0</v>
      </c>
    </row>
    <row r="136" spans="2:11" x14ac:dyDescent="0.2">
      <c r="B136" s="84"/>
      <c r="C136" s="161"/>
      <c r="D136" s="161"/>
      <c r="E136" s="161"/>
      <c r="F136" s="167"/>
      <c r="G136" s="160"/>
      <c r="H136" s="161"/>
      <c r="I136" s="162"/>
      <c r="J136" s="162"/>
      <c r="K136" s="36">
        <f t="shared" si="11"/>
        <v>0</v>
      </c>
    </row>
    <row r="137" spans="2:11" x14ac:dyDescent="0.2">
      <c r="B137" s="84"/>
      <c r="C137" s="161"/>
      <c r="D137" s="161"/>
      <c r="E137" s="161"/>
      <c r="F137" s="167"/>
      <c r="G137" s="1"/>
      <c r="H137" s="161"/>
      <c r="I137" s="162"/>
      <c r="J137" s="162"/>
      <c r="K137" s="36">
        <f t="shared" si="11"/>
        <v>0</v>
      </c>
    </row>
    <row r="138" spans="2:11" x14ac:dyDescent="0.2">
      <c r="B138" s="84"/>
      <c r="C138" s="161"/>
      <c r="D138" s="161"/>
      <c r="E138" s="166"/>
      <c r="F138" s="167"/>
      <c r="G138" s="169"/>
      <c r="H138" s="161"/>
      <c r="I138" s="162"/>
      <c r="J138" s="162"/>
      <c r="K138" s="36">
        <f t="shared" si="11"/>
        <v>0</v>
      </c>
    </row>
    <row r="139" spans="2:11" x14ac:dyDescent="0.2">
      <c r="B139" s="84"/>
      <c r="C139" s="126"/>
      <c r="D139" s="126"/>
      <c r="E139" s="126"/>
      <c r="F139" s="127"/>
      <c r="G139" s="1"/>
      <c r="H139" s="126"/>
      <c r="K139" s="36">
        <f t="shared" si="9"/>
        <v>0</v>
      </c>
    </row>
    <row r="140" spans="2:11" x14ac:dyDescent="0.2">
      <c r="B140" s="84"/>
      <c r="C140" s="126"/>
      <c r="D140" s="126"/>
      <c r="E140" s="126"/>
      <c r="F140" s="127"/>
      <c r="G140" s="1"/>
      <c r="H140" s="126"/>
      <c r="K140" s="36">
        <f t="shared" si="9"/>
        <v>0</v>
      </c>
    </row>
    <row r="141" spans="2:11" x14ac:dyDescent="0.2">
      <c r="B141" s="84"/>
      <c r="C141" s="126"/>
      <c r="D141" s="126"/>
      <c r="E141" s="126"/>
      <c r="F141" s="127"/>
      <c r="G141" s="1"/>
      <c r="H141" s="126"/>
      <c r="K141" s="36">
        <f t="shared" si="8"/>
        <v>0</v>
      </c>
    </row>
    <row r="142" spans="2:11" ht="15" x14ac:dyDescent="0.35">
      <c r="B142" s="84"/>
      <c r="C142" s="128" t="s">
        <v>520</v>
      </c>
      <c r="D142" s="128"/>
      <c r="E142" s="126"/>
      <c r="F142" s="127"/>
      <c r="G142" s="1"/>
      <c r="H142" s="126"/>
      <c r="K142" s="36">
        <f t="shared" si="8"/>
        <v>0</v>
      </c>
    </row>
    <row r="143" spans="2:11" ht="15" x14ac:dyDescent="0.35">
      <c r="B143" s="84"/>
      <c r="C143" s="128"/>
      <c r="D143" s="128"/>
      <c r="E143" s="126"/>
      <c r="F143" s="127"/>
      <c r="G143" s="1"/>
      <c r="H143" s="126"/>
      <c r="K143" s="36">
        <f t="shared" si="8"/>
        <v>0</v>
      </c>
    </row>
    <row r="144" spans="2:11" x14ac:dyDescent="0.2">
      <c r="B144" s="129"/>
      <c r="C144" s="200" t="str">
        <f>Criteria!E9</f>
        <v>HOLDING COMPANY 268 (PROPRIETARY) LIMITED</v>
      </c>
      <c r="D144" s="161"/>
      <c r="E144" s="161"/>
      <c r="F144" s="162"/>
      <c r="G144" s="129"/>
      <c r="H144" s="161"/>
      <c r="I144" s="170"/>
      <c r="J144" s="162"/>
      <c r="K144" s="36">
        <f t="shared" si="8"/>
        <v>0</v>
      </c>
    </row>
    <row r="145" spans="2:11" x14ac:dyDescent="0.2">
      <c r="B145" s="129"/>
      <c r="C145" s="161"/>
      <c r="D145" s="161"/>
      <c r="E145" s="161"/>
      <c r="F145" s="162"/>
      <c r="G145" s="159"/>
      <c r="H145" s="171"/>
      <c r="I145" s="170"/>
      <c r="J145" s="162"/>
      <c r="K145" s="36">
        <f t="shared" ref="K145:K148" si="13">I145-J145</f>
        <v>0</v>
      </c>
    </row>
    <row r="146" spans="2:11" x14ac:dyDescent="0.2">
      <c r="B146" s="129"/>
      <c r="C146" s="161"/>
      <c r="D146" s="161"/>
      <c r="E146" s="161"/>
      <c r="F146" s="162"/>
      <c r="G146" s="129"/>
      <c r="H146" s="171"/>
      <c r="I146" s="170"/>
      <c r="J146" s="162"/>
      <c r="K146" s="36">
        <f t="shared" si="13"/>
        <v>0</v>
      </c>
    </row>
    <row r="147" spans="2:11" x14ac:dyDescent="0.2">
      <c r="B147" s="129"/>
      <c r="C147" s="161"/>
      <c r="D147" s="161"/>
      <c r="E147" s="161"/>
      <c r="F147" s="162"/>
      <c r="G147" s="159"/>
      <c r="H147" s="171"/>
      <c r="I147" s="170"/>
      <c r="J147" s="162"/>
      <c r="K147" s="36">
        <f t="shared" si="13"/>
        <v>0</v>
      </c>
    </row>
    <row r="148" spans="2:11" x14ac:dyDescent="0.2">
      <c r="B148" s="129"/>
      <c r="C148" s="161"/>
      <c r="D148" s="161"/>
      <c r="E148" s="161"/>
      <c r="F148" s="162"/>
      <c r="G148" s="129"/>
      <c r="H148" s="171"/>
      <c r="I148" s="170"/>
      <c r="J148" s="162"/>
      <c r="K148" s="36">
        <f t="shared" si="13"/>
        <v>0</v>
      </c>
    </row>
    <row r="149" spans="2:11" x14ac:dyDescent="0.2">
      <c r="B149" s="129"/>
      <c r="C149" s="161"/>
      <c r="D149" s="161"/>
      <c r="E149" s="161"/>
      <c r="F149" s="162"/>
      <c r="G149" s="129"/>
      <c r="H149" s="171"/>
      <c r="I149" s="170"/>
      <c r="J149" s="162"/>
      <c r="K149" s="36">
        <f t="shared" ref="K149:K167" si="14">I149-J149</f>
        <v>0</v>
      </c>
    </row>
    <row r="150" spans="2:11" x14ac:dyDescent="0.2">
      <c r="B150" s="129"/>
      <c r="C150" s="161"/>
      <c r="D150" s="161"/>
      <c r="E150" s="161"/>
      <c r="F150" s="162"/>
      <c r="G150" s="129"/>
      <c r="H150" s="171"/>
      <c r="I150" s="170"/>
      <c r="J150" s="162"/>
      <c r="K150" s="36">
        <f t="shared" si="14"/>
        <v>0</v>
      </c>
    </row>
    <row r="151" spans="2:11" x14ac:dyDescent="0.2">
      <c r="B151" s="129"/>
      <c r="C151" s="200" t="str">
        <f>Criteria!E14</f>
        <v>SUBSIDIARY ONE 111 (PTY) LTD</v>
      </c>
      <c r="D151" s="161"/>
      <c r="E151" s="161"/>
      <c r="F151" s="162"/>
      <c r="G151" s="129"/>
      <c r="H151" s="171"/>
      <c r="I151" s="170"/>
      <c r="J151" s="162"/>
      <c r="K151" s="36">
        <f t="shared" si="14"/>
        <v>0</v>
      </c>
    </row>
    <row r="152" spans="2:11" x14ac:dyDescent="0.2">
      <c r="B152" s="129"/>
      <c r="C152" s="161"/>
      <c r="D152" s="161"/>
      <c r="E152" s="161"/>
      <c r="F152" s="162"/>
      <c r="G152" s="129"/>
      <c r="H152" s="171"/>
      <c r="I152" s="162"/>
      <c r="J152" s="162"/>
      <c r="K152" s="36">
        <f t="shared" si="14"/>
        <v>0</v>
      </c>
    </row>
    <row r="153" spans="2:11" x14ac:dyDescent="0.2">
      <c r="B153" s="129"/>
      <c r="D153" s="161"/>
      <c r="E153" s="161"/>
      <c r="F153" s="162"/>
      <c r="G153" s="129"/>
      <c r="H153" s="171"/>
      <c r="I153" s="162"/>
      <c r="J153" s="162"/>
      <c r="K153" s="36">
        <f t="shared" si="14"/>
        <v>0</v>
      </c>
    </row>
    <row r="154" spans="2:11" x14ac:dyDescent="0.2">
      <c r="B154" s="129"/>
      <c r="C154" s="161"/>
      <c r="D154" s="161"/>
      <c r="E154" s="161"/>
      <c r="F154" s="162"/>
      <c r="G154" s="129"/>
      <c r="H154" s="171"/>
      <c r="I154" s="162"/>
      <c r="J154" s="162"/>
      <c r="K154" s="36">
        <f t="shared" si="14"/>
        <v>0</v>
      </c>
    </row>
    <row r="155" spans="2:11" x14ac:dyDescent="0.2">
      <c r="B155" s="129"/>
      <c r="C155" s="161"/>
      <c r="D155" s="161"/>
      <c r="E155" s="161"/>
      <c r="F155" s="162"/>
      <c r="G155" s="129"/>
      <c r="H155" s="171"/>
      <c r="I155" s="162"/>
      <c r="J155" s="162"/>
      <c r="K155" s="36">
        <f t="shared" si="14"/>
        <v>0</v>
      </c>
    </row>
    <row r="156" spans="2:11" x14ac:dyDescent="0.2">
      <c r="B156" s="129"/>
      <c r="C156" s="161"/>
      <c r="D156" s="161"/>
      <c r="E156" s="161"/>
      <c r="F156" s="162"/>
      <c r="G156" s="129"/>
      <c r="H156" s="171"/>
      <c r="I156" s="162"/>
      <c r="J156" s="162"/>
      <c r="K156" s="36">
        <f t="shared" si="14"/>
        <v>0</v>
      </c>
    </row>
    <row r="157" spans="2:11" x14ac:dyDescent="0.2">
      <c r="B157" s="129"/>
      <c r="C157" s="161"/>
      <c r="D157" s="161"/>
      <c r="E157" s="161"/>
      <c r="F157" s="162"/>
      <c r="G157" s="129"/>
      <c r="H157" s="171"/>
      <c r="I157" s="162"/>
      <c r="J157" s="162"/>
      <c r="K157" s="36">
        <f t="shared" si="14"/>
        <v>0</v>
      </c>
    </row>
    <row r="158" spans="2:11" x14ac:dyDescent="0.2">
      <c r="B158" s="129"/>
      <c r="C158" s="200" t="str">
        <f>Criteria!E15</f>
        <v>SUBSIDIARY TWO 15 (PTY) LTD</v>
      </c>
      <c r="D158" s="161"/>
      <c r="E158" s="161"/>
      <c r="F158" s="162"/>
      <c r="G158" s="129"/>
      <c r="H158" s="171"/>
      <c r="I158" s="162"/>
      <c r="J158" s="162"/>
      <c r="K158" s="36">
        <f t="shared" si="14"/>
        <v>0</v>
      </c>
    </row>
    <row r="159" spans="2:11" x14ac:dyDescent="0.2">
      <c r="B159" s="129"/>
      <c r="C159" s="161"/>
      <c r="D159" s="161"/>
      <c r="E159" s="161"/>
      <c r="F159" s="162"/>
      <c r="G159" s="129"/>
      <c r="H159" s="171"/>
      <c r="I159" s="162"/>
      <c r="J159" s="162"/>
      <c r="K159" s="36">
        <f t="shared" si="14"/>
        <v>0</v>
      </c>
    </row>
    <row r="160" spans="2:11" x14ac:dyDescent="0.2">
      <c r="B160" s="129"/>
      <c r="C160" s="161"/>
      <c r="D160" s="161"/>
      <c r="E160" s="161"/>
      <c r="F160" s="162"/>
      <c r="G160" s="129"/>
      <c r="H160" s="171"/>
      <c r="I160" s="162"/>
      <c r="J160" s="162"/>
      <c r="K160" s="36">
        <f t="shared" si="14"/>
        <v>0</v>
      </c>
    </row>
    <row r="161" spans="2:13" x14ac:dyDescent="0.2">
      <c r="B161" s="129"/>
      <c r="D161" s="161"/>
      <c r="E161" s="161"/>
      <c r="F161" s="162"/>
      <c r="G161" s="129"/>
      <c r="H161" s="171"/>
      <c r="I161" s="162"/>
      <c r="J161" s="162"/>
      <c r="K161" s="36">
        <f t="shared" si="14"/>
        <v>0</v>
      </c>
    </row>
    <row r="162" spans="2:13" x14ac:dyDescent="0.2">
      <c r="B162" s="129"/>
      <c r="C162" s="161"/>
      <c r="D162" s="161"/>
      <c r="E162" s="161"/>
      <c r="F162" s="162"/>
      <c r="G162" s="129"/>
      <c r="H162" s="171"/>
      <c r="I162" s="162"/>
      <c r="J162" s="162"/>
      <c r="K162" s="36">
        <f t="shared" si="14"/>
        <v>0</v>
      </c>
    </row>
    <row r="163" spans="2:13" x14ac:dyDescent="0.2">
      <c r="B163" s="129"/>
      <c r="C163" s="200">
        <f>Criteria!E16</f>
        <v>0</v>
      </c>
      <c r="D163" s="161"/>
      <c r="E163" s="161"/>
      <c r="F163" s="162"/>
      <c r="G163" s="129"/>
      <c r="H163" s="171"/>
      <c r="I163" s="162"/>
      <c r="J163" s="162"/>
      <c r="K163" s="36">
        <f t="shared" si="14"/>
        <v>0</v>
      </c>
    </row>
    <row r="164" spans="2:13" x14ac:dyDescent="0.2">
      <c r="B164" s="129"/>
      <c r="C164" s="161"/>
      <c r="D164" s="161"/>
      <c r="E164" s="161"/>
      <c r="F164" s="162"/>
      <c r="G164" s="129"/>
      <c r="H164" s="171"/>
      <c r="I164" s="162"/>
      <c r="J164" s="162"/>
      <c r="K164" s="36">
        <f t="shared" si="14"/>
        <v>0</v>
      </c>
    </row>
    <row r="165" spans="2:13" x14ac:dyDescent="0.2">
      <c r="B165" s="129"/>
      <c r="C165" s="161"/>
      <c r="D165" s="161"/>
      <c r="E165" s="161"/>
      <c r="F165" s="162"/>
      <c r="G165" s="129"/>
      <c r="H165" s="171"/>
      <c r="I165" s="162"/>
      <c r="J165" s="162"/>
      <c r="K165" s="36">
        <f t="shared" si="14"/>
        <v>0</v>
      </c>
    </row>
    <row r="166" spans="2:13" x14ac:dyDescent="0.2">
      <c r="B166" s="129"/>
      <c r="C166" s="161"/>
      <c r="D166" s="161"/>
      <c r="E166" s="161"/>
      <c r="F166" s="162"/>
      <c r="G166" s="129"/>
      <c r="H166" s="171"/>
      <c r="I166" s="162"/>
      <c r="J166" s="162"/>
      <c r="K166" s="36">
        <f t="shared" si="14"/>
        <v>0</v>
      </c>
    </row>
    <row r="167" spans="2:13" x14ac:dyDescent="0.2">
      <c r="B167" s="129"/>
      <c r="C167" s="166"/>
      <c r="D167" s="161"/>
      <c r="E167" s="161"/>
      <c r="F167" s="162"/>
      <c r="G167" s="129"/>
      <c r="H167" s="171"/>
      <c r="I167" s="162"/>
      <c r="J167" s="162"/>
      <c r="K167" s="36">
        <f t="shared" si="14"/>
        <v>0</v>
      </c>
    </row>
    <row r="169" spans="2:13" ht="13.5" thickBot="1" x14ac:dyDescent="0.25">
      <c r="C169" s="36" t="s">
        <v>353</v>
      </c>
      <c r="I169" s="44">
        <f>SUM(I86:I168)</f>
        <v>0</v>
      </c>
      <c r="J169" s="44">
        <f t="shared" ref="J169:K169" si="15">SUM(J86:J168)</f>
        <v>0</v>
      </c>
      <c r="K169" s="44">
        <f t="shared" si="15"/>
        <v>0</v>
      </c>
    </row>
    <row r="170" spans="2:13" ht="13.5" thickTop="1" x14ac:dyDescent="0.2"/>
    <row r="171" spans="2:13" x14ac:dyDescent="0.2">
      <c r="B171" s="145" t="s">
        <v>170</v>
      </c>
      <c r="I171" s="195">
        <v>0.2</v>
      </c>
      <c r="J171" s="36" t="s">
        <v>271</v>
      </c>
    </row>
    <row r="172" spans="2:13" x14ac:dyDescent="0.2">
      <c r="B172" s="146"/>
      <c r="I172" s="19"/>
      <c r="J172" s="19"/>
      <c r="K172" s="19"/>
    </row>
    <row r="173" spans="2:13" x14ac:dyDescent="0.2">
      <c r="B173" s="147" t="s">
        <v>26</v>
      </c>
      <c r="C173" s="61" t="s">
        <v>226</v>
      </c>
      <c r="D173" s="61"/>
      <c r="E173" s="87"/>
      <c r="F173" s="88"/>
      <c r="G173" s="87"/>
      <c r="H173" s="87"/>
      <c r="I173" s="21" t="s">
        <v>378</v>
      </c>
      <c r="J173" s="21" t="s">
        <v>602</v>
      </c>
      <c r="K173" s="21" t="s">
        <v>601</v>
      </c>
      <c r="M173" s="57"/>
    </row>
    <row r="175" spans="2:13" x14ac:dyDescent="0.2">
      <c r="B175" s="84"/>
      <c r="C175" s="200" t="str">
        <f>Criteria!E9</f>
        <v>HOLDING COMPANY 268 (PROPRIETARY) LIMITED</v>
      </c>
      <c r="D175" s="1"/>
      <c r="E175" s="1"/>
      <c r="F175" s="1"/>
      <c r="G175" s="1"/>
      <c r="H175" s="15"/>
      <c r="I175" s="85"/>
      <c r="K175" s="36">
        <f>+I175-J175</f>
        <v>0</v>
      </c>
    </row>
    <row r="176" spans="2:13" x14ac:dyDescent="0.2">
      <c r="B176" s="150"/>
      <c r="C176" s="161"/>
      <c r="D176" s="141"/>
      <c r="E176" s="141"/>
      <c r="F176" s="141"/>
      <c r="G176" s="141"/>
      <c r="H176" s="15"/>
      <c r="I176" s="85"/>
      <c r="K176" s="36">
        <f>+I176-J176</f>
        <v>0</v>
      </c>
    </row>
    <row r="177" spans="2:11" x14ac:dyDescent="0.2">
      <c r="B177" s="150"/>
      <c r="C177" s="161"/>
      <c r="D177" s="141"/>
      <c r="E177" s="141"/>
      <c r="F177" s="141"/>
      <c r="G177" s="141"/>
      <c r="H177" s="15"/>
      <c r="I177" s="85"/>
      <c r="K177" s="36">
        <f>+I177-J177</f>
        <v>0</v>
      </c>
    </row>
    <row r="178" spans="2:11" x14ac:dyDescent="0.2">
      <c r="B178" s="84"/>
      <c r="C178" s="161"/>
      <c r="D178" s="1"/>
      <c r="E178" s="1"/>
      <c r="F178" s="1"/>
      <c r="G178" s="1"/>
      <c r="K178" s="36">
        <f t="shared" ref="K178:K210" si="16">+I178-J178</f>
        <v>0</v>
      </c>
    </row>
    <row r="179" spans="2:11" x14ac:dyDescent="0.2">
      <c r="B179" s="49"/>
      <c r="C179" s="161"/>
      <c r="D179" s="1"/>
      <c r="E179" s="1"/>
      <c r="F179" s="1"/>
      <c r="G179" s="1"/>
      <c r="K179" s="36">
        <f t="shared" si="16"/>
        <v>0</v>
      </c>
    </row>
    <row r="180" spans="2:11" x14ac:dyDescent="0.2">
      <c r="B180" s="84"/>
      <c r="C180" s="161"/>
      <c r="D180" s="1"/>
      <c r="E180" s="1"/>
      <c r="F180" s="1"/>
      <c r="G180" s="1"/>
      <c r="K180" s="36">
        <f t="shared" si="16"/>
        <v>0</v>
      </c>
    </row>
    <row r="181" spans="2:11" x14ac:dyDescent="0.2">
      <c r="B181" s="84"/>
      <c r="C181" s="161"/>
      <c r="D181" s="1"/>
      <c r="E181" s="1"/>
      <c r="F181" s="1"/>
      <c r="G181" s="1"/>
      <c r="K181" s="36">
        <f t="shared" si="16"/>
        <v>0</v>
      </c>
    </row>
    <row r="182" spans="2:11" x14ac:dyDescent="0.2">
      <c r="B182" s="84"/>
      <c r="C182" s="161"/>
      <c r="D182" s="1"/>
      <c r="E182" s="1"/>
      <c r="F182" s="1"/>
      <c r="G182" s="1"/>
      <c r="K182" s="36">
        <f t="shared" si="16"/>
        <v>0</v>
      </c>
    </row>
    <row r="183" spans="2:11" x14ac:dyDescent="0.2">
      <c r="B183" s="148"/>
      <c r="C183" s="161"/>
      <c r="K183" s="36">
        <f t="shared" si="16"/>
        <v>0</v>
      </c>
    </row>
    <row r="184" spans="2:11" x14ac:dyDescent="0.2">
      <c r="B184" s="148"/>
      <c r="C184" s="200" t="str">
        <f>Criteria!E14</f>
        <v>SUBSIDIARY ONE 111 (PTY) LTD</v>
      </c>
      <c r="K184" s="36">
        <f t="shared" si="16"/>
        <v>0</v>
      </c>
    </row>
    <row r="185" spans="2:11" x14ac:dyDescent="0.2">
      <c r="B185" s="148"/>
      <c r="C185" s="161"/>
      <c r="K185" s="36">
        <f t="shared" si="16"/>
        <v>0</v>
      </c>
    </row>
    <row r="186" spans="2:11" x14ac:dyDescent="0.2">
      <c r="B186" s="148"/>
      <c r="C186" s="161"/>
      <c r="K186" s="36">
        <f t="shared" si="16"/>
        <v>0</v>
      </c>
    </row>
    <row r="187" spans="2:11" x14ac:dyDescent="0.2">
      <c r="B187" s="148"/>
      <c r="C187" s="161"/>
      <c r="K187" s="36">
        <f t="shared" si="16"/>
        <v>0</v>
      </c>
    </row>
    <row r="188" spans="2:11" x14ac:dyDescent="0.2">
      <c r="B188" s="148"/>
      <c r="C188" s="161"/>
      <c r="K188" s="36">
        <f t="shared" si="16"/>
        <v>0</v>
      </c>
    </row>
    <row r="189" spans="2:11" x14ac:dyDescent="0.2">
      <c r="B189" s="148"/>
      <c r="C189" s="161"/>
      <c r="K189" s="36">
        <f t="shared" si="16"/>
        <v>0</v>
      </c>
    </row>
    <row r="190" spans="2:11" x14ac:dyDescent="0.2">
      <c r="B190" s="148"/>
      <c r="C190" s="161"/>
      <c r="K190" s="36">
        <f t="shared" si="16"/>
        <v>0</v>
      </c>
    </row>
    <row r="191" spans="2:11" x14ac:dyDescent="0.2">
      <c r="B191" s="148"/>
      <c r="C191" s="161"/>
      <c r="K191" s="36">
        <f t="shared" si="16"/>
        <v>0</v>
      </c>
    </row>
    <row r="192" spans="2:11" x14ac:dyDescent="0.2">
      <c r="B192" s="148"/>
      <c r="C192" s="200" t="str">
        <f>Criteria!E15</f>
        <v>SUBSIDIARY TWO 15 (PTY) LTD</v>
      </c>
      <c r="K192" s="36">
        <f t="shared" si="16"/>
        <v>0</v>
      </c>
    </row>
    <row r="193" spans="2:11" x14ac:dyDescent="0.2">
      <c r="B193" s="148"/>
      <c r="K193" s="36">
        <f t="shared" si="16"/>
        <v>0</v>
      </c>
    </row>
    <row r="194" spans="2:11" x14ac:dyDescent="0.2">
      <c r="B194" s="148"/>
      <c r="K194" s="36">
        <f t="shared" ref="K194:K209" si="17">+I194-J194</f>
        <v>0</v>
      </c>
    </row>
    <row r="195" spans="2:11" x14ac:dyDescent="0.2">
      <c r="B195" s="148"/>
      <c r="K195" s="36">
        <f t="shared" si="17"/>
        <v>0</v>
      </c>
    </row>
    <row r="196" spans="2:11" x14ac:dyDescent="0.2">
      <c r="B196" s="148"/>
      <c r="K196" s="36">
        <f t="shared" si="17"/>
        <v>0</v>
      </c>
    </row>
    <row r="197" spans="2:11" x14ac:dyDescent="0.2">
      <c r="B197" s="148"/>
      <c r="K197" s="36">
        <f t="shared" si="17"/>
        <v>0</v>
      </c>
    </row>
    <row r="198" spans="2:11" x14ac:dyDescent="0.2">
      <c r="B198" s="148"/>
      <c r="K198" s="36">
        <f t="shared" si="17"/>
        <v>0</v>
      </c>
    </row>
    <row r="199" spans="2:11" x14ac:dyDescent="0.2">
      <c r="B199" s="148"/>
      <c r="K199" s="36">
        <f t="shared" si="17"/>
        <v>0</v>
      </c>
    </row>
    <row r="200" spans="2:11" x14ac:dyDescent="0.2">
      <c r="B200" s="148"/>
      <c r="K200" s="36">
        <f t="shared" si="17"/>
        <v>0</v>
      </c>
    </row>
    <row r="201" spans="2:11" x14ac:dyDescent="0.2">
      <c r="B201" s="148"/>
      <c r="K201" s="36">
        <f t="shared" si="17"/>
        <v>0</v>
      </c>
    </row>
    <row r="202" spans="2:11" x14ac:dyDescent="0.2">
      <c r="B202" s="148"/>
      <c r="C202" s="200">
        <f>Criteria!E16</f>
        <v>0</v>
      </c>
      <c r="K202" s="36">
        <f t="shared" si="17"/>
        <v>0</v>
      </c>
    </row>
    <row r="203" spans="2:11" x14ac:dyDescent="0.2">
      <c r="B203" s="148"/>
      <c r="K203" s="36">
        <f t="shared" si="17"/>
        <v>0</v>
      </c>
    </row>
    <row r="204" spans="2:11" x14ac:dyDescent="0.2">
      <c r="B204" s="148"/>
      <c r="K204" s="36">
        <f t="shared" si="17"/>
        <v>0</v>
      </c>
    </row>
    <row r="205" spans="2:11" x14ac:dyDescent="0.2">
      <c r="B205" s="148"/>
      <c r="K205" s="36">
        <f t="shared" si="17"/>
        <v>0</v>
      </c>
    </row>
    <row r="206" spans="2:11" x14ac:dyDescent="0.2">
      <c r="B206" s="148"/>
      <c r="K206" s="36">
        <f t="shared" si="17"/>
        <v>0</v>
      </c>
    </row>
    <row r="207" spans="2:11" x14ac:dyDescent="0.2">
      <c r="B207" s="148"/>
      <c r="K207" s="36">
        <f t="shared" si="17"/>
        <v>0</v>
      </c>
    </row>
    <row r="208" spans="2:11" x14ac:dyDescent="0.2">
      <c r="B208" s="148"/>
      <c r="K208" s="36">
        <f t="shared" si="17"/>
        <v>0</v>
      </c>
    </row>
    <row r="209" spans="2:11" x14ac:dyDescent="0.2">
      <c r="B209" s="148"/>
      <c r="K209" s="36">
        <f t="shared" si="17"/>
        <v>0</v>
      </c>
    </row>
    <row r="210" spans="2:11" x14ac:dyDescent="0.2">
      <c r="B210" s="148"/>
      <c r="K210" s="36">
        <f t="shared" si="16"/>
        <v>0</v>
      </c>
    </row>
    <row r="212" spans="2:11" ht="13.5" thickBot="1" x14ac:dyDescent="0.25">
      <c r="C212" s="36" t="s">
        <v>353</v>
      </c>
      <c r="I212" s="44">
        <f>SUM(I174:I211)</f>
        <v>0</v>
      </c>
      <c r="J212" s="44">
        <f>SUM(J174:J211)</f>
        <v>0</v>
      </c>
      <c r="K212" s="44">
        <f>SUM(K174:K211)</f>
        <v>0</v>
      </c>
    </row>
    <row r="213" spans="2:11" ht="13.5" thickTop="1" x14ac:dyDescent="0.2"/>
    <row r="215" spans="2:11" x14ac:dyDescent="0.2">
      <c r="B215" s="145" t="s">
        <v>354</v>
      </c>
      <c r="I215" s="195">
        <v>0.2</v>
      </c>
      <c r="J215" s="36" t="s">
        <v>271</v>
      </c>
    </row>
    <row r="216" spans="2:11" x14ac:dyDescent="0.2">
      <c r="B216" s="146"/>
      <c r="I216" s="19"/>
      <c r="J216" s="19"/>
      <c r="K216" s="19"/>
    </row>
    <row r="217" spans="2:11" x14ac:dyDescent="0.2">
      <c r="B217" s="147" t="s">
        <v>26</v>
      </c>
      <c r="C217" s="61" t="s">
        <v>226</v>
      </c>
      <c r="D217" s="61"/>
      <c r="E217" s="87"/>
      <c r="F217" s="88"/>
      <c r="G217" s="87"/>
      <c r="H217" s="87"/>
      <c r="I217" s="21" t="s">
        <v>378</v>
      </c>
      <c r="J217" s="21" t="s">
        <v>602</v>
      </c>
      <c r="K217" s="21" t="s">
        <v>601</v>
      </c>
    </row>
    <row r="219" spans="2:11" x14ac:dyDescent="0.2">
      <c r="B219" s="151"/>
      <c r="C219" s="200" t="str">
        <f>Criteria!E9</f>
        <v>HOLDING COMPANY 268 (PROPRIETARY) LIMITED</v>
      </c>
      <c r="D219" s="141"/>
      <c r="E219" s="141"/>
      <c r="F219" s="141"/>
      <c r="G219" s="141"/>
      <c r="H219" s="1"/>
      <c r="I219" s="65"/>
      <c r="K219" s="36">
        <f>+I219-J219</f>
        <v>0</v>
      </c>
    </row>
    <row r="220" spans="2:11" x14ac:dyDescent="0.2">
      <c r="B220" s="49"/>
      <c r="C220" s="161"/>
      <c r="D220" s="1"/>
      <c r="E220" s="1"/>
      <c r="F220" s="1"/>
      <c r="G220" s="1"/>
      <c r="H220" s="1"/>
      <c r="I220" s="65"/>
      <c r="K220" s="36">
        <f>+I220-J220</f>
        <v>0</v>
      </c>
    </row>
    <row r="221" spans="2:11" x14ac:dyDescent="0.2">
      <c r="B221" s="49"/>
      <c r="C221" s="161"/>
      <c r="D221" s="1"/>
      <c r="E221" s="1"/>
      <c r="F221" s="1"/>
      <c r="G221" s="1"/>
      <c r="H221" s="1"/>
      <c r="I221" s="65"/>
      <c r="K221" s="36">
        <f>+I221-J221</f>
        <v>0</v>
      </c>
    </row>
    <row r="222" spans="2:11" x14ac:dyDescent="0.2">
      <c r="B222" s="49"/>
      <c r="C222" s="161"/>
      <c r="D222" s="1"/>
      <c r="E222" s="1"/>
      <c r="F222" s="1"/>
      <c r="G222" s="1"/>
      <c r="H222" s="1"/>
      <c r="I222" s="65"/>
      <c r="K222" s="36">
        <f t="shared" ref="K222:K243" si="18">+I222-J222</f>
        <v>0</v>
      </c>
    </row>
    <row r="223" spans="2:11" x14ac:dyDescent="0.2">
      <c r="B223" s="49"/>
      <c r="C223" s="161"/>
      <c r="D223" s="1"/>
      <c r="E223" s="1"/>
      <c r="F223" s="1"/>
      <c r="G223" s="1"/>
      <c r="H223" s="1"/>
      <c r="I223" s="65"/>
      <c r="K223" s="36">
        <f t="shared" si="18"/>
        <v>0</v>
      </c>
    </row>
    <row r="224" spans="2:11" x14ac:dyDescent="0.2">
      <c r="B224" s="49"/>
      <c r="C224" s="161"/>
      <c r="D224" s="1"/>
      <c r="E224" s="1"/>
      <c r="F224" s="1"/>
      <c r="G224" s="1"/>
      <c r="H224" s="1"/>
      <c r="I224" s="65"/>
      <c r="K224" s="36">
        <f t="shared" si="18"/>
        <v>0</v>
      </c>
    </row>
    <row r="225" spans="2:11" x14ac:dyDescent="0.2">
      <c r="B225" s="49"/>
      <c r="C225" s="161"/>
      <c r="D225" s="1"/>
      <c r="E225" s="1"/>
      <c r="F225" s="1"/>
      <c r="G225" s="1"/>
      <c r="H225" s="1"/>
      <c r="I225" s="65"/>
      <c r="K225" s="36">
        <f t="shared" si="18"/>
        <v>0</v>
      </c>
    </row>
    <row r="226" spans="2:11" x14ac:dyDescent="0.2">
      <c r="B226" s="49"/>
      <c r="C226" s="161"/>
      <c r="D226" s="1"/>
      <c r="E226" s="1"/>
      <c r="F226" s="1"/>
      <c r="G226" s="1"/>
      <c r="H226" s="1"/>
      <c r="I226" s="65"/>
      <c r="K226" s="36">
        <f t="shared" si="18"/>
        <v>0</v>
      </c>
    </row>
    <row r="227" spans="2:11" x14ac:dyDescent="0.2">
      <c r="B227" s="49"/>
      <c r="C227" s="200" t="str">
        <f>Criteria!E14</f>
        <v>SUBSIDIARY ONE 111 (PTY) LTD</v>
      </c>
      <c r="D227" s="1"/>
      <c r="E227" s="1"/>
      <c r="F227" s="1"/>
      <c r="G227" s="1"/>
      <c r="H227" s="1"/>
      <c r="I227" s="65"/>
      <c r="K227" s="36">
        <f t="shared" si="18"/>
        <v>0</v>
      </c>
    </row>
    <row r="228" spans="2:11" x14ac:dyDescent="0.2">
      <c r="B228" s="49"/>
      <c r="D228" s="1"/>
      <c r="E228" s="1"/>
      <c r="F228" s="1"/>
      <c r="G228" s="1"/>
      <c r="H228" s="1"/>
      <c r="I228" s="65"/>
      <c r="K228" s="36">
        <f t="shared" si="18"/>
        <v>0</v>
      </c>
    </row>
    <row r="229" spans="2:11" x14ac:dyDescent="0.2">
      <c r="B229" s="49"/>
      <c r="C229" s="161"/>
      <c r="D229" s="1"/>
      <c r="E229" s="1"/>
      <c r="F229" s="1"/>
      <c r="G229" s="1"/>
      <c r="H229" s="1"/>
      <c r="I229" s="65"/>
      <c r="K229" s="36">
        <f t="shared" si="18"/>
        <v>0</v>
      </c>
    </row>
    <row r="230" spans="2:11" x14ac:dyDescent="0.2">
      <c r="B230" s="49"/>
      <c r="C230" s="161"/>
      <c r="D230" s="1"/>
      <c r="E230" s="1"/>
      <c r="F230" s="1"/>
      <c r="G230" s="1"/>
      <c r="H230" s="1"/>
      <c r="I230" s="65"/>
      <c r="K230" s="36">
        <f t="shared" si="18"/>
        <v>0</v>
      </c>
    </row>
    <row r="231" spans="2:11" x14ac:dyDescent="0.2">
      <c r="B231" s="49"/>
      <c r="C231" s="161"/>
      <c r="D231" s="1"/>
      <c r="E231" s="1"/>
      <c r="F231" s="1"/>
      <c r="G231" s="1"/>
      <c r="H231" s="1"/>
      <c r="I231" s="65"/>
      <c r="K231" s="36">
        <f t="shared" si="18"/>
        <v>0</v>
      </c>
    </row>
    <row r="232" spans="2:11" x14ac:dyDescent="0.2">
      <c r="B232" s="49"/>
      <c r="C232" s="161"/>
      <c r="D232" s="1"/>
      <c r="E232" s="1"/>
      <c r="F232" s="1"/>
      <c r="G232" s="1"/>
      <c r="H232" s="1"/>
      <c r="I232" s="65"/>
      <c r="K232" s="36">
        <f t="shared" si="18"/>
        <v>0</v>
      </c>
    </row>
    <row r="233" spans="2:11" x14ac:dyDescent="0.2">
      <c r="B233" s="49"/>
      <c r="C233" s="161"/>
      <c r="D233" s="1"/>
      <c r="E233" s="1"/>
      <c r="F233" s="1"/>
      <c r="G233" s="1"/>
      <c r="H233" s="1"/>
      <c r="I233" s="65"/>
      <c r="K233" s="36">
        <f t="shared" si="18"/>
        <v>0</v>
      </c>
    </row>
    <row r="234" spans="2:11" x14ac:dyDescent="0.2">
      <c r="B234" s="49"/>
      <c r="C234" s="200" t="str">
        <f>Criteria!E15</f>
        <v>SUBSIDIARY TWO 15 (PTY) LTD</v>
      </c>
      <c r="D234" s="1"/>
      <c r="E234" s="1"/>
      <c r="F234" s="1"/>
      <c r="G234" s="1"/>
      <c r="H234" s="1"/>
      <c r="I234" s="65"/>
      <c r="K234" s="36">
        <f t="shared" si="18"/>
        <v>0</v>
      </c>
    </row>
    <row r="235" spans="2:11" x14ac:dyDescent="0.2">
      <c r="B235" s="49"/>
      <c r="C235" s="161"/>
      <c r="D235" s="1"/>
      <c r="E235" s="1"/>
      <c r="F235" s="1"/>
      <c r="G235" s="1"/>
      <c r="H235" s="1"/>
      <c r="I235" s="65"/>
      <c r="K235" s="36">
        <f t="shared" si="18"/>
        <v>0</v>
      </c>
    </row>
    <row r="236" spans="2:11" x14ac:dyDescent="0.2">
      <c r="B236" s="49"/>
      <c r="D236" s="1"/>
      <c r="E236" s="1"/>
      <c r="F236" s="1"/>
      <c r="G236" s="1"/>
      <c r="H236" s="1"/>
      <c r="I236" s="65"/>
      <c r="K236" s="36">
        <f t="shared" si="18"/>
        <v>0</v>
      </c>
    </row>
    <row r="237" spans="2:11" x14ac:dyDescent="0.2">
      <c r="B237" s="49"/>
      <c r="C237" s="1"/>
      <c r="D237" s="1"/>
      <c r="E237" s="1"/>
      <c r="F237" s="1"/>
      <c r="G237" s="1"/>
      <c r="H237" s="1"/>
      <c r="I237" s="65"/>
      <c r="K237" s="36">
        <f t="shared" si="18"/>
        <v>0</v>
      </c>
    </row>
    <row r="238" spans="2:11" x14ac:dyDescent="0.2">
      <c r="B238" s="49"/>
      <c r="C238" s="1"/>
      <c r="D238" s="1"/>
      <c r="E238" s="1"/>
      <c r="F238" s="1"/>
      <c r="G238" s="1"/>
      <c r="H238" s="1"/>
      <c r="I238" s="65"/>
      <c r="K238" s="36">
        <f t="shared" si="18"/>
        <v>0</v>
      </c>
    </row>
    <row r="239" spans="2:11" x14ac:dyDescent="0.2">
      <c r="B239" s="49"/>
      <c r="C239" s="1"/>
      <c r="D239" s="1"/>
      <c r="E239" s="1"/>
      <c r="F239" s="1"/>
      <c r="G239" s="1"/>
      <c r="H239" s="1"/>
      <c r="I239" s="65"/>
      <c r="K239" s="36">
        <f t="shared" si="18"/>
        <v>0</v>
      </c>
    </row>
    <row r="240" spans="2:11" x14ac:dyDescent="0.2">
      <c r="B240" s="49"/>
      <c r="C240" s="200">
        <f>Criteria!E16</f>
        <v>0</v>
      </c>
      <c r="D240" s="1"/>
      <c r="E240" s="1"/>
      <c r="F240" s="1"/>
      <c r="G240" s="1"/>
      <c r="H240" s="1"/>
      <c r="I240" s="65"/>
      <c r="K240" s="36">
        <f t="shared" si="18"/>
        <v>0</v>
      </c>
    </row>
    <row r="241" spans="2:11" x14ac:dyDescent="0.2">
      <c r="B241" s="49"/>
      <c r="C241" s="1"/>
      <c r="D241" s="1"/>
      <c r="E241" s="1"/>
      <c r="F241" s="1"/>
      <c r="G241" s="1"/>
      <c r="H241" s="1"/>
      <c r="I241" s="65"/>
      <c r="K241" s="36">
        <f t="shared" si="18"/>
        <v>0</v>
      </c>
    </row>
    <row r="242" spans="2:11" x14ac:dyDescent="0.2">
      <c r="B242" s="49"/>
      <c r="C242" s="1"/>
      <c r="D242" s="1"/>
      <c r="E242" s="1"/>
      <c r="F242" s="1"/>
      <c r="G242" s="1"/>
      <c r="H242" s="1"/>
      <c r="I242" s="65"/>
      <c r="K242" s="36">
        <f t="shared" si="18"/>
        <v>0</v>
      </c>
    </row>
    <row r="243" spans="2:11" x14ac:dyDescent="0.2">
      <c r="B243" s="49"/>
      <c r="C243" s="1"/>
      <c r="D243" s="1"/>
      <c r="E243" s="1"/>
      <c r="F243" s="1"/>
      <c r="G243" s="1"/>
      <c r="H243" s="1"/>
      <c r="I243" s="65"/>
      <c r="K243" s="36">
        <f t="shared" si="18"/>
        <v>0</v>
      </c>
    </row>
    <row r="244" spans="2:11" x14ac:dyDescent="0.2">
      <c r="B244" s="49"/>
      <c r="C244" s="1"/>
      <c r="D244" s="1"/>
      <c r="E244" s="1"/>
      <c r="F244" s="1"/>
      <c r="G244" s="1"/>
      <c r="H244" s="1"/>
      <c r="I244" s="65"/>
      <c r="K244" s="36">
        <f>+I244-J244</f>
        <v>0</v>
      </c>
    </row>
    <row r="246" spans="2:11" ht="13.5" thickBot="1" x14ac:dyDescent="0.25">
      <c r="C246" s="36" t="s">
        <v>353</v>
      </c>
      <c r="I246" s="44">
        <f>SUM(I218:I245)</f>
        <v>0</v>
      </c>
      <c r="J246" s="44">
        <f>SUM(J218:J245)</f>
        <v>0</v>
      </c>
      <c r="K246" s="44">
        <f>SUM(K218:K245)</f>
        <v>0</v>
      </c>
    </row>
    <row r="247" spans="2:11" ht="13.5" thickTop="1" x14ac:dyDescent="0.2"/>
    <row r="249" spans="2:11" x14ac:dyDescent="0.2">
      <c r="B249" s="145" t="s">
        <v>355</v>
      </c>
      <c r="I249" s="195">
        <v>0.33339999999999997</v>
      </c>
      <c r="J249" s="36" t="s">
        <v>271</v>
      </c>
    </row>
    <row r="250" spans="2:11" x14ac:dyDescent="0.2">
      <c r="B250" s="146"/>
      <c r="I250" s="19"/>
      <c r="J250" s="19"/>
      <c r="K250" s="19"/>
    </row>
    <row r="251" spans="2:11" x14ac:dyDescent="0.2">
      <c r="B251" s="147" t="s">
        <v>26</v>
      </c>
      <c r="C251" s="61" t="s">
        <v>226</v>
      </c>
      <c r="D251" s="61"/>
      <c r="E251" s="87"/>
      <c r="F251" s="88"/>
      <c r="G251" s="87"/>
      <c r="H251" s="87"/>
      <c r="I251" s="21" t="s">
        <v>378</v>
      </c>
      <c r="J251" s="21" t="s">
        <v>602</v>
      </c>
      <c r="K251" s="21" t="s">
        <v>601</v>
      </c>
    </row>
    <row r="253" spans="2:11" x14ac:dyDescent="0.2">
      <c r="B253" s="84"/>
      <c r="C253" s="200" t="str">
        <f>Criteria!E9</f>
        <v>HOLDING COMPANY 268 (PROPRIETARY) LIMITED</v>
      </c>
      <c r="D253" s="1"/>
      <c r="E253" s="1"/>
      <c r="F253" s="1"/>
      <c r="G253" s="1"/>
      <c r="H253" s="15"/>
      <c r="I253" s="85"/>
      <c r="K253" s="36">
        <f>+I253-J253</f>
        <v>0</v>
      </c>
    </row>
    <row r="254" spans="2:11" x14ac:dyDescent="0.2">
      <c r="B254" s="84"/>
      <c r="C254" s="161"/>
      <c r="D254" s="1"/>
      <c r="E254" s="1"/>
      <c r="F254" s="1"/>
      <c r="G254" s="1"/>
      <c r="H254" s="15"/>
      <c r="I254" s="85"/>
      <c r="K254" s="36">
        <f t="shared" ref="K254:K281" si="19">+I254-J254</f>
        <v>0</v>
      </c>
    </row>
    <row r="255" spans="2:11" x14ac:dyDescent="0.2">
      <c r="B255" s="84"/>
      <c r="C255" s="161"/>
      <c r="D255" s="1"/>
      <c r="E255" s="1"/>
      <c r="F255" s="1"/>
      <c r="G255" s="1"/>
      <c r="H255" s="15"/>
      <c r="I255" s="85"/>
      <c r="K255" s="36">
        <f t="shared" si="19"/>
        <v>0</v>
      </c>
    </row>
    <row r="256" spans="2:11" x14ac:dyDescent="0.2">
      <c r="B256" s="84"/>
      <c r="C256" s="161"/>
      <c r="D256" s="1"/>
      <c r="E256" s="1"/>
      <c r="F256" s="1"/>
      <c r="G256" s="1"/>
      <c r="H256" s="15"/>
      <c r="I256" s="85"/>
      <c r="K256" s="36">
        <f t="shared" si="19"/>
        <v>0</v>
      </c>
    </row>
    <row r="257" spans="2:11" x14ac:dyDescent="0.2">
      <c r="B257" s="84"/>
      <c r="C257" s="161"/>
      <c r="D257" s="1"/>
      <c r="E257" s="1"/>
      <c r="F257" s="1"/>
      <c r="G257" s="1"/>
      <c r="H257" s="15"/>
      <c r="I257" s="85"/>
      <c r="K257" s="36">
        <f t="shared" si="19"/>
        <v>0</v>
      </c>
    </row>
    <row r="258" spans="2:11" x14ac:dyDescent="0.2">
      <c r="B258" s="84"/>
      <c r="C258" s="161"/>
      <c r="D258" s="1"/>
      <c r="E258" s="1"/>
      <c r="F258" s="1"/>
      <c r="G258" s="1"/>
      <c r="H258" s="15"/>
      <c r="I258" s="85"/>
      <c r="K258" s="36">
        <f t="shared" si="19"/>
        <v>0</v>
      </c>
    </row>
    <row r="259" spans="2:11" x14ac:dyDescent="0.2">
      <c r="B259" s="84"/>
      <c r="C259" s="161"/>
      <c r="D259" s="1"/>
      <c r="E259" s="1"/>
      <c r="F259" s="1"/>
      <c r="G259" s="1"/>
      <c r="H259" s="15"/>
      <c r="I259" s="85"/>
      <c r="K259" s="36">
        <f t="shared" si="19"/>
        <v>0</v>
      </c>
    </row>
    <row r="260" spans="2:11" x14ac:dyDescent="0.2">
      <c r="B260" s="84"/>
      <c r="C260" s="161"/>
      <c r="D260" s="1"/>
      <c r="E260" s="1"/>
      <c r="F260" s="1"/>
      <c r="G260" s="1"/>
      <c r="H260" s="15"/>
      <c r="I260" s="85"/>
      <c r="K260" s="36">
        <f t="shared" si="19"/>
        <v>0</v>
      </c>
    </row>
    <row r="261" spans="2:11" x14ac:dyDescent="0.2">
      <c r="B261" s="84"/>
      <c r="C261" s="161"/>
      <c r="D261" s="1"/>
      <c r="E261" s="1"/>
      <c r="F261" s="1"/>
      <c r="G261" s="1"/>
      <c r="H261" s="15"/>
      <c r="I261" s="85"/>
      <c r="K261" s="36">
        <f t="shared" si="19"/>
        <v>0</v>
      </c>
    </row>
    <row r="262" spans="2:11" x14ac:dyDescent="0.2">
      <c r="B262" s="84"/>
      <c r="C262" s="200" t="str">
        <f>Criteria!E14</f>
        <v>SUBSIDIARY ONE 111 (PTY) LTD</v>
      </c>
      <c r="D262" s="1"/>
      <c r="E262" s="1"/>
      <c r="F262" s="1"/>
      <c r="G262" s="1"/>
      <c r="H262" s="15"/>
      <c r="I262" s="85"/>
      <c r="K262" s="36">
        <f t="shared" si="19"/>
        <v>0</v>
      </c>
    </row>
    <row r="263" spans="2:11" x14ac:dyDescent="0.2">
      <c r="B263" s="84"/>
      <c r="C263" s="161"/>
      <c r="D263" s="1"/>
      <c r="E263" s="1"/>
      <c r="F263" s="1"/>
      <c r="G263" s="1"/>
      <c r="H263" s="15"/>
      <c r="I263" s="85"/>
      <c r="K263" s="36">
        <f t="shared" si="19"/>
        <v>0</v>
      </c>
    </row>
    <row r="264" spans="2:11" x14ac:dyDescent="0.2">
      <c r="B264" s="84"/>
      <c r="C264" s="161"/>
      <c r="D264" s="1"/>
      <c r="E264" s="1"/>
      <c r="F264" s="1"/>
      <c r="G264" s="1"/>
      <c r="H264" s="15"/>
      <c r="I264" s="85"/>
      <c r="K264" s="36">
        <f t="shared" si="19"/>
        <v>0</v>
      </c>
    </row>
    <row r="265" spans="2:11" x14ac:dyDescent="0.2">
      <c r="B265" s="84"/>
      <c r="C265" s="161"/>
      <c r="D265" s="1"/>
      <c r="E265" s="1"/>
      <c r="F265" s="1"/>
      <c r="G265" s="1"/>
      <c r="H265" s="15"/>
      <c r="I265" s="85"/>
      <c r="K265" s="36">
        <f t="shared" si="19"/>
        <v>0</v>
      </c>
    </row>
    <row r="266" spans="2:11" x14ac:dyDescent="0.2">
      <c r="B266" s="84"/>
      <c r="C266" s="161"/>
      <c r="D266" s="1"/>
      <c r="E266" s="1"/>
      <c r="F266" s="1"/>
      <c r="G266" s="1"/>
      <c r="H266" s="15"/>
      <c r="I266" s="85"/>
      <c r="K266" s="36">
        <f t="shared" si="19"/>
        <v>0</v>
      </c>
    </row>
    <row r="267" spans="2:11" x14ac:dyDescent="0.2">
      <c r="B267" s="84"/>
      <c r="C267" s="161"/>
      <c r="D267" s="1"/>
      <c r="E267" s="1"/>
      <c r="F267" s="1"/>
      <c r="G267" s="1"/>
      <c r="H267" s="15"/>
      <c r="I267" s="85"/>
      <c r="K267" s="36">
        <f t="shared" si="19"/>
        <v>0</v>
      </c>
    </row>
    <row r="268" spans="2:11" x14ac:dyDescent="0.2">
      <c r="B268" s="84"/>
      <c r="C268" s="161"/>
      <c r="D268" s="1"/>
      <c r="E268" s="1"/>
      <c r="F268" s="1"/>
      <c r="G268" s="1"/>
      <c r="H268" s="15"/>
      <c r="I268" s="85"/>
      <c r="K268" s="36">
        <f t="shared" si="19"/>
        <v>0</v>
      </c>
    </row>
    <row r="269" spans="2:11" x14ac:dyDescent="0.2">
      <c r="B269" s="84"/>
      <c r="C269" s="161"/>
      <c r="D269" s="1"/>
      <c r="E269" s="1"/>
      <c r="F269" s="1"/>
      <c r="G269" s="1"/>
      <c r="H269" s="15"/>
      <c r="I269" s="85"/>
      <c r="K269" s="36">
        <f t="shared" si="19"/>
        <v>0</v>
      </c>
    </row>
    <row r="270" spans="2:11" x14ac:dyDescent="0.2">
      <c r="B270" s="84"/>
      <c r="C270" s="200" t="str">
        <f>Criteria!E15</f>
        <v>SUBSIDIARY TWO 15 (PTY) LTD</v>
      </c>
      <c r="D270" s="1"/>
      <c r="E270" s="1"/>
      <c r="F270" s="1"/>
      <c r="G270" s="1"/>
      <c r="H270" s="15"/>
      <c r="I270" s="85"/>
      <c r="K270" s="36">
        <f t="shared" si="19"/>
        <v>0</v>
      </c>
    </row>
    <row r="271" spans="2:11" x14ac:dyDescent="0.2">
      <c r="B271" s="84"/>
      <c r="C271" s="1"/>
      <c r="D271" s="1"/>
      <c r="E271" s="1"/>
      <c r="F271" s="1"/>
      <c r="G271" s="1"/>
      <c r="H271" s="15"/>
      <c r="I271" s="85"/>
      <c r="K271" s="36">
        <f t="shared" si="19"/>
        <v>0</v>
      </c>
    </row>
    <row r="272" spans="2:11" x14ac:dyDescent="0.2">
      <c r="B272" s="84"/>
      <c r="C272" s="1"/>
      <c r="D272" s="1"/>
      <c r="E272" s="1"/>
      <c r="F272" s="1"/>
      <c r="G272" s="1"/>
      <c r="H272" s="15"/>
      <c r="I272" s="85"/>
      <c r="K272" s="36">
        <f t="shared" si="19"/>
        <v>0</v>
      </c>
    </row>
    <row r="273" spans="2:11" x14ac:dyDescent="0.2">
      <c r="B273" s="84"/>
      <c r="C273" s="1"/>
      <c r="D273" s="1"/>
      <c r="E273" s="1"/>
      <c r="F273" s="1"/>
      <c r="G273" s="1"/>
      <c r="H273" s="15"/>
      <c r="I273" s="85"/>
      <c r="K273" s="36">
        <f t="shared" si="19"/>
        <v>0</v>
      </c>
    </row>
    <row r="274" spans="2:11" x14ac:dyDescent="0.2">
      <c r="B274" s="84"/>
      <c r="C274" s="1"/>
      <c r="D274" s="1"/>
      <c r="E274" s="1"/>
      <c r="F274" s="1"/>
      <c r="G274" s="1"/>
      <c r="H274" s="15"/>
      <c r="I274" s="85"/>
      <c r="K274" s="36">
        <f t="shared" si="19"/>
        <v>0</v>
      </c>
    </row>
    <row r="275" spans="2:11" x14ac:dyDescent="0.2">
      <c r="B275" s="84"/>
      <c r="C275" s="1"/>
      <c r="D275" s="1"/>
      <c r="E275" s="1"/>
      <c r="F275" s="1"/>
      <c r="G275" s="1"/>
      <c r="H275" s="15"/>
      <c r="I275" s="85"/>
      <c r="K275" s="36">
        <f t="shared" si="19"/>
        <v>0</v>
      </c>
    </row>
    <row r="276" spans="2:11" x14ac:dyDescent="0.2">
      <c r="B276" s="84"/>
      <c r="C276" s="1"/>
      <c r="D276" s="1"/>
      <c r="E276" s="1"/>
      <c r="F276" s="1"/>
      <c r="G276" s="1"/>
      <c r="H276" s="15"/>
      <c r="I276" s="85"/>
      <c r="K276" s="36">
        <f t="shared" si="19"/>
        <v>0</v>
      </c>
    </row>
    <row r="277" spans="2:11" x14ac:dyDescent="0.2">
      <c r="B277" s="84"/>
      <c r="C277" s="200">
        <f>Criteria!E16</f>
        <v>0</v>
      </c>
      <c r="D277" s="1"/>
      <c r="E277" s="1"/>
      <c r="F277" s="1"/>
      <c r="G277" s="1"/>
      <c r="H277" s="15"/>
      <c r="I277" s="85"/>
      <c r="K277" s="36">
        <f t="shared" si="19"/>
        <v>0</v>
      </c>
    </row>
    <row r="278" spans="2:11" x14ac:dyDescent="0.2">
      <c r="B278" s="84"/>
      <c r="C278" s="1"/>
      <c r="D278" s="1"/>
      <c r="E278" s="1"/>
      <c r="F278" s="1"/>
      <c r="G278" s="1"/>
      <c r="H278" s="15"/>
      <c r="I278" s="85"/>
      <c r="K278" s="36">
        <f t="shared" si="19"/>
        <v>0</v>
      </c>
    </row>
    <row r="279" spans="2:11" x14ac:dyDescent="0.2">
      <c r="B279" s="84"/>
      <c r="C279" s="1"/>
      <c r="D279" s="1"/>
      <c r="E279" s="1"/>
      <c r="F279" s="1"/>
      <c r="G279" s="1"/>
      <c r="H279" s="15"/>
      <c r="I279" s="85"/>
      <c r="K279" s="36">
        <f t="shared" si="19"/>
        <v>0</v>
      </c>
    </row>
    <row r="280" spans="2:11" x14ac:dyDescent="0.2">
      <c r="B280" s="84"/>
      <c r="C280" s="1"/>
      <c r="D280" s="1"/>
      <c r="E280" s="1"/>
      <c r="F280" s="1"/>
      <c r="G280" s="1"/>
      <c r="H280" s="15"/>
      <c r="I280" s="85"/>
      <c r="K280" s="36">
        <f t="shared" si="19"/>
        <v>0</v>
      </c>
    </row>
    <row r="281" spans="2:11" x14ac:dyDescent="0.2">
      <c r="B281" s="84"/>
      <c r="C281" s="1"/>
      <c r="D281" s="1"/>
      <c r="E281" s="1"/>
      <c r="F281" s="1"/>
      <c r="G281" s="1"/>
      <c r="H281" s="15"/>
      <c r="I281" s="85"/>
      <c r="K281" s="36">
        <f t="shared" si="19"/>
        <v>0</v>
      </c>
    </row>
    <row r="282" spans="2:11" x14ac:dyDescent="0.2">
      <c r="B282" s="150"/>
      <c r="C282" s="1"/>
      <c r="D282" s="1"/>
      <c r="E282" s="1"/>
      <c r="F282" s="1"/>
      <c r="G282" s="1"/>
      <c r="H282" s="15"/>
      <c r="I282" s="85"/>
      <c r="K282" s="36">
        <f>+I282-J282</f>
        <v>0</v>
      </c>
    </row>
    <row r="283" spans="2:11" x14ac:dyDescent="0.2">
      <c r="B283" s="150"/>
      <c r="C283" s="1"/>
      <c r="D283" s="1"/>
      <c r="E283" s="1"/>
      <c r="F283" s="1"/>
      <c r="G283" s="1"/>
      <c r="H283" s="15"/>
      <c r="I283" s="85"/>
      <c r="K283" s="36">
        <f>+I283-J283</f>
        <v>0</v>
      </c>
    </row>
    <row r="285" spans="2:11" ht="13.5" thickBot="1" x14ac:dyDescent="0.25">
      <c r="C285" s="36" t="s">
        <v>353</v>
      </c>
      <c r="I285" s="44">
        <f>SUM(I252:I284)</f>
        <v>0</v>
      </c>
      <c r="J285" s="44">
        <f>SUM(J252:J284)</f>
        <v>0</v>
      </c>
      <c r="K285" s="44">
        <f>SUM(K252:K284)</f>
        <v>0</v>
      </c>
    </row>
    <row r="286" spans="2:11" ht="13.5" thickTop="1" x14ac:dyDescent="0.2"/>
    <row r="288" spans="2:11" ht="14.25" x14ac:dyDescent="0.2">
      <c r="B288" s="149" t="s">
        <v>349</v>
      </c>
      <c r="I288" s="195">
        <v>0.2</v>
      </c>
      <c r="J288" s="36" t="s">
        <v>271</v>
      </c>
    </row>
    <row r="289" spans="2:11" x14ac:dyDescent="0.2">
      <c r="B289" s="146"/>
      <c r="I289" s="19"/>
      <c r="J289" s="19"/>
      <c r="K289" s="19"/>
    </row>
    <row r="290" spans="2:11" x14ac:dyDescent="0.2">
      <c r="B290" s="147" t="s">
        <v>26</v>
      </c>
      <c r="C290" s="61" t="s">
        <v>226</v>
      </c>
      <c r="D290" s="61"/>
      <c r="E290" s="87"/>
      <c r="F290" s="88"/>
      <c r="G290" s="87"/>
      <c r="H290" s="87"/>
      <c r="I290" s="21" t="s">
        <v>378</v>
      </c>
      <c r="J290" s="21" t="s">
        <v>602</v>
      </c>
      <c r="K290" s="21" t="s">
        <v>601</v>
      </c>
    </row>
    <row r="292" spans="2:11" x14ac:dyDescent="0.2">
      <c r="C292" s="200" t="str">
        <f>Criteria!E9</f>
        <v>HOLDING COMPANY 268 (PROPRIETARY) LIMITED</v>
      </c>
      <c r="K292" s="36">
        <f t="shared" ref="K292:K297" si="20">+I292-J292</f>
        <v>0</v>
      </c>
    </row>
    <row r="293" spans="2:11" x14ac:dyDescent="0.2">
      <c r="C293" s="161"/>
      <c r="K293" s="36">
        <f t="shared" si="20"/>
        <v>0</v>
      </c>
    </row>
    <row r="294" spans="2:11" x14ac:dyDescent="0.2">
      <c r="B294" s="49"/>
      <c r="C294" s="161"/>
      <c r="D294" s="1"/>
      <c r="E294" s="1"/>
      <c r="F294" s="1"/>
      <c r="G294" s="1"/>
      <c r="K294" s="36">
        <f t="shared" si="20"/>
        <v>0</v>
      </c>
    </row>
    <row r="295" spans="2:11" x14ac:dyDescent="0.2">
      <c r="B295" s="49"/>
      <c r="C295" s="161"/>
      <c r="D295" s="1"/>
      <c r="E295" s="1"/>
      <c r="F295" s="1"/>
      <c r="G295" s="1"/>
      <c r="K295" s="36">
        <f t="shared" si="20"/>
        <v>0</v>
      </c>
    </row>
    <row r="296" spans="2:11" x14ac:dyDescent="0.2">
      <c r="B296" s="49"/>
      <c r="C296" s="161"/>
      <c r="D296" s="1"/>
      <c r="E296" s="1"/>
      <c r="F296" s="1"/>
      <c r="G296" s="1"/>
      <c r="K296" s="36">
        <f t="shared" si="20"/>
        <v>0</v>
      </c>
    </row>
    <row r="297" spans="2:11" x14ac:dyDescent="0.2">
      <c r="B297" s="49"/>
      <c r="C297" s="161"/>
      <c r="D297" s="1"/>
      <c r="E297" s="1"/>
      <c r="F297" s="1"/>
      <c r="G297" s="1"/>
      <c r="K297" s="36">
        <f t="shared" si="20"/>
        <v>0</v>
      </c>
    </row>
    <row r="298" spans="2:11" x14ac:dyDescent="0.2">
      <c r="B298" s="49"/>
      <c r="C298" s="161"/>
      <c r="D298" s="27"/>
      <c r="E298" s="27"/>
      <c r="F298" s="27"/>
      <c r="G298" s="27"/>
      <c r="K298" s="36">
        <f t="shared" ref="K298:K299" si="21">+I298-J298</f>
        <v>0</v>
      </c>
    </row>
    <row r="299" spans="2:11" x14ac:dyDescent="0.2">
      <c r="B299" s="49"/>
      <c r="C299" s="161"/>
      <c r="D299" s="27"/>
      <c r="E299" s="27"/>
      <c r="F299" s="27"/>
      <c r="G299" s="27"/>
      <c r="K299" s="36">
        <f t="shared" si="21"/>
        <v>0</v>
      </c>
    </row>
    <row r="300" spans="2:11" ht="15" x14ac:dyDescent="0.25">
      <c r="B300" s="49"/>
      <c r="C300" s="161"/>
      <c r="D300" s="142"/>
      <c r="E300" s="142"/>
      <c r="F300" s="143"/>
      <c r="G300" s="142"/>
      <c r="K300" s="36">
        <f>+I300-J300</f>
        <v>0</v>
      </c>
    </row>
    <row r="301" spans="2:11" ht="15" x14ac:dyDescent="0.25">
      <c r="B301" s="152"/>
      <c r="D301" s="142"/>
      <c r="E301" s="142"/>
      <c r="F301" s="143"/>
      <c r="G301" s="142"/>
      <c r="K301" s="36">
        <f>+I301-J301</f>
        <v>0</v>
      </c>
    </row>
    <row r="302" spans="2:11" ht="15" x14ac:dyDescent="0.25">
      <c r="B302" s="152"/>
      <c r="D302" s="142"/>
      <c r="E302" s="142"/>
      <c r="F302" s="143"/>
      <c r="G302" s="142"/>
      <c r="K302" s="36">
        <f>+I302-J302</f>
        <v>0</v>
      </c>
    </row>
    <row r="303" spans="2:11" ht="15" x14ac:dyDescent="0.25">
      <c r="B303" s="152"/>
      <c r="D303" s="142"/>
      <c r="E303" s="142"/>
      <c r="F303" s="143"/>
      <c r="G303" s="142"/>
      <c r="K303" s="36">
        <f>+I303-J303</f>
        <v>0</v>
      </c>
    </row>
    <row r="304" spans="2:11" ht="15" x14ac:dyDescent="0.25">
      <c r="B304" s="152"/>
      <c r="D304" s="142"/>
      <c r="E304" s="142"/>
      <c r="F304" s="143"/>
      <c r="G304" s="142"/>
      <c r="K304" s="36">
        <f>+I304-J304</f>
        <v>0</v>
      </c>
    </row>
    <row r="305" spans="2:11" ht="15" x14ac:dyDescent="0.25">
      <c r="B305" s="152"/>
      <c r="D305" s="142"/>
      <c r="E305" s="142"/>
      <c r="F305" s="143"/>
      <c r="G305" s="142"/>
      <c r="K305" s="36">
        <f t="shared" ref="K305:K388" si="22">+I305-J305</f>
        <v>0</v>
      </c>
    </row>
    <row r="306" spans="2:11" ht="15" x14ac:dyDescent="0.25">
      <c r="B306" s="152"/>
      <c r="D306" s="142"/>
      <c r="E306" s="142"/>
      <c r="F306" s="143"/>
      <c r="G306" s="142"/>
      <c r="K306" s="36">
        <f t="shared" si="22"/>
        <v>0</v>
      </c>
    </row>
    <row r="307" spans="2:11" ht="15" x14ac:dyDescent="0.25">
      <c r="B307" s="152"/>
      <c r="D307" s="142"/>
      <c r="E307" s="142"/>
      <c r="F307" s="143"/>
      <c r="G307" s="142"/>
      <c r="K307" s="36">
        <f t="shared" si="22"/>
        <v>0</v>
      </c>
    </row>
    <row r="308" spans="2:11" ht="15" x14ac:dyDescent="0.25">
      <c r="B308" s="152"/>
      <c r="D308" s="142"/>
      <c r="E308" s="142"/>
      <c r="F308" s="143"/>
      <c r="G308" s="142"/>
      <c r="K308" s="36">
        <f t="shared" si="22"/>
        <v>0</v>
      </c>
    </row>
    <row r="309" spans="2:11" ht="15" x14ac:dyDescent="0.25">
      <c r="B309" s="152"/>
      <c r="D309" s="142"/>
      <c r="E309" s="142"/>
      <c r="F309" s="143"/>
      <c r="G309" s="142"/>
      <c r="K309" s="36">
        <f t="shared" si="22"/>
        <v>0</v>
      </c>
    </row>
    <row r="310" spans="2:11" ht="15" x14ac:dyDescent="0.25">
      <c r="B310" s="152"/>
      <c r="C310" s="161"/>
      <c r="D310" s="209"/>
      <c r="E310" s="142"/>
      <c r="F310" s="143"/>
      <c r="G310" s="142"/>
      <c r="K310" s="36">
        <f t="shared" si="22"/>
        <v>0</v>
      </c>
    </row>
    <row r="311" spans="2:11" ht="15" x14ac:dyDescent="0.25">
      <c r="C311" s="203"/>
      <c r="D311" s="204"/>
      <c r="E311" s="142"/>
      <c r="F311" s="143"/>
      <c r="G311" s="142"/>
      <c r="K311" s="36">
        <f t="shared" si="22"/>
        <v>0</v>
      </c>
    </row>
    <row r="312" spans="2:11" ht="15" x14ac:dyDescent="0.25">
      <c r="C312" s="205"/>
      <c r="D312" s="204"/>
      <c r="E312" s="142"/>
      <c r="F312" s="143"/>
      <c r="G312" s="142"/>
      <c r="K312" s="36">
        <f t="shared" si="22"/>
        <v>0</v>
      </c>
    </row>
    <row r="313" spans="2:11" ht="15" x14ac:dyDescent="0.25">
      <c r="B313" s="49"/>
      <c r="C313" s="1"/>
      <c r="D313" s="206"/>
      <c r="E313" s="142"/>
      <c r="F313" s="143"/>
      <c r="G313" s="142"/>
      <c r="K313" s="36">
        <f t="shared" si="22"/>
        <v>0</v>
      </c>
    </row>
    <row r="314" spans="2:11" ht="15" x14ac:dyDescent="0.25">
      <c r="B314" s="49"/>
      <c r="C314" s="1"/>
      <c r="D314" s="206"/>
      <c r="E314" s="142"/>
      <c r="F314" s="143"/>
      <c r="G314" s="142"/>
      <c r="K314" s="36">
        <f t="shared" ref="K314:K377" si="23">+I314-J314</f>
        <v>0</v>
      </c>
    </row>
    <row r="315" spans="2:11" ht="15" x14ac:dyDescent="0.25">
      <c r="B315" s="49"/>
      <c r="C315" s="200" t="str">
        <f>Criteria!E14</f>
        <v>SUBSIDIARY ONE 111 (PTY) LTD</v>
      </c>
      <c r="D315" s="206"/>
      <c r="E315" s="142"/>
      <c r="F315" s="143"/>
      <c r="G315" s="142"/>
      <c r="K315" s="36">
        <f t="shared" si="23"/>
        <v>0</v>
      </c>
    </row>
    <row r="316" spans="2:11" ht="15" x14ac:dyDescent="0.25">
      <c r="B316" s="49"/>
      <c r="C316" s="1"/>
      <c r="D316" s="206"/>
      <c r="E316" s="142"/>
      <c r="F316" s="143"/>
      <c r="G316" s="142"/>
      <c r="K316" s="36">
        <f t="shared" si="23"/>
        <v>0</v>
      </c>
    </row>
    <row r="317" spans="2:11" ht="15" x14ac:dyDescent="0.25">
      <c r="B317" s="49"/>
      <c r="C317" s="1"/>
      <c r="D317" s="207"/>
      <c r="E317" s="142"/>
      <c r="F317" s="143"/>
      <c r="G317" s="142"/>
      <c r="K317" s="36">
        <f t="shared" si="23"/>
        <v>0</v>
      </c>
    </row>
    <row r="318" spans="2:11" ht="15" x14ac:dyDescent="0.25">
      <c r="B318" s="49"/>
      <c r="C318" s="1"/>
      <c r="D318" s="207"/>
      <c r="E318" s="142"/>
      <c r="F318" s="143"/>
      <c r="G318" s="142"/>
      <c r="K318" s="36">
        <f t="shared" si="23"/>
        <v>0</v>
      </c>
    </row>
    <row r="319" spans="2:11" ht="15" x14ac:dyDescent="0.25">
      <c r="B319" s="49"/>
      <c r="C319" s="1"/>
      <c r="D319" s="208"/>
      <c r="E319" s="142"/>
      <c r="F319" s="143"/>
      <c r="G319" s="142"/>
      <c r="K319" s="36">
        <f t="shared" si="23"/>
        <v>0</v>
      </c>
    </row>
    <row r="320" spans="2:11" ht="15" x14ac:dyDescent="0.25">
      <c r="B320" s="152"/>
      <c r="C320" s="205"/>
      <c r="D320" s="208"/>
      <c r="E320" s="142"/>
      <c r="F320" s="143"/>
      <c r="G320" s="142"/>
      <c r="K320" s="36">
        <f t="shared" si="23"/>
        <v>0</v>
      </c>
    </row>
    <row r="321" spans="2:11" ht="15" x14ac:dyDescent="0.25">
      <c r="B321" s="152"/>
      <c r="C321" s="142"/>
      <c r="D321" s="142"/>
      <c r="E321" s="142"/>
      <c r="F321" s="143"/>
      <c r="G321" s="142"/>
      <c r="K321" s="36">
        <f t="shared" si="23"/>
        <v>0</v>
      </c>
    </row>
    <row r="322" spans="2:11" ht="15" x14ac:dyDescent="0.25">
      <c r="B322" s="152"/>
      <c r="C322" s="142"/>
      <c r="D322" s="142"/>
      <c r="E322" s="142"/>
      <c r="F322" s="143"/>
      <c r="G322" s="142"/>
      <c r="K322" s="36">
        <f t="shared" si="23"/>
        <v>0</v>
      </c>
    </row>
    <row r="323" spans="2:11" ht="15" x14ac:dyDescent="0.25">
      <c r="B323" s="152"/>
      <c r="C323" s="142"/>
      <c r="D323" s="142"/>
      <c r="E323" s="142"/>
      <c r="F323" s="143"/>
      <c r="G323" s="142"/>
      <c r="K323" s="36">
        <f t="shared" si="23"/>
        <v>0</v>
      </c>
    </row>
    <row r="324" spans="2:11" ht="15" x14ac:dyDescent="0.25">
      <c r="B324" s="152"/>
      <c r="C324" s="142"/>
      <c r="D324" s="142"/>
      <c r="E324" s="142"/>
      <c r="F324" s="143"/>
      <c r="G324" s="142"/>
      <c r="K324" s="36">
        <f t="shared" si="23"/>
        <v>0</v>
      </c>
    </row>
    <row r="325" spans="2:11" ht="15" x14ac:dyDescent="0.25">
      <c r="B325" s="152"/>
      <c r="C325" s="142"/>
      <c r="D325" s="142"/>
      <c r="E325" s="142"/>
      <c r="F325" s="143"/>
      <c r="G325" s="142"/>
      <c r="K325" s="36">
        <f t="shared" si="23"/>
        <v>0</v>
      </c>
    </row>
    <row r="326" spans="2:11" ht="15" x14ac:dyDescent="0.25">
      <c r="B326" s="152"/>
      <c r="C326" s="142"/>
      <c r="D326" s="142"/>
      <c r="E326" s="142"/>
      <c r="F326" s="143"/>
      <c r="G326" s="142"/>
      <c r="K326" s="36">
        <f t="shared" si="23"/>
        <v>0</v>
      </c>
    </row>
    <row r="327" spans="2:11" ht="15" x14ac:dyDescent="0.25">
      <c r="B327" s="152"/>
      <c r="C327" s="142"/>
      <c r="D327" s="142"/>
      <c r="E327" s="142"/>
      <c r="F327" s="143"/>
      <c r="G327" s="142"/>
      <c r="K327" s="36">
        <f t="shared" si="23"/>
        <v>0</v>
      </c>
    </row>
    <row r="328" spans="2:11" ht="15" x14ac:dyDescent="0.25">
      <c r="B328" s="152"/>
      <c r="C328" s="142"/>
      <c r="D328" s="142"/>
      <c r="E328" s="142"/>
      <c r="F328" s="143"/>
      <c r="G328" s="142"/>
      <c r="K328" s="36">
        <f t="shared" si="23"/>
        <v>0</v>
      </c>
    </row>
    <row r="329" spans="2:11" ht="15" x14ac:dyDescent="0.25">
      <c r="B329" s="152"/>
      <c r="C329" s="142"/>
      <c r="D329" s="142"/>
      <c r="E329" s="142"/>
      <c r="F329" s="143"/>
      <c r="G329" s="142"/>
      <c r="K329" s="36">
        <f t="shared" si="23"/>
        <v>0</v>
      </c>
    </row>
    <row r="330" spans="2:11" ht="15" x14ac:dyDescent="0.25">
      <c r="B330" s="152"/>
      <c r="C330" s="142"/>
      <c r="D330" s="142"/>
      <c r="E330" s="142"/>
      <c r="F330" s="143"/>
      <c r="G330" s="142"/>
      <c r="K330" s="36">
        <f t="shared" si="23"/>
        <v>0</v>
      </c>
    </row>
    <row r="331" spans="2:11" ht="15" x14ac:dyDescent="0.25">
      <c r="B331" s="152"/>
      <c r="C331" s="142"/>
      <c r="D331" s="142"/>
      <c r="E331" s="142"/>
      <c r="F331" s="143"/>
      <c r="G331" s="142"/>
      <c r="K331" s="36">
        <f t="shared" si="23"/>
        <v>0</v>
      </c>
    </row>
    <row r="332" spans="2:11" ht="15" x14ac:dyDescent="0.25">
      <c r="B332" s="152"/>
      <c r="C332" s="142"/>
      <c r="D332" s="142"/>
      <c r="E332" s="142"/>
      <c r="F332" s="143"/>
      <c r="G332" s="142"/>
      <c r="K332" s="36">
        <f t="shared" si="23"/>
        <v>0</v>
      </c>
    </row>
    <row r="333" spans="2:11" ht="15" x14ac:dyDescent="0.25">
      <c r="B333" s="152"/>
      <c r="C333" s="142"/>
      <c r="D333" s="142"/>
      <c r="E333" s="142"/>
      <c r="F333" s="143"/>
      <c r="G333" s="142"/>
      <c r="K333" s="36">
        <f t="shared" si="23"/>
        <v>0</v>
      </c>
    </row>
    <row r="334" spans="2:11" ht="15" x14ac:dyDescent="0.25">
      <c r="B334" s="152"/>
      <c r="C334" s="142"/>
      <c r="D334" s="142"/>
      <c r="E334" s="142"/>
      <c r="F334" s="143"/>
      <c r="G334" s="142"/>
      <c r="K334" s="36">
        <f t="shared" si="23"/>
        <v>0</v>
      </c>
    </row>
    <row r="335" spans="2:11" ht="15" x14ac:dyDescent="0.25">
      <c r="B335" s="152"/>
      <c r="C335" s="142"/>
      <c r="D335" s="142"/>
      <c r="E335" s="142"/>
      <c r="F335" s="143"/>
      <c r="G335" s="142"/>
      <c r="K335" s="36">
        <f t="shared" si="23"/>
        <v>0</v>
      </c>
    </row>
    <row r="336" spans="2:11" ht="15" x14ac:dyDescent="0.25">
      <c r="B336" s="152"/>
      <c r="C336" s="142"/>
      <c r="D336" s="142"/>
      <c r="E336" s="142"/>
      <c r="F336" s="143"/>
      <c r="G336" s="142"/>
      <c r="K336" s="36">
        <f t="shared" si="23"/>
        <v>0</v>
      </c>
    </row>
    <row r="337" spans="2:11" ht="15" x14ac:dyDescent="0.25">
      <c r="B337" s="152"/>
      <c r="D337" s="142"/>
      <c r="E337" s="142"/>
      <c r="F337" s="143"/>
      <c r="G337" s="142"/>
      <c r="K337" s="36">
        <f t="shared" si="23"/>
        <v>0</v>
      </c>
    </row>
    <row r="338" spans="2:11" ht="15" x14ac:dyDescent="0.25">
      <c r="B338" s="152"/>
      <c r="C338" s="142"/>
      <c r="D338" s="142"/>
      <c r="E338" s="142"/>
      <c r="F338" s="143"/>
      <c r="G338" s="142"/>
      <c r="K338" s="36">
        <f t="shared" si="23"/>
        <v>0</v>
      </c>
    </row>
    <row r="339" spans="2:11" ht="15" x14ac:dyDescent="0.25">
      <c r="B339" s="152"/>
      <c r="C339" s="142"/>
      <c r="D339" s="142"/>
      <c r="E339" s="142"/>
      <c r="F339" s="143"/>
      <c r="G339" s="142"/>
      <c r="K339" s="36">
        <f t="shared" si="23"/>
        <v>0</v>
      </c>
    </row>
    <row r="340" spans="2:11" ht="15" x14ac:dyDescent="0.25">
      <c r="B340" s="152"/>
      <c r="C340" s="142"/>
      <c r="D340" s="142"/>
      <c r="E340" s="142"/>
      <c r="F340" s="143"/>
      <c r="G340" s="142"/>
      <c r="K340" s="36">
        <f t="shared" si="23"/>
        <v>0</v>
      </c>
    </row>
    <row r="341" spans="2:11" ht="15" x14ac:dyDescent="0.25">
      <c r="B341" s="152"/>
      <c r="C341" s="142"/>
      <c r="D341" s="142"/>
      <c r="E341" s="142"/>
      <c r="F341" s="143"/>
      <c r="G341" s="142"/>
      <c r="K341" s="36">
        <f t="shared" si="23"/>
        <v>0</v>
      </c>
    </row>
    <row r="342" spans="2:11" ht="15" x14ac:dyDescent="0.25">
      <c r="B342" s="152"/>
      <c r="C342" s="142"/>
      <c r="D342" s="142"/>
      <c r="E342" s="142"/>
      <c r="F342" s="143"/>
      <c r="G342" s="142"/>
      <c r="K342" s="36">
        <f t="shared" si="23"/>
        <v>0</v>
      </c>
    </row>
    <row r="343" spans="2:11" ht="15" x14ac:dyDescent="0.25">
      <c r="B343" s="152"/>
      <c r="C343" s="142"/>
      <c r="D343" s="142"/>
      <c r="E343" s="142"/>
      <c r="F343" s="143"/>
      <c r="G343" s="142"/>
      <c r="K343" s="36">
        <f t="shared" si="23"/>
        <v>0</v>
      </c>
    </row>
    <row r="344" spans="2:11" ht="15" x14ac:dyDescent="0.25">
      <c r="B344" s="152"/>
      <c r="C344" s="142"/>
      <c r="D344" s="142"/>
      <c r="E344" s="142"/>
      <c r="F344" s="143"/>
      <c r="G344" s="142"/>
      <c r="K344" s="36">
        <f t="shared" si="23"/>
        <v>0</v>
      </c>
    </row>
    <row r="345" spans="2:11" ht="15" x14ac:dyDescent="0.25">
      <c r="B345" s="152"/>
      <c r="C345" s="142"/>
      <c r="D345" s="142"/>
      <c r="E345" s="142"/>
      <c r="F345" s="143"/>
      <c r="G345" s="142"/>
      <c r="K345" s="36">
        <f t="shared" si="23"/>
        <v>0</v>
      </c>
    </row>
    <row r="346" spans="2:11" ht="15" x14ac:dyDescent="0.25">
      <c r="B346" s="152"/>
      <c r="C346" s="200" t="str">
        <f>Criteria!E15</f>
        <v>SUBSIDIARY TWO 15 (PTY) LTD</v>
      </c>
      <c r="D346" s="142"/>
      <c r="E346" s="142"/>
      <c r="F346" s="143"/>
      <c r="G346" s="142"/>
      <c r="K346" s="36">
        <f t="shared" si="23"/>
        <v>0</v>
      </c>
    </row>
    <row r="347" spans="2:11" ht="15" x14ac:dyDescent="0.25">
      <c r="B347" s="152"/>
      <c r="C347" s="142"/>
      <c r="D347" s="142"/>
      <c r="E347" s="142"/>
      <c r="F347" s="143"/>
      <c r="G347" s="142"/>
      <c r="K347" s="36">
        <f t="shared" si="23"/>
        <v>0</v>
      </c>
    </row>
    <row r="348" spans="2:11" ht="15" x14ac:dyDescent="0.25">
      <c r="B348" s="152"/>
      <c r="C348" s="142"/>
      <c r="D348" s="142"/>
      <c r="E348" s="142"/>
      <c r="F348" s="143"/>
      <c r="G348" s="142"/>
      <c r="K348" s="36">
        <f t="shared" si="23"/>
        <v>0</v>
      </c>
    </row>
    <row r="349" spans="2:11" ht="15" x14ac:dyDescent="0.25">
      <c r="B349" s="152"/>
      <c r="C349" s="142"/>
      <c r="D349" s="142"/>
      <c r="E349" s="142"/>
      <c r="F349" s="143"/>
      <c r="G349" s="142"/>
      <c r="K349" s="36">
        <f t="shared" si="23"/>
        <v>0</v>
      </c>
    </row>
    <row r="350" spans="2:11" ht="15" x14ac:dyDescent="0.25">
      <c r="B350" s="152"/>
      <c r="C350" s="142"/>
      <c r="D350" s="142"/>
      <c r="E350" s="142"/>
      <c r="F350" s="143"/>
      <c r="G350" s="142"/>
      <c r="K350" s="36">
        <f t="shared" si="23"/>
        <v>0</v>
      </c>
    </row>
    <row r="351" spans="2:11" ht="15" x14ac:dyDescent="0.25">
      <c r="B351" s="152"/>
      <c r="C351" s="142"/>
      <c r="D351" s="142"/>
      <c r="E351" s="142"/>
      <c r="F351" s="143"/>
      <c r="G351" s="142"/>
      <c r="K351" s="36">
        <f t="shared" si="23"/>
        <v>0</v>
      </c>
    </row>
    <row r="352" spans="2:11" ht="15" x14ac:dyDescent="0.25">
      <c r="B352" s="152"/>
      <c r="C352" s="142"/>
      <c r="D352" s="142"/>
      <c r="E352" s="142"/>
      <c r="F352" s="143"/>
      <c r="G352" s="142"/>
      <c r="K352" s="36">
        <f t="shared" si="23"/>
        <v>0</v>
      </c>
    </row>
    <row r="353" spans="2:11" ht="15" x14ac:dyDescent="0.25">
      <c r="B353" s="152"/>
      <c r="C353" s="142"/>
      <c r="D353" s="142"/>
      <c r="E353" s="142"/>
      <c r="F353" s="143"/>
      <c r="G353" s="142"/>
      <c r="K353" s="36">
        <f t="shared" si="23"/>
        <v>0</v>
      </c>
    </row>
    <row r="354" spans="2:11" ht="15" x14ac:dyDescent="0.25">
      <c r="B354" s="152"/>
      <c r="C354" s="142"/>
      <c r="D354" s="142"/>
      <c r="E354" s="142"/>
      <c r="F354" s="143"/>
      <c r="G354" s="142"/>
      <c r="K354" s="36">
        <f t="shared" si="23"/>
        <v>0</v>
      </c>
    </row>
    <row r="355" spans="2:11" ht="15" x14ac:dyDescent="0.25">
      <c r="B355" s="152"/>
      <c r="C355" s="142"/>
      <c r="D355" s="142"/>
      <c r="E355" s="142"/>
      <c r="F355" s="143"/>
      <c r="G355" s="142"/>
      <c r="K355" s="36">
        <f t="shared" si="23"/>
        <v>0</v>
      </c>
    </row>
    <row r="356" spans="2:11" ht="15" x14ac:dyDescent="0.25">
      <c r="B356" s="152"/>
      <c r="C356" s="142"/>
      <c r="D356" s="142"/>
      <c r="E356" s="142"/>
      <c r="F356" s="143"/>
      <c r="G356" s="142"/>
      <c r="K356" s="36">
        <f t="shared" si="23"/>
        <v>0</v>
      </c>
    </row>
    <row r="357" spans="2:11" ht="15" x14ac:dyDescent="0.25">
      <c r="B357" s="152"/>
      <c r="C357" s="142"/>
      <c r="D357" s="142"/>
      <c r="E357" s="142"/>
      <c r="F357" s="143"/>
      <c r="G357" s="142"/>
      <c r="K357" s="36">
        <f t="shared" si="23"/>
        <v>0</v>
      </c>
    </row>
    <row r="358" spans="2:11" ht="15" x14ac:dyDescent="0.25">
      <c r="B358" s="152"/>
      <c r="C358" s="142"/>
      <c r="D358" s="142"/>
      <c r="E358" s="142"/>
      <c r="F358" s="143"/>
      <c r="G358" s="142"/>
      <c r="K358" s="36">
        <f t="shared" si="23"/>
        <v>0</v>
      </c>
    </row>
    <row r="359" spans="2:11" ht="15" x14ac:dyDescent="0.25">
      <c r="B359" s="152"/>
      <c r="C359" s="142"/>
      <c r="D359" s="142"/>
      <c r="E359" s="142"/>
      <c r="F359" s="143"/>
      <c r="G359" s="142"/>
      <c r="K359" s="36">
        <f t="shared" si="23"/>
        <v>0</v>
      </c>
    </row>
    <row r="360" spans="2:11" ht="15" x14ac:dyDescent="0.25">
      <c r="B360" s="152"/>
      <c r="D360" s="142"/>
      <c r="E360" s="142"/>
      <c r="F360" s="143"/>
      <c r="G360" s="142"/>
      <c r="K360" s="36">
        <f t="shared" si="23"/>
        <v>0</v>
      </c>
    </row>
    <row r="361" spans="2:11" ht="15" x14ac:dyDescent="0.25">
      <c r="B361" s="152"/>
      <c r="C361" s="142"/>
      <c r="D361" s="142"/>
      <c r="E361" s="142"/>
      <c r="F361" s="143"/>
      <c r="G361" s="142"/>
      <c r="K361" s="36">
        <f t="shared" si="23"/>
        <v>0</v>
      </c>
    </row>
    <row r="362" spans="2:11" ht="15" x14ac:dyDescent="0.25">
      <c r="B362" s="152"/>
      <c r="C362" s="142"/>
      <c r="D362" s="142"/>
      <c r="E362" s="142"/>
      <c r="F362" s="143"/>
      <c r="G362" s="142"/>
      <c r="K362" s="36">
        <f t="shared" si="23"/>
        <v>0</v>
      </c>
    </row>
    <row r="363" spans="2:11" ht="15" x14ac:dyDescent="0.25">
      <c r="B363" s="152"/>
      <c r="C363" s="142"/>
      <c r="D363" s="142"/>
      <c r="E363" s="142"/>
      <c r="F363" s="143"/>
      <c r="G363" s="142"/>
      <c r="K363" s="36">
        <f t="shared" si="23"/>
        <v>0</v>
      </c>
    </row>
    <row r="364" spans="2:11" ht="15" x14ac:dyDescent="0.25">
      <c r="B364" s="152"/>
      <c r="C364" s="142"/>
      <c r="D364" s="142"/>
      <c r="E364" s="142"/>
      <c r="F364" s="143"/>
      <c r="G364" s="142"/>
      <c r="K364" s="36">
        <f t="shared" si="23"/>
        <v>0</v>
      </c>
    </row>
    <row r="365" spans="2:11" ht="15" x14ac:dyDescent="0.25">
      <c r="B365" s="152"/>
      <c r="C365" s="142"/>
      <c r="D365" s="142"/>
      <c r="E365" s="142"/>
      <c r="F365" s="143"/>
      <c r="G365" s="142"/>
      <c r="K365" s="36">
        <f t="shared" si="23"/>
        <v>0</v>
      </c>
    </row>
    <row r="366" spans="2:11" ht="15" x14ac:dyDescent="0.25">
      <c r="B366" s="152"/>
      <c r="C366" s="142"/>
      <c r="D366" s="142"/>
      <c r="E366" s="142"/>
      <c r="F366" s="143"/>
      <c r="G366" s="142"/>
      <c r="K366" s="36">
        <f t="shared" si="23"/>
        <v>0</v>
      </c>
    </row>
    <row r="367" spans="2:11" ht="15" x14ac:dyDescent="0.25">
      <c r="B367" s="152"/>
      <c r="C367" s="142"/>
      <c r="D367" s="142"/>
      <c r="E367" s="142"/>
      <c r="F367" s="143"/>
      <c r="G367" s="142"/>
      <c r="K367" s="36">
        <f t="shared" si="23"/>
        <v>0</v>
      </c>
    </row>
    <row r="368" spans="2:11" ht="15" x14ac:dyDescent="0.25">
      <c r="B368" s="152"/>
      <c r="C368" s="142"/>
      <c r="D368" s="142"/>
      <c r="E368" s="142"/>
      <c r="F368" s="143"/>
      <c r="G368" s="142"/>
      <c r="K368" s="36">
        <f t="shared" si="23"/>
        <v>0</v>
      </c>
    </row>
    <row r="369" spans="2:11" ht="15" x14ac:dyDescent="0.25">
      <c r="B369" s="152"/>
      <c r="C369" s="142"/>
      <c r="D369" s="142"/>
      <c r="E369" s="142"/>
      <c r="F369" s="143"/>
      <c r="G369" s="142"/>
      <c r="K369" s="36">
        <f t="shared" si="23"/>
        <v>0</v>
      </c>
    </row>
    <row r="370" spans="2:11" ht="15" x14ac:dyDescent="0.25">
      <c r="B370" s="152"/>
      <c r="C370" s="142"/>
      <c r="D370" s="142"/>
      <c r="E370" s="142"/>
      <c r="F370" s="143"/>
      <c r="G370" s="142"/>
      <c r="K370" s="36">
        <f t="shared" si="23"/>
        <v>0</v>
      </c>
    </row>
    <row r="371" spans="2:11" ht="15" x14ac:dyDescent="0.25">
      <c r="B371" s="152"/>
      <c r="C371" s="142"/>
      <c r="D371" s="142"/>
      <c r="E371" s="142"/>
      <c r="F371" s="143"/>
      <c r="G371" s="142"/>
      <c r="K371" s="36">
        <f t="shared" si="23"/>
        <v>0</v>
      </c>
    </row>
    <row r="372" spans="2:11" ht="15" x14ac:dyDescent="0.25">
      <c r="B372" s="152"/>
      <c r="C372" s="200">
        <f>Criteria!E16</f>
        <v>0</v>
      </c>
      <c r="D372" s="142"/>
      <c r="E372" s="142"/>
      <c r="F372" s="143"/>
      <c r="G372" s="142"/>
      <c r="K372" s="36">
        <f t="shared" si="23"/>
        <v>0</v>
      </c>
    </row>
    <row r="373" spans="2:11" ht="15" x14ac:dyDescent="0.25">
      <c r="B373" s="152"/>
      <c r="C373" s="142"/>
      <c r="D373" s="142"/>
      <c r="E373" s="142"/>
      <c r="F373" s="143"/>
      <c r="G373" s="142"/>
      <c r="K373" s="36">
        <f t="shared" si="23"/>
        <v>0</v>
      </c>
    </row>
    <row r="374" spans="2:11" ht="15" x14ac:dyDescent="0.25">
      <c r="B374" s="152"/>
      <c r="C374" s="142"/>
      <c r="D374" s="142"/>
      <c r="E374" s="142"/>
      <c r="F374" s="143"/>
      <c r="G374" s="142"/>
      <c r="K374" s="36">
        <f t="shared" si="23"/>
        <v>0</v>
      </c>
    </row>
    <row r="375" spans="2:11" ht="15" x14ac:dyDescent="0.25">
      <c r="B375" s="152"/>
      <c r="C375" s="142"/>
      <c r="D375" s="142"/>
      <c r="E375" s="142"/>
      <c r="F375" s="143"/>
      <c r="G375" s="142"/>
      <c r="K375" s="36">
        <f t="shared" si="23"/>
        <v>0</v>
      </c>
    </row>
    <row r="376" spans="2:11" ht="15" x14ac:dyDescent="0.25">
      <c r="B376" s="152"/>
      <c r="C376" s="142"/>
      <c r="D376" s="142"/>
      <c r="E376" s="142"/>
      <c r="F376" s="143"/>
      <c r="G376" s="142"/>
      <c r="K376" s="36">
        <f t="shared" si="23"/>
        <v>0</v>
      </c>
    </row>
    <row r="377" spans="2:11" ht="15" x14ac:dyDescent="0.25">
      <c r="B377" s="152"/>
      <c r="C377" s="142"/>
      <c r="D377" s="142"/>
      <c r="E377" s="142"/>
      <c r="F377" s="143"/>
      <c r="G377" s="142"/>
      <c r="K377" s="36">
        <f t="shared" si="23"/>
        <v>0</v>
      </c>
    </row>
    <row r="378" spans="2:11" ht="15" x14ac:dyDescent="0.25">
      <c r="B378" s="152"/>
      <c r="C378" s="142"/>
      <c r="D378" s="142"/>
      <c r="E378" s="142"/>
      <c r="F378" s="143"/>
      <c r="G378" s="142"/>
      <c r="K378" s="36">
        <f t="shared" ref="K378:K386" si="24">+I378-J378</f>
        <v>0</v>
      </c>
    </row>
    <row r="379" spans="2:11" ht="15" x14ac:dyDescent="0.25">
      <c r="B379" s="152"/>
      <c r="C379" s="142"/>
      <c r="D379" s="142"/>
      <c r="E379" s="142"/>
      <c r="F379" s="143"/>
      <c r="G379" s="142"/>
      <c r="K379" s="36">
        <f t="shared" si="24"/>
        <v>0</v>
      </c>
    </row>
    <row r="380" spans="2:11" ht="15" x14ac:dyDescent="0.25">
      <c r="B380" s="152"/>
      <c r="C380" s="142"/>
      <c r="D380" s="142"/>
      <c r="E380" s="142"/>
      <c r="F380" s="143"/>
      <c r="G380" s="142"/>
      <c r="K380" s="36">
        <f t="shared" si="24"/>
        <v>0</v>
      </c>
    </row>
    <row r="381" spans="2:11" ht="15" x14ac:dyDescent="0.25">
      <c r="B381" s="152"/>
      <c r="C381" s="142"/>
      <c r="D381" s="142"/>
      <c r="E381" s="142"/>
      <c r="F381" s="143"/>
      <c r="G381" s="142"/>
      <c r="K381" s="36">
        <f t="shared" si="24"/>
        <v>0</v>
      </c>
    </row>
    <row r="382" spans="2:11" ht="15" x14ac:dyDescent="0.25">
      <c r="B382" s="152"/>
      <c r="C382" s="142"/>
      <c r="D382" s="142"/>
      <c r="E382" s="142"/>
      <c r="F382" s="143"/>
      <c r="G382" s="142"/>
      <c r="K382" s="36">
        <f t="shared" si="24"/>
        <v>0</v>
      </c>
    </row>
    <row r="383" spans="2:11" ht="15" x14ac:dyDescent="0.25">
      <c r="B383" s="152"/>
      <c r="C383" s="142"/>
      <c r="D383" s="142"/>
      <c r="E383" s="142"/>
      <c r="F383" s="143"/>
      <c r="G383" s="142"/>
      <c r="K383" s="36">
        <f t="shared" si="24"/>
        <v>0</v>
      </c>
    </row>
    <row r="384" spans="2:11" ht="15" x14ac:dyDescent="0.25">
      <c r="B384" s="152"/>
      <c r="C384" s="142"/>
      <c r="D384" s="142"/>
      <c r="E384" s="142"/>
      <c r="F384" s="143"/>
      <c r="G384" s="142"/>
      <c r="K384" s="36">
        <f t="shared" si="24"/>
        <v>0</v>
      </c>
    </row>
    <row r="385" spans="2:11" ht="15" x14ac:dyDescent="0.25">
      <c r="B385" s="152"/>
      <c r="C385" s="142"/>
      <c r="D385" s="142"/>
      <c r="E385" s="142"/>
      <c r="F385" s="143"/>
      <c r="G385" s="142"/>
      <c r="K385" s="36">
        <f t="shared" si="24"/>
        <v>0</v>
      </c>
    </row>
    <row r="386" spans="2:11" ht="15" x14ac:dyDescent="0.25">
      <c r="B386" s="152"/>
      <c r="C386" s="142"/>
      <c r="D386" s="142"/>
      <c r="E386" s="142"/>
      <c r="F386" s="143"/>
      <c r="G386" s="142"/>
      <c r="K386" s="36">
        <f t="shared" si="24"/>
        <v>0</v>
      </c>
    </row>
    <row r="387" spans="2:11" ht="15" x14ac:dyDescent="0.25">
      <c r="B387" s="152"/>
      <c r="C387" s="142"/>
      <c r="D387" s="142"/>
      <c r="E387" s="142"/>
      <c r="F387" s="143"/>
      <c r="G387" s="142"/>
      <c r="K387" s="36">
        <f t="shared" si="22"/>
        <v>0</v>
      </c>
    </row>
    <row r="388" spans="2:11" ht="15" x14ac:dyDescent="0.25">
      <c r="B388" s="152"/>
      <c r="C388" s="142"/>
      <c r="D388" s="142"/>
      <c r="E388" s="142"/>
      <c r="F388" s="143"/>
      <c r="G388" s="142"/>
      <c r="K388" s="36">
        <f t="shared" si="22"/>
        <v>0</v>
      </c>
    </row>
    <row r="390" spans="2:11" ht="13.5" thickBot="1" x14ac:dyDescent="0.25">
      <c r="C390" s="36" t="s">
        <v>353</v>
      </c>
      <c r="I390" s="44">
        <f>SUM(I291:I389)</f>
        <v>0</v>
      </c>
      <c r="J390" s="44">
        <f t="shared" ref="J390:K390" si="25">SUM(J291:J389)</f>
        <v>0</v>
      </c>
      <c r="K390" s="44">
        <f t="shared" si="25"/>
        <v>0</v>
      </c>
    </row>
    <row r="391" spans="2:11" ht="13.5" thickTop="1" x14ac:dyDescent="0.2"/>
    <row r="393" spans="2:11" ht="13.5" thickBot="1" x14ac:dyDescent="0.25">
      <c r="C393" s="57" t="s">
        <v>337</v>
      </c>
      <c r="D393" s="57"/>
      <c r="E393" s="57"/>
      <c r="F393" s="57"/>
      <c r="G393" s="57"/>
      <c r="I393" s="44">
        <f>SUM(I52+I81+I169+I212+I246+I285+I390)</f>
        <v>0</v>
      </c>
      <c r="J393" s="44">
        <f>SUM(J52+J81+J169+J212+J246+J285+J390)</f>
        <v>0</v>
      </c>
      <c r="K393" s="44">
        <f>SUM(K52+K81+K169+K212+K246+K285+K390)</f>
        <v>0</v>
      </c>
    </row>
    <row r="394" spans="2:11" ht="13.5" thickTop="1" x14ac:dyDescent="0.2">
      <c r="C394" s="57"/>
      <c r="D394" s="57"/>
      <c r="E394" s="57"/>
      <c r="F394" s="57"/>
      <c r="G394" s="57"/>
      <c r="I394" s="36">
        <f>I393-I17</f>
        <v>0</v>
      </c>
      <c r="J394" s="36">
        <f>J393-J17</f>
        <v>0</v>
      </c>
      <c r="K394" s="36">
        <f>K393-K17</f>
        <v>0</v>
      </c>
    </row>
  </sheetData>
  <mergeCells count="1">
    <mergeCell ref="I8:K8"/>
  </mergeCells>
  <phoneticPr fontId="0" type="noConversion"/>
  <hyperlinks>
    <hyperlink ref="C4" location="TrialBalance!A1" display="FIXED ASSETS" xr:uid="{22E4EF01-96B7-4DE9-B0C0-29C12C12E6B2}"/>
  </hyperlinks>
  <pageMargins left="0" right="0" top="0" bottom="0.75" header="0.3" footer="0.3"/>
  <pageSetup paperSize="9" scale="42"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531"/>
  <sheetViews>
    <sheetView zoomScale="87" zoomScaleNormal="87" workbookViewId="0">
      <selection activeCell="G19" sqref="G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07"/>
  </cols>
  <sheetData>
    <row r="2" spans="3:8" ht="52.5" customHeight="1" x14ac:dyDescent="0.25">
      <c r="C2" s="106" t="str">
        <f>Criteria!E9</f>
        <v>HOLDING COMPANY 268 (PROPRIETARY) LIMITED</v>
      </c>
      <c r="D2" s="156"/>
      <c r="E2" s="156"/>
      <c r="G2" s="105" t="s">
        <v>81</v>
      </c>
      <c r="H2" s="105"/>
    </row>
    <row r="3" spans="3:8" x14ac:dyDescent="0.25">
      <c r="C3" s="3" t="s">
        <v>80</v>
      </c>
      <c r="D3" s="3"/>
      <c r="E3" s="3" t="str">
        <f>Criteria!E20</f>
        <v>29 FEBRUARY 2024</v>
      </c>
    </row>
    <row r="4" spans="3:8" ht="52.5" customHeight="1" x14ac:dyDescent="0.25">
      <c r="C4" s="137" t="s">
        <v>130</v>
      </c>
      <c r="G4" s="105" t="s">
        <v>82</v>
      </c>
      <c r="H4" s="105"/>
    </row>
    <row r="5" spans="3:8" ht="15.75" customHeight="1" x14ac:dyDescent="0.25">
      <c r="G5" s="25"/>
      <c r="H5" s="25"/>
    </row>
    <row r="6" spans="3:8" s="2" customFormat="1" x14ac:dyDescent="0.25">
      <c r="G6" s="5">
        <f>Criteria!E22</f>
        <v>2024</v>
      </c>
      <c r="H6" s="5">
        <f>Criteria!E27</f>
        <v>2023</v>
      </c>
    </row>
    <row r="8" spans="3:8" s="2" customFormat="1" x14ac:dyDescent="0.25">
      <c r="C8" s="28">
        <f>TrialBalance!C185</f>
        <v>0</v>
      </c>
      <c r="G8" s="101">
        <f>-TrialBalance!L185</f>
        <v>0</v>
      </c>
      <c r="H8" s="101">
        <f>-TrialBalance!N185</f>
        <v>0</v>
      </c>
    </row>
    <row r="9" spans="3:8" s="2" customFormat="1" x14ac:dyDescent="0.25">
      <c r="C9" s="28">
        <f>TrialBalance!C186</f>
        <v>0</v>
      </c>
      <c r="G9" s="101">
        <f>-TrialBalance!L186</f>
        <v>0</v>
      </c>
      <c r="H9" s="101">
        <f>-TrialBalance!N186</f>
        <v>0</v>
      </c>
    </row>
    <row r="10" spans="3:8" s="2" customFormat="1" x14ac:dyDescent="0.25">
      <c r="C10" s="28">
        <f>TrialBalance!C187</f>
        <v>0</v>
      </c>
      <c r="G10" s="101">
        <f>-TrialBalance!L187</f>
        <v>0</v>
      </c>
      <c r="H10" s="101">
        <f>-TrialBalance!N187</f>
        <v>0</v>
      </c>
    </row>
    <row r="11" spans="3:8" s="2" customFormat="1" x14ac:dyDescent="0.25">
      <c r="C11" s="28">
        <f>TrialBalance!C188</f>
        <v>0</v>
      </c>
      <c r="G11" s="101">
        <f>-TrialBalance!L188</f>
        <v>0</v>
      </c>
      <c r="H11" s="101">
        <f>-TrialBalance!N188</f>
        <v>0</v>
      </c>
    </row>
    <row r="12" spans="3:8" s="2" customFormat="1" x14ac:dyDescent="0.25">
      <c r="C12" s="28">
        <f>TrialBalance!C189</f>
        <v>0</v>
      </c>
      <c r="G12" s="101">
        <f>-TrialBalance!L189</f>
        <v>0</v>
      </c>
      <c r="H12" s="101">
        <f>-TrialBalance!N189</f>
        <v>0</v>
      </c>
    </row>
    <row r="13" spans="3:8" s="2" customFormat="1" x14ac:dyDescent="0.25">
      <c r="C13" s="28">
        <f>TrialBalance!C190</f>
        <v>0</v>
      </c>
      <c r="G13" s="101">
        <f>-TrialBalance!L190</f>
        <v>0</v>
      </c>
      <c r="H13" s="101">
        <f>-TrialBalance!N190</f>
        <v>0</v>
      </c>
    </row>
    <row r="14" spans="3:8" s="2" customFormat="1" x14ac:dyDescent="0.25">
      <c r="C14" s="28">
        <f>TrialBalance!C191</f>
        <v>0</v>
      </c>
      <c r="G14" s="101">
        <f>-TrialBalance!L191</f>
        <v>0</v>
      </c>
      <c r="H14" s="101">
        <f>-TrialBalance!N191</f>
        <v>0</v>
      </c>
    </row>
    <row r="15" spans="3:8" s="2" customFormat="1" x14ac:dyDescent="0.25">
      <c r="C15" s="28">
        <f>TrialBalance!C192</f>
        <v>0</v>
      </c>
      <c r="G15" s="101">
        <f>-TrialBalance!L192</f>
        <v>0</v>
      </c>
      <c r="H15" s="101">
        <f>-TrialBalance!N192</f>
        <v>0</v>
      </c>
    </row>
    <row r="16" spans="3:8" s="2" customFormat="1" x14ac:dyDescent="0.25">
      <c r="C16" s="28">
        <f>TrialBalance!C193</f>
        <v>0</v>
      </c>
      <c r="G16" s="101">
        <f>-TrialBalance!L193</f>
        <v>0</v>
      </c>
      <c r="H16" s="101">
        <f>-TrialBalance!N193</f>
        <v>0</v>
      </c>
    </row>
    <row r="17" spans="3:8" s="2" customFormat="1" x14ac:dyDescent="0.25">
      <c r="C17" s="28">
        <f>TrialBalance!C194</f>
        <v>0</v>
      </c>
      <c r="G17" s="101">
        <f>-TrialBalance!L194</f>
        <v>0</v>
      </c>
      <c r="H17" s="101">
        <f>-TrialBalance!N194</f>
        <v>0</v>
      </c>
    </row>
    <row r="18" spans="3:8" s="2" customFormat="1" x14ac:dyDescent="0.25">
      <c r="C18" s="28">
        <f>TrialBalance!C195</f>
        <v>0</v>
      </c>
      <c r="G18" s="101">
        <f>-TrialBalance!L195</f>
        <v>0</v>
      </c>
      <c r="H18" s="101">
        <f>-TrialBalance!N195</f>
        <v>0</v>
      </c>
    </row>
    <row r="19" spans="3:8" s="2" customFormat="1" x14ac:dyDescent="0.25">
      <c r="C19" s="28">
        <f>TrialBalance!C196</f>
        <v>0</v>
      </c>
      <c r="G19" s="101">
        <f>-TrialBalance!L196</f>
        <v>0</v>
      </c>
      <c r="H19" s="101">
        <f>-TrialBalance!N196</f>
        <v>0</v>
      </c>
    </row>
    <row r="20" spans="3:8" s="2" customFormat="1" x14ac:dyDescent="0.25">
      <c r="C20" s="28">
        <f>TrialBalance!C197</f>
        <v>0</v>
      </c>
      <c r="G20" s="101">
        <f>-TrialBalance!L197</f>
        <v>0</v>
      </c>
      <c r="H20" s="101">
        <f>-TrialBalance!N197</f>
        <v>0</v>
      </c>
    </row>
    <row r="21" spans="3:8" s="2" customFormat="1" x14ac:dyDescent="0.25">
      <c r="C21" s="28">
        <f>TrialBalance!C198</f>
        <v>0</v>
      </c>
      <c r="G21" s="101">
        <f>-TrialBalance!L198</f>
        <v>0</v>
      </c>
      <c r="H21" s="101">
        <f>-TrialBalance!N198</f>
        <v>0</v>
      </c>
    </row>
    <row r="22" spans="3:8" s="2" customFormat="1" x14ac:dyDescent="0.25">
      <c r="C22" s="28">
        <f>TrialBalance!C199</f>
        <v>0</v>
      </c>
      <c r="G22" s="101">
        <f>-TrialBalance!L199</f>
        <v>0</v>
      </c>
      <c r="H22" s="101">
        <f>-TrialBalance!N199</f>
        <v>0</v>
      </c>
    </row>
    <row r="23" spans="3:8" s="2" customFormat="1" x14ac:dyDescent="0.25">
      <c r="C23" s="28"/>
      <c r="G23" s="102"/>
      <c r="H23" s="102"/>
    </row>
    <row r="24" spans="3:8" s="2" customFormat="1" x14ac:dyDescent="0.25">
      <c r="C24" s="28"/>
      <c r="G24" s="101">
        <f>SUM(G7:G23)</f>
        <v>0</v>
      </c>
      <c r="H24" s="101">
        <f>SUM(H7:H23)</f>
        <v>0</v>
      </c>
    </row>
    <row r="25" spans="3:8" s="2" customFormat="1" x14ac:dyDescent="0.25">
      <c r="C25" s="28"/>
      <c r="G25" s="101"/>
      <c r="H25" s="101"/>
    </row>
    <row r="26" spans="3:8" s="2" customFormat="1" x14ac:dyDescent="0.25">
      <c r="C26" s="28" t="s">
        <v>255</v>
      </c>
      <c r="G26" s="101">
        <f>-TrialBalance!L200</f>
        <v>0</v>
      </c>
      <c r="H26" s="101">
        <f>-TrialBalance!N200</f>
        <v>0</v>
      </c>
    </row>
    <row r="27" spans="3:8" s="2" customFormat="1" x14ac:dyDescent="0.25">
      <c r="G27" s="101"/>
      <c r="H27" s="101"/>
    </row>
    <row r="28" spans="3:8" s="2" customFormat="1" ht="16.5" thickBot="1" x14ac:dyDescent="0.3">
      <c r="G28" s="103">
        <f>SUM(G24:G27)</f>
        <v>0</v>
      </c>
      <c r="H28" s="103">
        <f>SUM(H24:H27)</f>
        <v>0</v>
      </c>
    </row>
    <row r="29" spans="3:8" s="2" customFormat="1" ht="16.5" thickTop="1" x14ac:dyDescent="0.25">
      <c r="G29" s="101"/>
      <c r="H29" s="101"/>
    </row>
    <row r="30" spans="3:8" s="2" customFormat="1" x14ac:dyDescent="0.25">
      <c r="C30" s="1" t="s">
        <v>594</v>
      </c>
      <c r="D30" s="1"/>
      <c r="E30" s="1"/>
      <c r="F30" s="1"/>
      <c r="G30" s="7">
        <f>G28+SUM(TrialBalance!L185:L200)</f>
        <v>0</v>
      </c>
      <c r="H30" s="7">
        <f>H28+SUM(TrialBalance!N185:N200)</f>
        <v>0</v>
      </c>
    </row>
    <row r="31" spans="3:8" s="2" customFormat="1" x14ac:dyDescent="0.25">
      <c r="G31" s="101"/>
      <c r="H31" s="101"/>
    </row>
    <row r="32" spans="3:8" s="2" customFormat="1" x14ac:dyDescent="0.25">
      <c r="G32" s="101"/>
      <c r="H32" s="101"/>
    </row>
    <row r="33" spans="2:8" s="2" customFormat="1" x14ac:dyDescent="0.25">
      <c r="G33" s="101"/>
      <c r="H33" s="101"/>
    </row>
    <row r="34" spans="2:8" s="2" customFormat="1" x14ac:dyDescent="0.25">
      <c r="B34" s="89"/>
      <c r="C34" s="3"/>
      <c r="G34" s="25"/>
      <c r="H34" s="25"/>
    </row>
    <row r="35" spans="2:8" s="2" customFormat="1" x14ac:dyDescent="0.25">
      <c r="G35" s="5"/>
      <c r="H35" s="5"/>
    </row>
    <row r="36" spans="2:8" s="2" customFormat="1" x14ac:dyDescent="0.25">
      <c r="G36" s="5"/>
      <c r="H36" s="5"/>
    </row>
    <row r="37" spans="2:8" x14ac:dyDescent="0.25">
      <c r="E37" s="176"/>
      <c r="F37" s="176"/>
    </row>
    <row r="38" spans="2:8" x14ac:dyDescent="0.25">
      <c r="E38" s="177"/>
      <c r="F38" s="177"/>
    </row>
    <row r="39" spans="2:8" x14ac:dyDescent="0.25">
      <c r="E39" s="177"/>
      <c r="F39" s="177"/>
    </row>
    <row r="40" spans="2:8" x14ac:dyDescent="0.25">
      <c r="E40" s="177"/>
      <c r="F40" s="177"/>
    </row>
    <row r="41" spans="2:8" x14ac:dyDescent="0.25">
      <c r="E41" s="177"/>
      <c r="F41" s="177"/>
    </row>
    <row r="42" spans="2:8" x14ac:dyDescent="0.25">
      <c r="E42" s="177"/>
      <c r="F42" s="177"/>
    </row>
    <row r="43" spans="2:8" x14ac:dyDescent="0.25">
      <c r="E43" s="177"/>
      <c r="F43" s="177"/>
    </row>
    <row r="44" spans="2:8" x14ac:dyDescent="0.25">
      <c r="E44" s="177"/>
      <c r="F44" s="177"/>
    </row>
    <row r="45" spans="2:8" x14ac:dyDescent="0.25">
      <c r="E45" s="177"/>
      <c r="F45" s="177"/>
    </row>
    <row r="46" spans="2:8" x14ac:dyDescent="0.25">
      <c r="E46" s="177"/>
      <c r="F46" s="177"/>
    </row>
    <row r="47" spans="2:8" x14ac:dyDescent="0.25">
      <c r="E47" s="177"/>
      <c r="F47" s="177"/>
    </row>
    <row r="48" spans="2:8" x14ac:dyDescent="0.25">
      <c r="E48" s="177"/>
      <c r="F48" s="177"/>
    </row>
    <row r="49" spans="5:6" x14ac:dyDescent="0.25">
      <c r="E49" s="177"/>
      <c r="F49" s="177"/>
    </row>
    <row r="50" spans="5:6" x14ac:dyDescent="0.25">
      <c r="E50" s="177"/>
      <c r="F50" s="177"/>
    </row>
    <row r="51" spans="5:6" x14ac:dyDescent="0.25">
      <c r="E51" s="177"/>
      <c r="F51" s="177"/>
    </row>
    <row r="52" spans="5:6" x14ac:dyDescent="0.25">
      <c r="E52" s="177"/>
      <c r="F52" s="177"/>
    </row>
    <row r="53" spans="5:6" x14ac:dyDescent="0.25">
      <c r="E53" s="177"/>
      <c r="F53" s="177"/>
    </row>
    <row r="54" spans="5:6" x14ac:dyDescent="0.25">
      <c r="E54" s="177"/>
      <c r="F54" s="177"/>
    </row>
    <row r="55" spans="5:6" x14ac:dyDescent="0.25">
      <c r="E55" s="177"/>
      <c r="F55" s="177"/>
    </row>
    <row r="56" spans="5:6" x14ac:dyDescent="0.25">
      <c r="E56" s="177"/>
      <c r="F56" s="177"/>
    </row>
    <row r="57" spans="5:6" x14ac:dyDescent="0.25">
      <c r="E57" s="177"/>
      <c r="F57" s="177"/>
    </row>
    <row r="58" spans="5:6" x14ac:dyDescent="0.25">
      <c r="E58" s="177"/>
      <c r="F58" s="177"/>
    </row>
    <row r="59" spans="5:6" x14ac:dyDescent="0.25">
      <c r="E59" s="177"/>
      <c r="F59" s="177"/>
    </row>
    <row r="60" spans="5:6" x14ac:dyDescent="0.25">
      <c r="E60" s="177"/>
      <c r="F60" s="177"/>
    </row>
    <row r="61" spans="5:6" x14ac:dyDescent="0.25">
      <c r="E61" s="177"/>
      <c r="F61" s="177"/>
    </row>
    <row r="62" spans="5:6" x14ac:dyDescent="0.25">
      <c r="E62" s="177"/>
      <c r="F62" s="177"/>
    </row>
    <row r="63" spans="5:6" x14ac:dyDescent="0.25">
      <c r="E63" s="177"/>
      <c r="F63" s="177"/>
    </row>
    <row r="64" spans="5:6" x14ac:dyDescent="0.25">
      <c r="E64" s="177"/>
      <c r="F64" s="177"/>
    </row>
    <row r="65" spans="5:6" x14ac:dyDescent="0.25">
      <c r="E65" s="177"/>
      <c r="F65" s="177"/>
    </row>
    <row r="66" spans="5:6" x14ac:dyDescent="0.25">
      <c r="E66" s="177"/>
      <c r="F66" s="177"/>
    </row>
    <row r="67" spans="5:6" x14ac:dyDescent="0.25">
      <c r="E67" s="177"/>
      <c r="F67" s="177"/>
    </row>
    <row r="68" spans="5:6" x14ac:dyDescent="0.25">
      <c r="E68" s="177"/>
      <c r="F68" s="177"/>
    </row>
    <row r="69" spans="5:6" x14ac:dyDescent="0.25">
      <c r="E69" s="177"/>
      <c r="F69" s="177"/>
    </row>
    <row r="70" spans="5:6" x14ac:dyDescent="0.25">
      <c r="E70" s="177"/>
      <c r="F70" s="177"/>
    </row>
    <row r="71" spans="5:6" x14ac:dyDescent="0.25">
      <c r="E71" s="177"/>
      <c r="F71" s="177"/>
    </row>
    <row r="72" spans="5:6" x14ac:dyDescent="0.25">
      <c r="E72" s="177"/>
      <c r="F72" s="177"/>
    </row>
    <row r="73" spans="5:6" x14ac:dyDescent="0.25">
      <c r="E73" s="177"/>
      <c r="F73" s="177"/>
    </row>
    <row r="74" spans="5:6" x14ac:dyDescent="0.25">
      <c r="E74" s="177"/>
      <c r="F74" s="177"/>
    </row>
    <row r="75" spans="5:6" x14ac:dyDescent="0.25">
      <c r="E75" s="177"/>
      <c r="F75" s="177"/>
    </row>
    <row r="76" spans="5:6" x14ac:dyDescent="0.25">
      <c r="E76" s="177"/>
      <c r="F76" s="177"/>
    </row>
    <row r="77" spans="5:6" x14ac:dyDescent="0.25">
      <c r="E77" s="177"/>
      <c r="F77" s="177"/>
    </row>
    <row r="78" spans="5:6" x14ac:dyDescent="0.25">
      <c r="E78" s="177"/>
      <c r="F78" s="177"/>
    </row>
    <row r="79" spans="5:6" x14ac:dyDescent="0.25">
      <c r="E79" s="177"/>
      <c r="F79" s="177"/>
    </row>
    <row r="80" spans="5:6" x14ac:dyDescent="0.25">
      <c r="E80" s="177"/>
      <c r="F80" s="177"/>
    </row>
    <row r="81" spans="5:6" x14ac:dyDescent="0.25">
      <c r="E81" s="177"/>
      <c r="F81" s="177"/>
    </row>
    <row r="82" spans="5:6" x14ac:dyDescent="0.25">
      <c r="E82" s="177"/>
      <c r="F82" s="177"/>
    </row>
    <row r="83" spans="5:6" x14ac:dyDescent="0.25">
      <c r="E83" s="177"/>
      <c r="F83" s="177"/>
    </row>
    <row r="84" spans="5:6" x14ac:dyDescent="0.25">
      <c r="E84" s="177"/>
      <c r="F84" s="177"/>
    </row>
    <row r="85" spans="5:6" x14ac:dyDescent="0.25">
      <c r="E85" s="177"/>
      <c r="F85" s="177"/>
    </row>
    <row r="86" spans="5:6" x14ac:dyDescent="0.25">
      <c r="E86" s="177"/>
      <c r="F86" s="177"/>
    </row>
    <row r="87" spans="5:6" x14ac:dyDescent="0.25">
      <c r="E87" s="177"/>
      <c r="F87" s="177"/>
    </row>
    <row r="88" spans="5:6" x14ac:dyDescent="0.25">
      <c r="E88" s="177"/>
      <c r="F88" s="177"/>
    </row>
    <row r="89" spans="5:6" x14ac:dyDescent="0.25">
      <c r="E89" s="177"/>
      <c r="F89" s="177"/>
    </row>
    <row r="90" spans="5:6" x14ac:dyDescent="0.25">
      <c r="E90" s="177"/>
      <c r="F90" s="177"/>
    </row>
    <row r="91" spans="5:6" x14ac:dyDescent="0.25">
      <c r="E91" s="177"/>
      <c r="F91" s="177"/>
    </row>
    <row r="92" spans="5:6" x14ac:dyDescent="0.25">
      <c r="E92" s="177"/>
      <c r="F92" s="177"/>
    </row>
    <row r="93" spans="5:6" x14ac:dyDescent="0.25">
      <c r="E93" s="177"/>
      <c r="F93" s="177"/>
    </row>
    <row r="94" spans="5:6" x14ac:dyDescent="0.25">
      <c r="E94" s="177"/>
      <c r="F94" s="177"/>
    </row>
    <row r="95" spans="5:6" x14ac:dyDescent="0.25">
      <c r="E95" s="177"/>
      <c r="F95" s="177"/>
    </row>
    <row r="96" spans="5:6" x14ac:dyDescent="0.25">
      <c r="E96" s="177"/>
      <c r="F96" s="177"/>
    </row>
    <row r="97" spans="5:6" x14ac:dyDescent="0.25">
      <c r="E97" s="177"/>
      <c r="F97" s="177"/>
    </row>
    <row r="98" spans="5:6" x14ac:dyDescent="0.25">
      <c r="E98" s="177"/>
      <c r="F98" s="177"/>
    </row>
    <row r="99" spans="5:6" x14ac:dyDescent="0.25">
      <c r="E99" s="177"/>
      <c r="F99" s="177"/>
    </row>
    <row r="100" spans="5:6" x14ac:dyDescent="0.25">
      <c r="E100" s="177"/>
      <c r="F100" s="177"/>
    </row>
    <row r="101" spans="5:6" x14ac:dyDescent="0.25">
      <c r="E101" s="177"/>
      <c r="F101" s="177"/>
    </row>
    <row r="102" spans="5:6" x14ac:dyDescent="0.25">
      <c r="E102" s="177"/>
      <c r="F102" s="177"/>
    </row>
    <row r="103" spans="5:6" x14ac:dyDescent="0.25">
      <c r="E103" s="177"/>
      <c r="F103" s="177"/>
    </row>
    <row r="104" spans="5:6" x14ac:dyDescent="0.25">
      <c r="E104" s="177"/>
      <c r="F104" s="177"/>
    </row>
    <row r="105" spans="5:6" x14ac:dyDescent="0.25">
      <c r="E105" s="177"/>
      <c r="F105" s="177"/>
    </row>
    <row r="106" spans="5:6" x14ac:dyDescent="0.25">
      <c r="E106" s="177"/>
      <c r="F106" s="177"/>
    </row>
    <row r="107" spans="5:6" x14ac:dyDescent="0.25">
      <c r="E107" s="177"/>
      <c r="F107" s="177"/>
    </row>
    <row r="108" spans="5:6" x14ac:dyDescent="0.25">
      <c r="E108" s="177"/>
      <c r="F108" s="177"/>
    </row>
    <row r="109" spans="5:6" x14ac:dyDescent="0.25">
      <c r="E109" s="177"/>
      <c r="F109" s="177"/>
    </row>
    <row r="110" spans="5:6" x14ac:dyDescent="0.25">
      <c r="E110" s="177"/>
      <c r="F110" s="177"/>
    </row>
    <row r="111" spans="5:6" x14ac:dyDescent="0.25">
      <c r="E111" s="177"/>
      <c r="F111" s="177"/>
    </row>
    <row r="112" spans="5:6" x14ac:dyDescent="0.25">
      <c r="E112" s="177"/>
      <c r="F112" s="177"/>
    </row>
    <row r="113" spans="5:6" x14ac:dyDescent="0.25">
      <c r="E113" s="177"/>
      <c r="F113" s="177"/>
    </row>
    <row r="114" spans="5:6" x14ac:dyDescent="0.25">
      <c r="E114" s="177"/>
      <c r="F114" s="177"/>
    </row>
    <row r="115" spans="5:6" x14ac:dyDescent="0.25">
      <c r="E115" s="177"/>
      <c r="F115" s="177"/>
    </row>
    <row r="116" spans="5:6" x14ac:dyDescent="0.25">
      <c r="E116" s="177"/>
      <c r="F116" s="177"/>
    </row>
    <row r="117" spans="5:6" x14ac:dyDescent="0.25">
      <c r="E117" s="177"/>
      <c r="F117" s="177"/>
    </row>
    <row r="118" spans="5:6" x14ac:dyDescent="0.25">
      <c r="E118" s="177"/>
      <c r="F118" s="177"/>
    </row>
    <row r="2531" spans="7:9" s="2" customFormat="1" x14ac:dyDescent="0.25">
      <c r="G2531" s="5"/>
      <c r="H2531" s="5"/>
      <c r="I2531" s="29"/>
    </row>
  </sheetData>
  <hyperlinks>
    <hyperlink ref="C4" location="TrialBalance!A1" display="LONG TERM  INTEREST LIABILITIES" xr:uid="{83C055B9-0042-4D84-8138-A2ADAF6ADF71}"/>
  </hyperlinks>
  <pageMargins left="0.75" right="0.75" top="1" bottom="1" header="0.5" footer="0.5"/>
  <pageSetup paperSize="9" scale="72"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E3" sqref="E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07"/>
  </cols>
  <sheetData>
    <row r="2" spans="3:8" ht="52.5" customHeight="1" x14ac:dyDescent="0.25">
      <c r="C2" s="106" t="str">
        <f>Criteria!E9</f>
        <v>HOLDING COMPANY 268 (PROPRIETARY) LIMITED</v>
      </c>
      <c r="D2" s="156"/>
      <c r="E2" s="156"/>
      <c r="G2" s="105" t="s">
        <v>81</v>
      </c>
      <c r="H2" s="105"/>
    </row>
    <row r="3" spans="3:8" x14ac:dyDescent="0.25">
      <c r="C3" s="3" t="s">
        <v>80</v>
      </c>
      <c r="D3" s="3"/>
      <c r="E3" s="3" t="str">
        <f>Criteria!E20</f>
        <v>29 FEBRUARY 2024</v>
      </c>
    </row>
    <row r="4" spans="3:8" ht="52.5" customHeight="1" x14ac:dyDescent="0.25">
      <c r="C4" s="137" t="s">
        <v>139</v>
      </c>
      <c r="G4" s="105" t="s">
        <v>82</v>
      </c>
      <c r="H4" s="105"/>
    </row>
    <row r="5" spans="3:8" ht="15.75" customHeight="1" x14ac:dyDescent="0.25">
      <c r="G5" s="25"/>
      <c r="H5" s="25"/>
    </row>
    <row r="6" spans="3:8" s="2" customFormat="1" x14ac:dyDescent="0.25">
      <c r="G6" s="5">
        <f>Criteria!E22</f>
        <v>2024</v>
      </c>
      <c r="H6" s="5">
        <f>Criteria!E27</f>
        <v>2023</v>
      </c>
    </row>
    <row r="8" spans="3:8" s="2" customFormat="1" x14ac:dyDescent="0.25">
      <c r="C8" s="28">
        <f>TrialBalance!C202</f>
        <v>0</v>
      </c>
      <c r="G8" s="101">
        <f>-TrialBalance!L202</f>
        <v>0</v>
      </c>
      <c r="H8" s="101">
        <f>-TrialBalance!N202</f>
        <v>0</v>
      </c>
    </row>
    <row r="9" spans="3:8" s="2" customFormat="1" x14ac:dyDescent="0.25">
      <c r="C9" s="28">
        <f>TrialBalance!C203</f>
        <v>0</v>
      </c>
      <c r="G9" s="101">
        <f>-TrialBalance!L203</f>
        <v>0</v>
      </c>
      <c r="H9" s="101">
        <f>-TrialBalance!N203</f>
        <v>0</v>
      </c>
    </row>
    <row r="10" spans="3:8" s="2" customFormat="1" x14ac:dyDescent="0.25">
      <c r="C10" s="28">
        <f>TrialBalance!C204</f>
        <v>0</v>
      </c>
      <c r="G10" s="101">
        <f>-TrialBalance!L204</f>
        <v>0</v>
      </c>
      <c r="H10" s="101">
        <f>-TrialBalance!N204</f>
        <v>0</v>
      </c>
    </row>
    <row r="11" spans="3:8" s="2" customFormat="1" x14ac:dyDescent="0.25">
      <c r="C11" s="28">
        <f>TrialBalance!C205</f>
        <v>0</v>
      </c>
      <c r="G11" s="101">
        <f>-TrialBalance!L205</f>
        <v>0</v>
      </c>
      <c r="H11" s="101">
        <f>-TrialBalance!N205</f>
        <v>0</v>
      </c>
    </row>
    <row r="12" spans="3:8" s="2" customFormat="1" x14ac:dyDescent="0.25">
      <c r="C12" s="28">
        <f>TrialBalance!C206</f>
        <v>0</v>
      </c>
      <c r="G12" s="101">
        <f>-TrialBalance!L206</f>
        <v>0</v>
      </c>
      <c r="H12" s="101">
        <f>-TrialBalance!N206</f>
        <v>0</v>
      </c>
    </row>
    <row r="13" spans="3:8" s="2" customFormat="1" x14ac:dyDescent="0.25">
      <c r="C13" s="28">
        <f>TrialBalance!C207</f>
        <v>0</v>
      </c>
      <c r="G13" s="101">
        <f>-TrialBalance!L207</f>
        <v>0</v>
      </c>
      <c r="H13" s="101">
        <f>-TrialBalance!N207</f>
        <v>0</v>
      </c>
    </row>
    <row r="14" spans="3:8" s="2" customFormat="1" x14ac:dyDescent="0.25">
      <c r="C14" s="28">
        <f>TrialBalance!C208</f>
        <v>0</v>
      </c>
      <c r="G14" s="101">
        <f>-TrialBalance!L208</f>
        <v>0</v>
      </c>
      <c r="H14" s="101">
        <f>-TrialBalance!N208</f>
        <v>0</v>
      </c>
    </row>
    <row r="15" spans="3:8" s="2" customFormat="1" x14ac:dyDescent="0.25">
      <c r="C15" s="28">
        <f>TrialBalance!C209</f>
        <v>0</v>
      </c>
      <c r="G15" s="101">
        <f>-TrialBalance!L209</f>
        <v>0</v>
      </c>
      <c r="H15" s="101">
        <f>-TrialBalance!N209</f>
        <v>0</v>
      </c>
    </row>
    <row r="16" spans="3:8" s="2" customFormat="1" x14ac:dyDescent="0.25">
      <c r="C16" s="28">
        <f>TrialBalance!C210</f>
        <v>0</v>
      </c>
      <c r="G16" s="101">
        <f>-TrialBalance!L210</f>
        <v>0</v>
      </c>
      <c r="H16" s="101">
        <f>-TrialBalance!N210</f>
        <v>0</v>
      </c>
    </row>
    <row r="17" spans="3:8" s="2" customFormat="1" x14ac:dyDescent="0.25">
      <c r="C17" s="28">
        <f>TrialBalance!C211</f>
        <v>0</v>
      </c>
      <c r="G17" s="101">
        <f>-TrialBalance!L211</f>
        <v>0</v>
      </c>
      <c r="H17" s="101">
        <f>-TrialBalance!N211</f>
        <v>0</v>
      </c>
    </row>
    <row r="18" spans="3:8" s="2" customFormat="1" x14ac:dyDescent="0.25">
      <c r="C18" s="28">
        <f>TrialBalance!C212</f>
        <v>0</v>
      </c>
      <c r="G18" s="101">
        <f>-TrialBalance!L212</f>
        <v>0</v>
      </c>
      <c r="H18" s="101">
        <f>-TrialBalance!N212</f>
        <v>0</v>
      </c>
    </row>
    <row r="19" spans="3:8" s="2" customFormat="1" x14ac:dyDescent="0.25">
      <c r="C19" s="28">
        <f>TrialBalance!C213</f>
        <v>0</v>
      </c>
      <c r="G19" s="101">
        <f>-TrialBalance!L213</f>
        <v>0</v>
      </c>
      <c r="H19" s="101">
        <f>-TrialBalance!N213</f>
        <v>0</v>
      </c>
    </row>
    <row r="20" spans="3:8" s="2" customFormat="1" x14ac:dyDescent="0.25">
      <c r="C20" s="28">
        <f>TrialBalance!C214</f>
        <v>0</v>
      </c>
      <c r="G20" s="101">
        <f>-TrialBalance!L214</f>
        <v>0</v>
      </c>
      <c r="H20" s="101">
        <f>-TrialBalance!N214</f>
        <v>0</v>
      </c>
    </row>
    <row r="21" spans="3:8" s="2" customFormat="1" x14ac:dyDescent="0.25">
      <c r="C21" s="28">
        <f>TrialBalance!C215</f>
        <v>0</v>
      </c>
      <c r="G21" s="101">
        <f>-TrialBalance!L215</f>
        <v>0</v>
      </c>
      <c r="H21" s="101">
        <f>-TrialBalance!N215</f>
        <v>0</v>
      </c>
    </row>
    <row r="22" spans="3:8" s="2" customFormat="1" x14ac:dyDescent="0.25">
      <c r="C22" s="28">
        <f>TrialBalance!C216</f>
        <v>0</v>
      </c>
      <c r="G22" s="101">
        <f>-TrialBalance!L216</f>
        <v>0</v>
      </c>
      <c r="H22" s="101">
        <f>-TrialBalance!N216</f>
        <v>0</v>
      </c>
    </row>
    <row r="23" spans="3:8" s="2" customFormat="1" x14ac:dyDescent="0.25">
      <c r="C23" s="28">
        <f>TrialBalance!C217</f>
        <v>0</v>
      </c>
      <c r="G23" s="101">
        <f>-TrialBalance!L217</f>
        <v>0</v>
      </c>
      <c r="H23" s="101">
        <f>-TrialBalance!N217</f>
        <v>0</v>
      </c>
    </row>
    <row r="24" spans="3:8" s="2" customFormat="1" x14ac:dyDescent="0.25">
      <c r="C24" s="28">
        <f>TrialBalance!C218</f>
        <v>0</v>
      </c>
      <c r="G24" s="101">
        <f>-TrialBalance!L218</f>
        <v>0</v>
      </c>
      <c r="H24" s="101">
        <f>-TrialBalance!N218</f>
        <v>0</v>
      </c>
    </row>
    <row r="25" spans="3:8" s="2" customFormat="1" x14ac:dyDescent="0.25">
      <c r="G25" s="101"/>
      <c r="H25" s="101"/>
    </row>
    <row r="26" spans="3:8" s="2" customFormat="1" ht="16.5" thickBot="1" x14ac:dyDescent="0.3">
      <c r="G26" s="103">
        <f>SUM(G7:G25)</f>
        <v>0</v>
      </c>
      <c r="H26" s="103">
        <f>SUM(H7:H25)</f>
        <v>0</v>
      </c>
    </row>
    <row r="27" spans="3:8" s="2" customFormat="1" ht="16.5" thickTop="1" x14ac:dyDescent="0.25">
      <c r="G27" s="101"/>
      <c r="H27" s="101"/>
    </row>
    <row r="28" spans="3:8" s="2" customFormat="1" x14ac:dyDescent="0.25">
      <c r="C28" s="1" t="s">
        <v>594</v>
      </c>
      <c r="D28" s="1"/>
      <c r="E28" s="1"/>
      <c r="F28" s="1"/>
      <c r="G28" s="7">
        <f>G26+SUM(TrialBalance!L202:L218)</f>
        <v>0</v>
      </c>
      <c r="H28" s="7">
        <f>H26+SUM(TrialBalance!N202:N218)</f>
        <v>0</v>
      </c>
    </row>
    <row r="29" spans="3:8" s="2" customFormat="1" x14ac:dyDescent="0.25">
      <c r="G29" s="101"/>
      <c r="H29" s="101"/>
    </row>
  </sheetData>
  <hyperlinks>
    <hyperlink ref="C4" location="TrialBalance!A1" display="LONG TERM INTEREST FREE LOANS" xr:uid="{F5715229-A08B-409E-B0EC-934293EEAE48}"/>
  </hyperlinks>
  <pageMargins left="0.75" right="0.75" top="1" bottom="1" header="0.5" footer="0.5"/>
  <pageSetup paperSize="9" scale="72"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53</vt:i4>
      </vt:variant>
    </vt:vector>
  </HeadingPairs>
  <TitlesOfParts>
    <vt:vector size="77" baseType="lpstr">
      <vt:lpstr>Instruction</vt:lpstr>
      <vt:lpstr>FS</vt:lpstr>
      <vt:lpstr>FS2</vt:lpstr>
      <vt:lpstr>Criteria</vt:lpstr>
      <vt:lpstr>TrialBalance</vt:lpstr>
      <vt:lpstr>Journals</vt:lpstr>
      <vt:lpstr>FARegister</vt:lpstr>
      <vt:lpstr>ILoans</vt:lpstr>
      <vt:lpstr>IFree</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Journals!Print_Area</vt:lpstr>
      <vt:lpstr>JournalsA!Print_Area</vt:lpstr>
      <vt:lpstr>JournalsB!Print_Area</vt:lpstr>
      <vt:lpstr>JournalsC!Print_Area</vt:lpstr>
      <vt:lpstr>'Loan 1'!Print_Area</vt:lpstr>
      <vt:lpstr>'NC Receivables'!Print_Area</vt:lpstr>
      <vt:lpstr>Open!Print_Area</vt:lpstr>
      <vt:lpstr>Stock!Print_Area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2024-01-25T13:00:21Z</cp:lastPrinted>
  <dcterms:created xsi:type="dcterms:W3CDTF">2005-04-27T11:29:52Z</dcterms:created>
  <dcterms:modified xsi:type="dcterms:W3CDTF">2024-04-19T08:46:43Z</dcterms:modified>
</cp:coreProperties>
</file>